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mc:AlternateContent xmlns:mc="http://schemas.openxmlformats.org/markup-compatibility/2006">
    <mc:Choice Requires="x15">
      <x15ac:absPath xmlns:x15ac="http://schemas.microsoft.com/office/spreadsheetml/2010/11/ac" url="C:\Users\portatil\Downloads\"/>
    </mc:Choice>
  </mc:AlternateContent>
  <xr:revisionPtr revIDLastSave="0" documentId="13_ncr:1_{B57B55D8-F9DC-4E3B-BCE8-CF7A0F01A9FE}" xr6:coauthVersionLast="37" xr6:coauthVersionMax="37" xr10:uidLastSave="{00000000-0000-0000-0000-000000000000}"/>
  <bookViews>
    <workbookView xWindow="0" yWindow="0" windowWidth="28800" windowHeight="12330" xr2:uid="{00000000-000D-0000-FFFF-FFFF00000000}"/>
  </bookViews>
  <sheets>
    <sheet name="Hoja1" sheetId="1" r:id="rId1"/>
  </sheets>
  <externalReferences>
    <externalReference r:id="rId2"/>
    <externalReference r:id="rId3"/>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1399" i="1" l="1"/>
  <c r="X1399" i="1"/>
  <c r="W1399" i="1"/>
  <c r="V1399" i="1"/>
  <c r="U1399" i="1"/>
  <c r="T1399" i="1"/>
  <c r="M1391" i="1"/>
  <c r="M1390" i="1"/>
  <c r="M1381" i="1"/>
  <c r="M1377" i="1"/>
  <c r="M1373" i="1"/>
  <c r="M1364" i="1"/>
  <c r="M1363" i="1"/>
  <c r="M1362" i="1"/>
  <c r="M1361" i="1"/>
  <c r="M1360" i="1"/>
  <c r="M1359" i="1"/>
  <c r="M1358" i="1"/>
  <c r="M1357" i="1"/>
  <c r="M1356" i="1"/>
  <c r="M1355" i="1"/>
  <c r="M1354" i="1"/>
  <c r="M1353" i="1"/>
  <c r="M1352" i="1"/>
  <c r="M1351" i="1"/>
  <c r="M1350" i="1"/>
  <c r="M1349" i="1"/>
  <c r="M1348" i="1"/>
  <c r="M1347" i="1"/>
  <c r="M1345" i="1"/>
  <c r="M1344" i="1"/>
  <c r="M1343" i="1"/>
  <c r="M1336" i="1"/>
  <c r="M1335" i="1"/>
  <c r="M1334" i="1"/>
  <c r="M1333" i="1"/>
  <c r="M1321" i="1"/>
  <c r="M1320" i="1"/>
  <c r="M1319" i="1"/>
  <c r="M1318" i="1"/>
  <c r="M1317" i="1"/>
  <c r="M1316" i="1"/>
  <c r="M1314" i="1"/>
  <c r="M1313" i="1"/>
  <c r="M1312" i="1"/>
  <c r="M1306" i="1"/>
  <c r="M1302" i="1"/>
  <c r="M1297" i="1"/>
  <c r="M1296" i="1"/>
  <c r="M1290" i="1"/>
  <c r="M1279" i="1"/>
  <c r="M1278" i="1"/>
  <c r="M1277" i="1"/>
  <c r="M1276" i="1"/>
  <c r="M1275" i="1"/>
  <c r="M1274" i="1"/>
  <c r="M1273" i="1"/>
  <c r="M1272" i="1"/>
  <c r="M1271" i="1"/>
  <c r="M1270" i="1"/>
  <c r="M1269" i="1"/>
  <c r="M1268" i="1"/>
  <c r="M1267" i="1"/>
  <c r="M1266" i="1"/>
  <c r="M1265" i="1"/>
  <c r="M1264" i="1"/>
  <c r="M1263" i="1"/>
  <c r="M1262" i="1"/>
  <c r="M1261" i="1"/>
  <c r="M1260" i="1"/>
  <c r="M1259" i="1"/>
  <c r="M1258" i="1"/>
  <c r="M1257" i="1"/>
  <c r="M1256" i="1"/>
  <c r="M1255" i="1"/>
  <c r="M1254" i="1"/>
  <c r="M1253" i="1"/>
  <c r="M1252" i="1"/>
  <c r="M1251" i="1"/>
  <c r="M1250" i="1"/>
  <c r="M1249" i="1"/>
  <c r="M1248" i="1"/>
  <c r="M1247" i="1"/>
  <c r="M1246" i="1"/>
  <c r="M1245" i="1"/>
  <c r="M1244" i="1"/>
  <c r="M1243" i="1"/>
  <c r="M1242" i="1"/>
  <c r="M1241" i="1"/>
  <c r="M1240" i="1"/>
  <c r="M1239" i="1"/>
  <c r="M1238" i="1"/>
  <c r="M1237" i="1"/>
  <c r="Q1235" i="1"/>
  <c r="Q1234" i="1"/>
  <c r="Q1233" i="1"/>
  <c r="Q1232" i="1"/>
  <c r="Q1231" i="1"/>
  <c r="Z1230" i="1"/>
  <c r="S1230" i="1"/>
  <c r="Q1230" i="1" s="1"/>
  <c r="Q1229" i="1"/>
  <c r="Q1228" i="1"/>
  <c r="Q1227" i="1"/>
  <c r="S1225" i="1"/>
  <c r="S1224" i="1"/>
  <c r="S1223" i="1"/>
  <c r="S1222" i="1"/>
  <c r="S1221" i="1"/>
  <c r="Q1220" i="1"/>
  <c r="Q1219" i="1"/>
  <c r="AE1218" i="1"/>
  <c r="Q1218" i="1"/>
  <c r="Q1217" i="1"/>
  <c r="Q1216" i="1"/>
  <c r="Q1215" i="1"/>
  <c r="Q1214" i="1"/>
  <c r="Q1213" i="1"/>
  <c r="Q1212" i="1"/>
  <c r="Q1211" i="1"/>
  <c r="S1210" i="1"/>
  <c r="Q1210" i="1" s="1"/>
  <c r="AM1209" i="1"/>
  <c r="AN1209" i="1" s="1"/>
  <c r="Q1209" i="1"/>
  <c r="AE1208" i="1"/>
  <c r="S1208" i="1"/>
  <c r="Q1208" i="1" s="1"/>
  <c r="Q1207" i="1"/>
  <c r="AM1206" i="1"/>
  <c r="AN1206" i="1" s="1"/>
  <c r="Q1206" i="1"/>
  <c r="Q1205" i="1"/>
  <c r="Q1204" i="1"/>
  <c r="AE1203" i="1"/>
  <c r="S1203" i="1"/>
  <c r="Q1203" i="1" s="1"/>
  <c r="Q1202" i="1"/>
  <c r="Q1201" i="1"/>
  <c r="Q1200" i="1"/>
  <c r="AM1199" i="1"/>
  <c r="AN1199" i="1" s="1"/>
  <c r="Q1199" i="1"/>
  <c r="Q1198" i="1"/>
  <c r="Q1197" i="1"/>
  <c r="AM1196" i="1"/>
  <c r="AN1196" i="1" s="1"/>
  <c r="Q1196" i="1"/>
  <c r="S1195" i="1"/>
  <c r="S1194" i="1"/>
  <c r="S1193" i="1"/>
  <c r="S1192" i="1"/>
  <c r="AM1191" i="1"/>
  <c r="AN1191" i="1" s="1"/>
  <c r="Z1191" i="1"/>
  <c r="S1191" i="1"/>
  <c r="AM1190" i="1"/>
  <c r="AN1190" i="1" s="1"/>
  <c r="AM1189" i="1"/>
  <c r="AN1189" i="1" s="1"/>
  <c r="AM1188" i="1"/>
  <c r="AN1188" i="1" s="1"/>
  <c r="AM1187" i="1"/>
  <c r="AN1187" i="1" s="1"/>
  <c r="AE1187" i="1"/>
  <c r="S1187" i="1"/>
  <c r="AM1186" i="1"/>
  <c r="AN1186" i="1" s="1"/>
  <c r="AN1185" i="1"/>
  <c r="S1185" i="1"/>
  <c r="AM1184" i="1"/>
  <c r="AN1184" i="1" s="1"/>
  <c r="AM1183" i="1"/>
  <c r="AN1183" i="1" s="1"/>
  <c r="AM1182" i="1"/>
  <c r="AN1182" i="1" s="1"/>
  <c r="AM1181" i="1"/>
  <c r="AN1181" i="1" s="1"/>
  <c r="AE1181" i="1"/>
  <c r="S1181" i="1"/>
  <c r="Q1181" i="1" s="1"/>
  <c r="AM1180" i="1"/>
  <c r="AN1180" i="1" s="1"/>
  <c r="Q1180" i="1"/>
  <c r="AM1179" i="1"/>
  <c r="AN1179" i="1" s="1"/>
  <c r="AE1179" i="1"/>
  <c r="S1179" i="1"/>
  <c r="Q1179" i="1" s="1"/>
  <c r="AM1178" i="1"/>
  <c r="AN1178" i="1" s="1"/>
  <c r="AE1178" i="1"/>
  <c r="S1178" i="1"/>
  <c r="Q1178" i="1" s="1"/>
  <c r="AM1177" i="1"/>
  <c r="AN1177" i="1" s="1"/>
  <c r="Z1177" i="1"/>
  <c r="S1177" i="1"/>
  <c r="Q1177" i="1" s="1"/>
  <c r="AM1176" i="1"/>
  <c r="AN1176" i="1" s="1"/>
  <c r="Q1176" i="1"/>
  <c r="S1175" i="1"/>
  <c r="Q1175" i="1" s="1"/>
  <c r="AM1174" i="1"/>
  <c r="AN1174" i="1" s="1"/>
  <c r="S1174" i="1"/>
  <c r="AM1173" i="1"/>
  <c r="AN1173" i="1" s="1"/>
  <c r="AE1173" i="1"/>
  <c r="S1173" i="1"/>
  <c r="AM1172" i="1"/>
  <c r="AN1172" i="1" s="1"/>
  <c r="S1171" i="1"/>
  <c r="S1170" i="1"/>
  <c r="S1169" i="1"/>
  <c r="S1168" i="1"/>
  <c r="S1167" i="1"/>
  <c r="S1166" i="1"/>
  <c r="S1165" i="1"/>
  <c r="S1164" i="1"/>
  <c r="S1163" i="1"/>
  <c r="S1162" i="1"/>
  <c r="S1161" i="1"/>
  <c r="S1160" i="1"/>
  <c r="S1159" i="1"/>
  <c r="S1158" i="1"/>
  <c r="S1157" i="1"/>
  <c r="AM1156" i="1"/>
  <c r="AN1156" i="1" s="1"/>
  <c r="AE1156" i="1"/>
  <c r="S1156" i="1"/>
  <c r="AM1155" i="1"/>
  <c r="AN1155" i="1" s="1"/>
  <c r="AE1155" i="1"/>
  <c r="S1155" i="1"/>
  <c r="AM1154" i="1"/>
  <c r="AN1154" i="1" s="1"/>
  <c r="AE1154" i="1"/>
  <c r="S1154" i="1"/>
  <c r="AM1153" i="1"/>
  <c r="AN1153" i="1" s="1"/>
  <c r="AE1153" i="1"/>
  <c r="S1153" i="1"/>
  <c r="AM1152" i="1"/>
  <c r="AN1152" i="1" s="1"/>
  <c r="AE1152" i="1"/>
  <c r="S1152" i="1"/>
  <c r="AM1151" i="1"/>
  <c r="AN1151" i="1" s="1"/>
  <c r="AE1151" i="1"/>
  <c r="S1151" i="1"/>
  <c r="AM1150" i="1"/>
  <c r="AN1150" i="1" s="1"/>
  <c r="AE1150" i="1"/>
  <c r="S1150" i="1"/>
  <c r="AM1149" i="1"/>
  <c r="AN1149" i="1" s="1"/>
  <c r="AE1149" i="1"/>
  <c r="S1149" i="1"/>
  <c r="AM1148" i="1"/>
  <c r="AN1148" i="1" s="1"/>
  <c r="AE1148" i="1"/>
  <c r="S1148" i="1"/>
  <c r="AM1147" i="1"/>
  <c r="AN1147" i="1" s="1"/>
  <c r="AE1147" i="1"/>
  <c r="S1147" i="1"/>
  <c r="AM1146" i="1"/>
  <c r="AN1146" i="1" s="1"/>
  <c r="AE1146" i="1"/>
  <c r="S1146" i="1"/>
  <c r="S1145" i="1"/>
  <c r="S1144" i="1"/>
  <c r="AE1143" i="1"/>
  <c r="S1143" i="1"/>
  <c r="AM1142" i="1"/>
  <c r="AN1142" i="1" s="1"/>
  <c r="S1142" i="1"/>
  <c r="AM1140" i="1"/>
  <c r="AN1140" i="1" s="1"/>
  <c r="S1139" i="1"/>
  <c r="AM1138" i="1"/>
  <c r="AN1138" i="1" s="1"/>
  <c r="AE1138" i="1"/>
  <c r="S1138" i="1"/>
  <c r="AM1137" i="1"/>
  <c r="AL1137" i="1"/>
  <c r="S1137" i="1"/>
  <c r="AM1136" i="1"/>
  <c r="AN1136" i="1" s="1"/>
  <c r="S1136" i="1"/>
  <c r="AM1135" i="1"/>
  <c r="AN1135" i="1" s="1"/>
  <c r="AM1134" i="1"/>
  <c r="AN1134" i="1" s="1"/>
  <c r="AM1133" i="1"/>
  <c r="AN1133" i="1" s="1"/>
  <c r="S1132" i="1"/>
  <c r="AM1131" i="1"/>
  <c r="AN1131" i="1" s="1"/>
  <c r="S1130" i="1"/>
  <c r="S1129" i="1"/>
  <c r="S1128" i="1"/>
  <c r="S1127" i="1"/>
  <c r="AM1126" i="1"/>
  <c r="AN1126" i="1" s="1"/>
  <c r="S1125" i="1"/>
  <c r="AM1124" i="1"/>
  <c r="AN1124" i="1" s="1"/>
  <c r="S1123" i="1"/>
  <c r="S1122" i="1"/>
  <c r="S1121" i="1"/>
  <c r="S1120" i="1"/>
  <c r="S1119" i="1"/>
  <c r="S1117" i="1"/>
  <c r="S1109" i="1"/>
  <c r="S1108" i="1"/>
  <c r="S1107" i="1"/>
  <c r="S1106" i="1"/>
  <c r="AM1104" i="1"/>
  <c r="AL1104" i="1"/>
  <c r="S1104" i="1"/>
  <c r="AM1103" i="1"/>
  <c r="AN1103" i="1" s="1"/>
  <c r="AM1102" i="1"/>
  <c r="AN1102" i="1" s="1"/>
  <c r="AM1099" i="1"/>
  <c r="AL1099" i="1"/>
  <c r="AM1098" i="1"/>
  <c r="AL1098" i="1"/>
  <c r="AN1098" i="1" s="1"/>
  <c r="AM1097" i="1"/>
  <c r="AN1097" i="1" s="1"/>
  <c r="AM1096" i="1"/>
  <c r="AL1096" i="1"/>
  <c r="AM1095" i="1"/>
  <c r="AL1095" i="1"/>
  <c r="AM1094" i="1"/>
  <c r="AL1094" i="1"/>
  <c r="AM1093" i="1"/>
  <c r="AL1093" i="1"/>
  <c r="AM1092" i="1"/>
  <c r="AL1092" i="1"/>
  <c r="AM1091" i="1"/>
  <c r="AL1091" i="1"/>
  <c r="S1091" i="1"/>
  <c r="AM1090" i="1"/>
  <c r="AL1090" i="1"/>
  <c r="AM1089" i="1"/>
  <c r="AL1089" i="1"/>
  <c r="AM1088" i="1"/>
  <c r="AL1088" i="1"/>
  <c r="AM1087" i="1"/>
  <c r="AL1087" i="1"/>
  <c r="AM1086" i="1"/>
  <c r="AL1086" i="1"/>
  <c r="AM1085" i="1"/>
  <c r="AL1085" i="1"/>
  <c r="AM1084" i="1"/>
  <c r="AL1084" i="1"/>
  <c r="S1083" i="1"/>
  <c r="AM1082" i="1"/>
  <c r="AL1082" i="1"/>
  <c r="AM1081" i="1"/>
  <c r="AL1081" i="1"/>
  <c r="AM1080" i="1"/>
  <c r="AL1080" i="1"/>
  <c r="AM1079" i="1"/>
  <c r="AL1079" i="1"/>
  <c r="AM1078" i="1"/>
  <c r="AL1078" i="1"/>
  <c r="AM1077" i="1"/>
  <c r="AL1077" i="1"/>
  <c r="AM1076" i="1"/>
  <c r="AL1076" i="1"/>
  <c r="AM1075" i="1"/>
  <c r="AL1075" i="1"/>
  <c r="AM1074" i="1"/>
  <c r="AL1074" i="1"/>
  <c r="AM1073" i="1"/>
  <c r="AL1073" i="1"/>
  <c r="AM1072" i="1"/>
  <c r="AL1072" i="1"/>
  <c r="AM1071" i="1"/>
  <c r="AN1071" i="1" s="1"/>
  <c r="S1071" i="1"/>
  <c r="AM1070" i="1"/>
  <c r="AN1070" i="1" s="1"/>
  <c r="AM1069" i="1"/>
  <c r="AL1069" i="1"/>
  <c r="AM1068" i="1"/>
  <c r="AL1068" i="1"/>
  <c r="AM1067" i="1"/>
  <c r="AL1067" i="1"/>
  <c r="AM1066" i="1"/>
  <c r="AL1066" i="1"/>
  <c r="AM1065" i="1"/>
  <c r="AL1065" i="1"/>
  <c r="AM1064" i="1"/>
  <c r="AL1064" i="1"/>
  <c r="AM1063" i="1"/>
  <c r="AL1063" i="1"/>
  <c r="AM1062" i="1"/>
  <c r="AL1062" i="1"/>
  <c r="AM1061" i="1"/>
  <c r="AL1061" i="1"/>
  <c r="AM1060" i="1"/>
  <c r="AL1060" i="1"/>
  <c r="AM1059" i="1"/>
  <c r="AN1059" i="1" s="1"/>
  <c r="AM1058" i="1"/>
  <c r="AN1058" i="1" s="1"/>
  <c r="AM1057" i="1"/>
  <c r="AN1057" i="1" s="1"/>
  <c r="AM1056" i="1"/>
  <c r="AL1056" i="1"/>
  <c r="AM1055" i="1"/>
  <c r="AL1055" i="1"/>
  <c r="AM1054" i="1"/>
  <c r="AL1054" i="1"/>
  <c r="AM1053" i="1"/>
  <c r="AN1053" i="1" s="1"/>
  <c r="AL1053" i="1"/>
  <c r="S1050" i="1"/>
  <c r="S1049" i="1"/>
  <c r="AO1047" i="1"/>
  <c r="AM1047" i="1"/>
  <c r="AK1047" i="1"/>
  <c r="AE1047" i="1"/>
  <c r="B1047" i="1"/>
  <c r="AO1046" i="1"/>
  <c r="AM1046" i="1"/>
  <c r="AK1046" i="1"/>
  <c r="AE1046" i="1"/>
  <c r="B1046" i="1"/>
  <c r="AO1045" i="1"/>
  <c r="AM1045" i="1"/>
  <c r="AK1045" i="1"/>
  <c r="AE1045" i="1"/>
  <c r="B1045" i="1"/>
  <c r="AO1044" i="1"/>
  <c r="AM1044" i="1"/>
  <c r="AK1044" i="1"/>
  <c r="AE1044" i="1"/>
  <c r="B1044" i="1"/>
  <c r="AO1043" i="1"/>
  <c r="AM1043" i="1"/>
  <c r="AK1043" i="1"/>
  <c r="AE1043" i="1"/>
  <c r="B1043" i="1"/>
  <c r="AO1042" i="1"/>
  <c r="AM1042" i="1"/>
  <c r="AK1042" i="1"/>
  <c r="AE1042" i="1"/>
  <c r="B1042" i="1"/>
  <c r="AO1041" i="1"/>
  <c r="AM1041" i="1"/>
  <c r="AK1041" i="1"/>
  <c r="AE1041" i="1"/>
  <c r="B1041" i="1"/>
  <c r="AO1040" i="1"/>
  <c r="AM1040" i="1"/>
  <c r="AK1040" i="1"/>
  <c r="AE1040" i="1"/>
  <c r="B1040" i="1"/>
  <c r="AO1039" i="1"/>
  <c r="AM1039" i="1"/>
  <c r="AK1039" i="1"/>
  <c r="AE1039" i="1"/>
  <c r="B1039" i="1"/>
  <c r="AO1038" i="1"/>
  <c r="AM1038" i="1"/>
  <c r="AK1038" i="1"/>
  <c r="AE1038" i="1"/>
  <c r="B1038" i="1"/>
  <c r="AO1037" i="1"/>
  <c r="AM1037" i="1"/>
  <c r="AK1037" i="1"/>
  <c r="AE1037" i="1"/>
  <c r="B1037" i="1"/>
  <c r="AM1036" i="1"/>
  <c r="AK1036" i="1"/>
  <c r="S1036" i="1"/>
  <c r="AE1036" i="1" s="1"/>
  <c r="B1036" i="1"/>
  <c r="AM1035" i="1"/>
  <c r="AK1035" i="1"/>
  <c r="S1035" i="1"/>
  <c r="AE1035" i="1" s="1"/>
  <c r="B1035" i="1"/>
  <c r="AM1034" i="1"/>
  <c r="AK1034" i="1"/>
  <c r="S1034" i="1"/>
  <c r="AO1034" i="1" s="1"/>
  <c r="B1034" i="1"/>
  <c r="AM1033" i="1"/>
  <c r="AK1033" i="1"/>
  <c r="S1033" i="1"/>
  <c r="AE1033" i="1" s="1"/>
  <c r="B1033" i="1"/>
  <c r="AM1032" i="1"/>
  <c r="AK1032" i="1"/>
  <c r="S1032" i="1"/>
  <c r="AE1032" i="1" s="1"/>
  <c r="B1032" i="1"/>
  <c r="AM1031" i="1"/>
  <c r="AK1031" i="1"/>
  <c r="S1031" i="1"/>
  <c r="AO1031" i="1" s="1"/>
  <c r="B1031" i="1"/>
  <c r="AM1030" i="1"/>
  <c r="AK1030" i="1"/>
  <c r="S1030" i="1"/>
  <c r="AO1030" i="1" s="1"/>
  <c r="B1030" i="1"/>
  <c r="AM1029" i="1"/>
  <c r="AK1029" i="1"/>
  <c r="S1029" i="1"/>
  <c r="AO1029" i="1" s="1"/>
  <c r="B1029" i="1"/>
  <c r="AO1028" i="1"/>
  <c r="AM1028" i="1"/>
  <c r="AK1028" i="1"/>
  <c r="S1028" i="1"/>
  <c r="AE1028" i="1" s="1"/>
  <c r="B1028" i="1"/>
  <c r="AM1027" i="1"/>
  <c r="AK1027" i="1"/>
  <c r="S1027" i="1"/>
  <c r="AE1027" i="1" s="1"/>
  <c r="B1027" i="1"/>
  <c r="AM1026" i="1"/>
  <c r="AK1026" i="1"/>
  <c r="S1026" i="1"/>
  <c r="AO1026" i="1" s="1"/>
  <c r="B1026" i="1"/>
  <c r="AM1025" i="1"/>
  <c r="AK1025" i="1"/>
  <c r="S1025" i="1"/>
  <c r="AE1025" i="1" s="1"/>
  <c r="B1025" i="1"/>
  <c r="AM1024" i="1"/>
  <c r="AK1024" i="1"/>
  <c r="S1024" i="1"/>
  <c r="AE1024" i="1" s="1"/>
  <c r="B1024" i="1"/>
  <c r="AM1023" i="1"/>
  <c r="AK1023" i="1"/>
  <c r="S1023" i="1"/>
  <c r="AE1023" i="1" s="1"/>
  <c r="B1023" i="1"/>
  <c r="AO1022" i="1"/>
  <c r="AM1022" i="1"/>
  <c r="AK1022" i="1"/>
  <c r="AE1022" i="1"/>
  <c r="B1022" i="1"/>
  <c r="AM1021" i="1"/>
  <c r="AK1021" i="1"/>
  <c r="S1021" i="1"/>
  <c r="AO1021" i="1" s="1"/>
  <c r="B1021" i="1"/>
  <c r="AM1020" i="1"/>
  <c r="AK1020" i="1"/>
  <c r="S1020" i="1"/>
  <c r="AO1020" i="1" s="1"/>
  <c r="B1020" i="1"/>
  <c r="AM1019" i="1"/>
  <c r="AK1019" i="1"/>
  <c r="S1019" i="1"/>
  <c r="AO1019" i="1" s="1"/>
  <c r="B1019" i="1"/>
  <c r="AM1018" i="1"/>
  <c r="AK1018" i="1"/>
  <c r="S1018" i="1"/>
  <c r="AO1018" i="1" s="1"/>
  <c r="B1018" i="1"/>
  <c r="AM1017" i="1"/>
  <c r="AK1017" i="1"/>
  <c r="S1017" i="1"/>
  <c r="AO1017" i="1" s="1"/>
  <c r="B1017" i="1"/>
  <c r="AM1016" i="1"/>
  <c r="AK1016" i="1"/>
  <c r="S1016" i="1"/>
  <c r="AE1016" i="1" s="1"/>
  <c r="B1016" i="1"/>
  <c r="AM1015" i="1"/>
  <c r="AK1015" i="1"/>
  <c r="S1015" i="1"/>
  <c r="AO1015" i="1" s="1"/>
  <c r="B1015" i="1"/>
  <c r="AM1014" i="1"/>
  <c r="AK1014" i="1"/>
  <c r="S1014" i="1"/>
  <c r="AO1014" i="1" s="1"/>
  <c r="B1014" i="1"/>
  <c r="AM1013" i="1"/>
  <c r="AK1013" i="1"/>
  <c r="S1013" i="1"/>
  <c r="AO1013" i="1" s="1"/>
  <c r="B1013" i="1"/>
  <c r="AM1012" i="1"/>
  <c r="AK1012" i="1"/>
  <c r="S1012" i="1"/>
  <c r="AO1012" i="1" s="1"/>
  <c r="B1012" i="1"/>
  <c r="AM1011" i="1"/>
  <c r="AK1011" i="1"/>
  <c r="S1011" i="1"/>
  <c r="AO1011" i="1" s="1"/>
  <c r="B1011" i="1"/>
  <c r="AM1010" i="1"/>
  <c r="AK1010" i="1"/>
  <c r="S1010" i="1"/>
  <c r="AO1010" i="1" s="1"/>
  <c r="B1010" i="1"/>
  <c r="AM1009" i="1"/>
  <c r="AK1009" i="1"/>
  <c r="S1009" i="1"/>
  <c r="AO1009" i="1" s="1"/>
  <c r="B1009" i="1"/>
  <c r="AM1008" i="1"/>
  <c r="AK1008" i="1"/>
  <c r="S1008" i="1"/>
  <c r="AO1008" i="1" s="1"/>
  <c r="B1008" i="1"/>
  <c r="AM1007" i="1"/>
  <c r="AK1007" i="1"/>
  <c r="S1007" i="1"/>
  <c r="AO1007" i="1" s="1"/>
  <c r="B1007" i="1"/>
  <c r="AM1006" i="1"/>
  <c r="AK1006" i="1"/>
  <c r="S1006" i="1"/>
  <c r="AO1006" i="1" s="1"/>
  <c r="B1006" i="1"/>
  <c r="AM1005" i="1"/>
  <c r="AK1005" i="1"/>
  <c r="S1005" i="1"/>
  <c r="AO1005" i="1" s="1"/>
  <c r="B1005" i="1"/>
  <c r="AM1004" i="1"/>
  <c r="AK1004" i="1"/>
  <c r="S1004" i="1"/>
  <c r="AO1004" i="1" s="1"/>
  <c r="B1004" i="1"/>
  <c r="AM1003" i="1"/>
  <c r="AK1003" i="1"/>
  <c r="S1003" i="1"/>
  <c r="AO1003" i="1" s="1"/>
  <c r="B1003" i="1"/>
  <c r="AM1002" i="1"/>
  <c r="AK1002" i="1"/>
  <c r="S1002" i="1"/>
  <c r="AO1002" i="1" s="1"/>
  <c r="B1002" i="1"/>
  <c r="AM1001" i="1"/>
  <c r="AK1001" i="1"/>
  <c r="S1001" i="1"/>
  <c r="AO1001" i="1" s="1"/>
  <c r="B1001" i="1"/>
  <c r="AM1000" i="1"/>
  <c r="AK1000" i="1"/>
  <c r="S1000" i="1"/>
  <c r="AE1000" i="1" s="1"/>
  <c r="B1000" i="1"/>
  <c r="AM999" i="1"/>
  <c r="AK999" i="1"/>
  <c r="S999" i="1"/>
  <c r="AO999" i="1" s="1"/>
  <c r="B999" i="1"/>
  <c r="AM998" i="1"/>
  <c r="AK998" i="1"/>
  <c r="S998" i="1"/>
  <c r="AO998" i="1" s="1"/>
  <c r="B998" i="1"/>
  <c r="AM997" i="1"/>
  <c r="AK997" i="1"/>
  <c r="S997" i="1"/>
  <c r="AO997" i="1" s="1"/>
  <c r="B997" i="1"/>
  <c r="AM996" i="1"/>
  <c r="AK996" i="1"/>
  <c r="S996" i="1"/>
  <c r="AO996" i="1" s="1"/>
  <c r="B996" i="1"/>
  <c r="AM995" i="1"/>
  <c r="AK995" i="1"/>
  <c r="S995" i="1"/>
  <c r="AO995" i="1" s="1"/>
  <c r="B995" i="1"/>
  <c r="AM994" i="1"/>
  <c r="AK994" i="1"/>
  <c r="S994" i="1"/>
  <c r="AO994" i="1" s="1"/>
  <c r="B994" i="1"/>
  <c r="AM993" i="1"/>
  <c r="AK993" i="1"/>
  <c r="S993" i="1"/>
  <c r="AO993" i="1" s="1"/>
  <c r="B993" i="1"/>
  <c r="AM992" i="1"/>
  <c r="AK992" i="1"/>
  <c r="S992" i="1"/>
  <c r="AO992" i="1" s="1"/>
  <c r="B992" i="1"/>
  <c r="AM991" i="1"/>
  <c r="AK991" i="1"/>
  <c r="S991" i="1"/>
  <c r="AO991" i="1" s="1"/>
  <c r="B991" i="1"/>
  <c r="AM990" i="1"/>
  <c r="AK990" i="1"/>
  <c r="S990" i="1"/>
  <c r="AO990" i="1" s="1"/>
  <c r="B990" i="1"/>
  <c r="AM989" i="1"/>
  <c r="AK989" i="1"/>
  <c r="S989" i="1"/>
  <c r="AO989" i="1" s="1"/>
  <c r="B989" i="1"/>
  <c r="AM988" i="1"/>
  <c r="AK988" i="1"/>
  <c r="S988" i="1"/>
  <c r="AO988" i="1" s="1"/>
  <c r="B988" i="1"/>
  <c r="AM987" i="1"/>
  <c r="AK987" i="1"/>
  <c r="S987" i="1"/>
  <c r="AO987" i="1" s="1"/>
  <c r="B987" i="1"/>
  <c r="AM986" i="1"/>
  <c r="AK986" i="1"/>
  <c r="S986" i="1"/>
  <c r="AO986" i="1" s="1"/>
  <c r="B986" i="1"/>
  <c r="AM985" i="1"/>
  <c r="AK985" i="1"/>
  <c r="S985" i="1"/>
  <c r="AO985" i="1" s="1"/>
  <c r="B985" i="1"/>
  <c r="AM984" i="1"/>
  <c r="AK984" i="1"/>
  <c r="S984" i="1"/>
  <c r="AO984" i="1" s="1"/>
  <c r="B984" i="1"/>
  <c r="AM983" i="1"/>
  <c r="AK983" i="1"/>
  <c r="S983" i="1"/>
  <c r="AO983" i="1" s="1"/>
  <c r="B983" i="1"/>
  <c r="AM982" i="1"/>
  <c r="AK982" i="1"/>
  <c r="S982" i="1"/>
  <c r="AO982" i="1" s="1"/>
  <c r="B982" i="1"/>
  <c r="AM981" i="1"/>
  <c r="AK981" i="1"/>
  <c r="S981" i="1"/>
  <c r="AO981" i="1" s="1"/>
  <c r="B981" i="1"/>
  <c r="AM980" i="1"/>
  <c r="AK980" i="1"/>
  <c r="S980" i="1"/>
  <c r="AO980" i="1" s="1"/>
  <c r="B980" i="1"/>
  <c r="AM979" i="1"/>
  <c r="AK979" i="1"/>
  <c r="S979" i="1"/>
  <c r="AO979" i="1" s="1"/>
  <c r="B979" i="1"/>
  <c r="AM978" i="1"/>
  <c r="AK978" i="1"/>
  <c r="S978" i="1"/>
  <c r="AO978" i="1" s="1"/>
  <c r="B978" i="1"/>
  <c r="AM977" i="1"/>
  <c r="AK977" i="1"/>
  <c r="S977" i="1"/>
  <c r="AO977" i="1" s="1"/>
  <c r="B977" i="1"/>
  <c r="AM976" i="1"/>
  <c r="AK976" i="1"/>
  <c r="S976" i="1"/>
  <c r="AO976" i="1" s="1"/>
  <c r="B976" i="1"/>
  <c r="AO975" i="1"/>
  <c r="AM975" i="1"/>
  <c r="AK975" i="1"/>
  <c r="AE975" i="1"/>
  <c r="B975" i="1"/>
  <c r="AM974" i="1"/>
  <c r="AK974" i="1"/>
  <c r="S974" i="1"/>
  <c r="AO974" i="1" s="1"/>
  <c r="B974" i="1"/>
  <c r="AM973" i="1"/>
  <c r="AK973" i="1"/>
  <c r="S973" i="1"/>
  <c r="AE973" i="1" s="1"/>
  <c r="B973" i="1"/>
  <c r="AM972" i="1"/>
  <c r="AK972" i="1"/>
  <c r="S972" i="1"/>
  <c r="AE972" i="1" s="1"/>
  <c r="B972" i="1"/>
  <c r="AM971" i="1"/>
  <c r="AK971" i="1"/>
  <c r="S971" i="1"/>
  <c r="AO971" i="1" s="1"/>
  <c r="B971" i="1"/>
  <c r="AM970" i="1"/>
  <c r="AK970" i="1"/>
  <c r="S970" i="1"/>
  <c r="AO970" i="1" s="1"/>
  <c r="B970" i="1"/>
  <c r="AM969" i="1"/>
  <c r="AK969" i="1"/>
  <c r="S969" i="1"/>
  <c r="AE969" i="1" s="1"/>
  <c r="B969" i="1"/>
  <c r="AM968" i="1"/>
  <c r="AK968" i="1"/>
  <c r="S968" i="1"/>
  <c r="AE968" i="1" s="1"/>
  <c r="B968" i="1"/>
  <c r="AM967" i="1"/>
  <c r="AK967" i="1"/>
  <c r="S967" i="1"/>
  <c r="AO967" i="1" s="1"/>
  <c r="B967" i="1"/>
  <c r="AM966" i="1"/>
  <c r="AK966" i="1"/>
  <c r="S966" i="1"/>
  <c r="AO966" i="1" s="1"/>
  <c r="B966" i="1"/>
  <c r="AM965" i="1"/>
  <c r="AK965" i="1"/>
  <c r="S965" i="1"/>
  <c r="AE965" i="1" s="1"/>
  <c r="B965" i="1"/>
  <c r="AM964" i="1"/>
  <c r="AK964" i="1"/>
  <c r="S964" i="1"/>
  <c r="AE964" i="1" s="1"/>
  <c r="B964" i="1"/>
  <c r="AM963" i="1"/>
  <c r="AK963" i="1"/>
  <c r="S963" i="1"/>
  <c r="AO963" i="1" s="1"/>
  <c r="B963" i="1"/>
  <c r="AM962" i="1"/>
  <c r="AK962" i="1"/>
  <c r="S962" i="1"/>
  <c r="AO962" i="1" s="1"/>
  <c r="B962" i="1"/>
  <c r="AM961" i="1"/>
  <c r="AK961" i="1"/>
  <c r="S961" i="1"/>
  <c r="AE961" i="1" s="1"/>
  <c r="B961" i="1"/>
  <c r="AM960" i="1"/>
  <c r="AK960" i="1"/>
  <c r="S960" i="1"/>
  <c r="AE960" i="1" s="1"/>
  <c r="B960" i="1"/>
  <c r="AM959" i="1"/>
  <c r="AK959" i="1"/>
  <c r="S959" i="1"/>
  <c r="AO959" i="1" s="1"/>
  <c r="B959" i="1"/>
  <c r="AM958" i="1"/>
  <c r="AK958" i="1"/>
  <c r="S958" i="1"/>
  <c r="AE958" i="1" s="1"/>
  <c r="B958" i="1"/>
  <c r="AM957" i="1"/>
  <c r="AK957" i="1"/>
  <c r="S957" i="1"/>
  <c r="AE957" i="1" s="1"/>
  <c r="B957" i="1"/>
  <c r="AM956" i="1"/>
  <c r="AK956" i="1"/>
  <c r="S956" i="1"/>
  <c r="AE956" i="1" s="1"/>
  <c r="B956" i="1"/>
  <c r="AM955" i="1"/>
  <c r="AK955" i="1"/>
  <c r="S955" i="1"/>
  <c r="AO955" i="1" s="1"/>
  <c r="B955" i="1"/>
  <c r="AO954" i="1"/>
  <c r="AM954" i="1"/>
  <c r="AK954" i="1"/>
  <c r="AE954" i="1"/>
  <c r="B954" i="1"/>
  <c r="AO953" i="1"/>
  <c r="AM953" i="1"/>
  <c r="AK953" i="1"/>
  <c r="AE953" i="1"/>
  <c r="B953" i="1"/>
  <c r="AO952" i="1"/>
  <c r="AM952" i="1"/>
  <c r="AK952" i="1"/>
  <c r="AE952" i="1"/>
  <c r="B952" i="1"/>
  <c r="AO951" i="1"/>
  <c r="AM951" i="1"/>
  <c r="AK951" i="1"/>
  <c r="AE951" i="1"/>
  <c r="B951" i="1"/>
  <c r="AO950" i="1"/>
  <c r="AM950" i="1"/>
  <c r="AK950" i="1"/>
  <c r="AE950" i="1"/>
  <c r="B950" i="1"/>
  <c r="AO949" i="1"/>
  <c r="AM949" i="1"/>
  <c r="AK949" i="1"/>
  <c r="AE949" i="1"/>
  <c r="B949" i="1"/>
  <c r="AO948" i="1"/>
  <c r="AM948" i="1"/>
  <c r="AK948" i="1"/>
  <c r="AE948" i="1"/>
  <c r="B948" i="1"/>
  <c r="AO947" i="1"/>
  <c r="AM947" i="1"/>
  <c r="AK947" i="1"/>
  <c r="AE947" i="1"/>
  <c r="B947" i="1"/>
  <c r="AO946" i="1"/>
  <c r="AM946" i="1"/>
  <c r="AK946" i="1"/>
  <c r="AE946" i="1"/>
  <c r="B946" i="1"/>
  <c r="AO945" i="1"/>
  <c r="AM945" i="1"/>
  <c r="AK945" i="1"/>
  <c r="AE945" i="1"/>
  <c r="B945" i="1"/>
  <c r="AO944" i="1"/>
  <c r="AM944" i="1"/>
  <c r="AE944" i="1"/>
  <c r="Q944" i="1"/>
  <c r="B944" i="1"/>
  <c r="AO943" i="1"/>
  <c r="AM943" i="1"/>
  <c r="AK943" i="1"/>
  <c r="AE943" i="1"/>
  <c r="B943" i="1"/>
  <c r="AO942" i="1"/>
  <c r="AM942" i="1"/>
  <c r="AK942" i="1"/>
  <c r="AE942" i="1"/>
  <c r="B942" i="1"/>
  <c r="AO941" i="1"/>
  <c r="AM941" i="1"/>
  <c r="AK941" i="1"/>
  <c r="AE941" i="1"/>
  <c r="B941" i="1"/>
  <c r="AM940" i="1"/>
  <c r="Z940" i="1"/>
  <c r="S940" i="1"/>
  <c r="Q940" i="1" s="1"/>
  <c r="B940" i="1"/>
  <c r="AO939" i="1"/>
  <c r="AM939" i="1"/>
  <c r="AK939" i="1"/>
  <c r="AE939" i="1"/>
  <c r="B939" i="1"/>
  <c r="AM938" i="1"/>
  <c r="AK938" i="1"/>
  <c r="S938" i="1"/>
  <c r="AO938" i="1" s="1"/>
  <c r="B938" i="1"/>
  <c r="AM937" i="1"/>
  <c r="AK937" i="1"/>
  <c r="S937" i="1"/>
  <c r="AO937" i="1" s="1"/>
  <c r="B937" i="1"/>
  <c r="AM936" i="1"/>
  <c r="AK936" i="1"/>
  <c r="S936" i="1"/>
  <c r="AE936" i="1" s="1"/>
  <c r="B936" i="1"/>
  <c r="AM935" i="1"/>
  <c r="AK935" i="1"/>
  <c r="S935" i="1"/>
  <c r="AE935" i="1" s="1"/>
  <c r="B935" i="1"/>
  <c r="AO934" i="1"/>
  <c r="AM934" i="1"/>
  <c r="AK934" i="1"/>
  <c r="AE934" i="1"/>
  <c r="B934" i="1"/>
  <c r="AO933" i="1"/>
  <c r="AM933" i="1"/>
  <c r="AK933" i="1"/>
  <c r="AE933" i="1"/>
  <c r="B933" i="1"/>
  <c r="AO932" i="1"/>
  <c r="AM932" i="1"/>
  <c r="AK932" i="1"/>
  <c r="AE932" i="1"/>
  <c r="B932" i="1"/>
  <c r="AO931" i="1"/>
  <c r="AM931" i="1"/>
  <c r="AK931" i="1"/>
  <c r="AE931" i="1"/>
  <c r="B931" i="1"/>
  <c r="AO930" i="1"/>
  <c r="AM930" i="1"/>
  <c r="AK930" i="1"/>
  <c r="AE930" i="1"/>
  <c r="B930" i="1"/>
  <c r="AO929" i="1"/>
  <c r="AM929" i="1"/>
  <c r="AK929" i="1"/>
  <c r="AE929" i="1"/>
  <c r="B929" i="1"/>
  <c r="AO928" i="1"/>
  <c r="AM928" i="1"/>
  <c r="AK928" i="1"/>
  <c r="AE928" i="1"/>
  <c r="B928" i="1"/>
  <c r="AO927" i="1"/>
  <c r="AM927" i="1"/>
  <c r="AK927" i="1"/>
  <c r="AE927" i="1"/>
  <c r="B927" i="1"/>
  <c r="AO926" i="1"/>
  <c r="AM926" i="1"/>
  <c r="AK926" i="1"/>
  <c r="AE926" i="1"/>
  <c r="B926" i="1"/>
  <c r="AO925" i="1"/>
  <c r="AM925" i="1"/>
  <c r="AK925" i="1"/>
  <c r="AE925" i="1"/>
  <c r="B925" i="1"/>
  <c r="AM924" i="1"/>
  <c r="AK924" i="1"/>
  <c r="S924" i="1"/>
  <c r="AE924" i="1" s="1"/>
  <c r="B924" i="1"/>
  <c r="AM923" i="1"/>
  <c r="AK923" i="1"/>
  <c r="S923" i="1"/>
  <c r="AO923" i="1" s="1"/>
  <c r="B923" i="1"/>
  <c r="AM922" i="1"/>
  <c r="AK922" i="1"/>
  <c r="S922" i="1"/>
  <c r="AO922" i="1" s="1"/>
  <c r="B922" i="1"/>
  <c r="AM921" i="1"/>
  <c r="AK921" i="1"/>
  <c r="S921" i="1"/>
  <c r="AE921" i="1" s="1"/>
  <c r="B921" i="1"/>
  <c r="AM920" i="1"/>
  <c r="AK920" i="1"/>
  <c r="S920" i="1"/>
  <c r="AE920" i="1" s="1"/>
  <c r="B920" i="1"/>
  <c r="AM919" i="1"/>
  <c r="AK919" i="1"/>
  <c r="S919" i="1"/>
  <c r="AO919" i="1" s="1"/>
  <c r="B919" i="1"/>
  <c r="AM918" i="1"/>
  <c r="AK918" i="1"/>
  <c r="S918" i="1"/>
  <c r="AO918" i="1" s="1"/>
  <c r="B918" i="1"/>
  <c r="AM917" i="1"/>
  <c r="AK917" i="1"/>
  <c r="S917" i="1"/>
  <c r="AE917" i="1" s="1"/>
  <c r="B917" i="1"/>
  <c r="AM916" i="1"/>
  <c r="AK916" i="1"/>
  <c r="S916" i="1"/>
  <c r="AE916" i="1" s="1"/>
  <c r="B916" i="1"/>
  <c r="AM915" i="1"/>
  <c r="AK915" i="1"/>
  <c r="S915" i="1"/>
  <c r="AO915" i="1" s="1"/>
  <c r="B915" i="1"/>
  <c r="AM914" i="1"/>
  <c r="AK914" i="1"/>
  <c r="S914" i="1"/>
  <c r="AO914" i="1" s="1"/>
  <c r="B914" i="1"/>
  <c r="AM913" i="1"/>
  <c r="AK913" i="1"/>
  <c r="S913" i="1"/>
  <c r="AE913" i="1" s="1"/>
  <c r="B913" i="1"/>
  <c r="AM912" i="1"/>
  <c r="AK912" i="1"/>
  <c r="S912" i="1"/>
  <c r="AE912" i="1" s="1"/>
  <c r="B912" i="1"/>
  <c r="AM911" i="1"/>
  <c r="AK911" i="1"/>
  <c r="S911" i="1"/>
  <c r="AO911" i="1" s="1"/>
  <c r="B911" i="1"/>
  <c r="AM910" i="1"/>
  <c r="AK910" i="1"/>
  <c r="S910" i="1"/>
  <c r="AE910" i="1" s="1"/>
  <c r="B910" i="1"/>
  <c r="AM909" i="1"/>
  <c r="AK909" i="1"/>
  <c r="S909" i="1"/>
  <c r="AE909" i="1" s="1"/>
  <c r="B909" i="1"/>
  <c r="AM908" i="1"/>
  <c r="AK908" i="1"/>
  <c r="S908" i="1"/>
  <c r="AE908" i="1" s="1"/>
  <c r="B908" i="1"/>
  <c r="AM907" i="1"/>
  <c r="AK907" i="1"/>
  <c r="S907" i="1"/>
  <c r="AO907" i="1" s="1"/>
  <c r="B907" i="1"/>
  <c r="AM906" i="1"/>
  <c r="AK906" i="1"/>
  <c r="S906" i="1"/>
  <c r="AO906" i="1" s="1"/>
  <c r="B906" i="1"/>
  <c r="AM905" i="1"/>
  <c r="AK905" i="1"/>
  <c r="S905" i="1"/>
  <c r="AE905" i="1" s="1"/>
  <c r="B905" i="1"/>
  <c r="AM904" i="1"/>
  <c r="AK904" i="1"/>
  <c r="S904" i="1"/>
  <c r="AE904" i="1" s="1"/>
  <c r="B904" i="1"/>
  <c r="AM903" i="1"/>
  <c r="AK903" i="1"/>
  <c r="Z903" i="1"/>
  <c r="S903" i="1"/>
  <c r="AO903" i="1" s="1"/>
  <c r="B903" i="1"/>
  <c r="AM902" i="1"/>
  <c r="AK902" i="1"/>
  <c r="S902" i="1"/>
  <c r="AO902" i="1" s="1"/>
  <c r="B902" i="1"/>
  <c r="AM901" i="1"/>
  <c r="AK901" i="1"/>
  <c r="S901" i="1"/>
  <c r="AE901" i="1" s="1"/>
  <c r="B901" i="1"/>
  <c r="AM900" i="1"/>
  <c r="AK900" i="1"/>
  <c r="S900" i="1"/>
  <c r="AE900" i="1" s="1"/>
  <c r="B900" i="1"/>
  <c r="AM899" i="1"/>
  <c r="AK899" i="1"/>
  <c r="S899" i="1"/>
  <c r="AO899" i="1" s="1"/>
  <c r="B899" i="1"/>
  <c r="AM898" i="1"/>
  <c r="AK898" i="1"/>
  <c r="S898" i="1"/>
  <c r="AO898" i="1" s="1"/>
  <c r="B898" i="1"/>
  <c r="AM897" i="1"/>
  <c r="AK897" i="1"/>
  <c r="S897" i="1"/>
  <c r="AE897" i="1" s="1"/>
  <c r="B897" i="1"/>
  <c r="AM896" i="1"/>
  <c r="AK896" i="1"/>
  <c r="S896" i="1"/>
  <c r="AE896" i="1" s="1"/>
  <c r="B896" i="1"/>
  <c r="AM895" i="1"/>
  <c r="AK895" i="1"/>
  <c r="S895" i="1"/>
  <c r="AO895" i="1" s="1"/>
  <c r="B895" i="1"/>
  <c r="AM894" i="1"/>
  <c r="AK894" i="1"/>
  <c r="S894" i="1"/>
  <c r="AO894" i="1" s="1"/>
  <c r="B894" i="1"/>
  <c r="AM893" i="1"/>
  <c r="AK893" i="1"/>
  <c r="S893" i="1"/>
  <c r="AE893" i="1" s="1"/>
  <c r="B893" i="1"/>
  <c r="AM892" i="1"/>
  <c r="AK892" i="1"/>
  <c r="Z892" i="1"/>
  <c r="S892" i="1"/>
  <c r="AO892" i="1" s="1"/>
  <c r="B892" i="1"/>
  <c r="AM891" i="1"/>
  <c r="AK891" i="1"/>
  <c r="S891" i="1"/>
  <c r="AO891" i="1" s="1"/>
  <c r="B891" i="1"/>
  <c r="AM890" i="1"/>
  <c r="AK890" i="1"/>
  <c r="S890" i="1"/>
  <c r="AE890" i="1" s="1"/>
  <c r="B890" i="1"/>
  <c r="AM889" i="1"/>
  <c r="AK889" i="1"/>
  <c r="S889" i="1"/>
  <c r="AO889" i="1" s="1"/>
  <c r="B889" i="1"/>
  <c r="AM888" i="1"/>
  <c r="AK888" i="1"/>
  <c r="S888" i="1"/>
  <c r="AO888" i="1" s="1"/>
  <c r="B888" i="1"/>
  <c r="AM887" i="1"/>
  <c r="AK887" i="1"/>
  <c r="S887" i="1"/>
  <c r="AO887" i="1" s="1"/>
  <c r="B887" i="1"/>
  <c r="AM886" i="1"/>
  <c r="AK886" i="1"/>
  <c r="Z886" i="1"/>
  <c r="S886" i="1"/>
  <c r="AO886" i="1" s="1"/>
  <c r="B886" i="1"/>
  <c r="AM885" i="1"/>
  <c r="AK885" i="1"/>
  <c r="S885" i="1"/>
  <c r="AO885" i="1" s="1"/>
  <c r="B885" i="1"/>
  <c r="AM884" i="1"/>
  <c r="AK884" i="1"/>
  <c r="S884" i="1"/>
  <c r="AE884" i="1" s="1"/>
  <c r="B884" i="1"/>
  <c r="AM883" i="1"/>
  <c r="AK883" i="1"/>
  <c r="S883" i="1"/>
  <c r="AE883" i="1" s="1"/>
  <c r="B883" i="1"/>
  <c r="AM882" i="1"/>
  <c r="AK882" i="1"/>
  <c r="S882" i="1"/>
  <c r="AO882" i="1" s="1"/>
  <c r="B882" i="1"/>
  <c r="AM881" i="1"/>
  <c r="AK881" i="1"/>
  <c r="S881" i="1"/>
  <c r="AO881" i="1" s="1"/>
  <c r="B881" i="1"/>
  <c r="AM880" i="1"/>
  <c r="AK880" i="1"/>
  <c r="S880" i="1"/>
  <c r="AE880" i="1" s="1"/>
  <c r="B880" i="1"/>
  <c r="AM879" i="1"/>
  <c r="AK879" i="1"/>
  <c r="S879" i="1"/>
  <c r="AE879" i="1" s="1"/>
  <c r="B879" i="1"/>
  <c r="AM878" i="1"/>
  <c r="AK878" i="1"/>
  <c r="S878" i="1"/>
  <c r="AO878" i="1" s="1"/>
  <c r="B878" i="1"/>
  <c r="AM877" i="1"/>
  <c r="AK877" i="1"/>
  <c r="S877" i="1"/>
  <c r="AE877" i="1" s="1"/>
  <c r="B877" i="1"/>
  <c r="AM876" i="1"/>
  <c r="AK876" i="1"/>
  <c r="S876" i="1"/>
  <c r="AE876" i="1" s="1"/>
  <c r="B876" i="1"/>
  <c r="AM875" i="1"/>
  <c r="AK875" i="1"/>
  <c r="S875" i="1"/>
  <c r="AE875" i="1" s="1"/>
  <c r="B875" i="1"/>
  <c r="AM874" i="1"/>
  <c r="AK874" i="1"/>
  <c r="S874" i="1"/>
  <c r="AO874" i="1" s="1"/>
  <c r="B874" i="1"/>
  <c r="AM873" i="1"/>
  <c r="AK873" i="1"/>
  <c r="S873" i="1"/>
  <c r="AO873" i="1" s="1"/>
  <c r="B873" i="1"/>
  <c r="AM872" i="1"/>
  <c r="AK872" i="1"/>
  <c r="S872" i="1"/>
  <c r="AE872" i="1" s="1"/>
  <c r="B872" i="1"/>
  <c r="AM871" i="1"/>
  <c r="AK871" i="1"/>
  <c r="S871" i="1"/>
  <c r="AE871" i="1" s="1"/>
  <c r="B871" i="1"/>
  <c r="AM870" i="1"/>
  <c r="AK870" i="1"/>
  <c r="Z870" i="1"/>
  <c r="S870" i="1"/>
  <c r="B870" i="1"/>
  <c r="AM869" i="1"/>
  <c r="AK869" i="1"/>
  <c r="S869" i="1"/>
  <c r="AE869" i="1" s="1"/>
  <c r="B869" i="1"/>
  <c r="AM868" i="1"/>
  <c r="AK868" i="1"/>
  <c r="S868" i="1"/>
  <c r="AO868" i="1" s="1"/>
  <c r="B868" i="1"/>
  <c r="AM867" i="1"/>
  <c r="AK867" i="1"/>
  <c r="S867" i="1"/>
  <c r="AO867" i="1" s="1"/>
  <c r="B867" i="1"/>
  <c r="AM866" i="1"/>
  <c r="AK866" i="1"/>
  <c r="S866" i="1"/>
  <c r="AE866" i="1" s="1"/>
  <c r="B866" i="1"/>
  <c r="AM865" i="1"/>
  <c r="AK865" i="1"/>
  <c r="S865" i="1"/>
  <c r="AE865" i="1" s="1"/>
  <c r="B865" i="1"/>
  <c r="AM864" i="1"/>
  <c r="AK864" i="1"/>
  <c r="Z864" i="1"/>
  <c r="S864" i="1"/>
  <c r="AO864" i="1" s="1"/>
  <c r="B864" i="1"/>
  <c r="AM863" i="1"/>
  <c r="AK863" i="1"/>
  <c r="S863" i="1"/>
  <c r="AE863" i="1" s="1"/>
  <c r="B863" i="1"/>
  <c r="AM862" i="1"/>
  <c r="AK862" i="1"/>
  <c r="S862" i="1"/>
  <c r="AE862" i="1" s="1"/>
  <c r="B862" i="1"/>
  <c r="AM861" i="1"/>
  <c r="AK861" i="1"/>
  <c r="S861" i="1"/>
  <c r="AO861" i="1" s="1"/>
  <c r="B861" i="1"/>
  <c r="AM860" i="1"/>
  <c r="AK860" i="1"/>
  <c r="S860" i="1"/>
  <c r="AO860" i="1" s="1"/>
  <c r="B860" i="1"/>
  <c r="AM859" i="1"/>
  <c r="AK859" i="1"/>
  <c r="S859" i="1"/>
  <c r="AE859" i="1" s="1"/>
  <c r="B859" i="1"/>
  <c r="AM858" i="1"/>
  <c r="AK858" i="1"/>
  <c r="Z858" i="1"/>
  <c r="S858" i="1"/>
  <c r="AO858" i="1" s="1"/>
  <c r="B858" i="1"/>
  <c r="AM857" i="1"/>
  <c r="AK857" i="1"/>
  <c r="S857" i="1"/>
  <c r="AO857" i="1" s="1"/>
  <c r="B857" i="1"/>
  <c r="AM856" i="1"/>
  <c r="AK856" i="1"/>
  <c r="S856" i="1"/>
  <c r="AE856" i="1" s="1"/>
  <c r="B856" i="1"/>
  <c r="AM855" i="1"/>
  <c r="AK855" i="1"/>
  <c r="S855" i="1"/>
  <c r="AO855" i="1" s="1"/>
  <c r="B855" i="1"/>
  <c r="AM854" i="1"/>
  <c r="AK854" i="1"/>
  <c r="S854" i="1"/>
  <c r="AO854" i="1" s="1"/>
  <c r="B854" i="1"/>
  <c r="AM853" i="1"/>
  <c r="AK853" i="1"/>
  <c r="S853" i="1"/>
  <c r="AE853" i="1" s="1"/>
  <c r="B853" i="1"/>
  <c r="AM852" i="1"/>
  <c r="AK852" i="1"/>
  <c r="S852" i="1"/>
  <c r="AE852" i="1" s="1"/>
  <c r="B852" i="1"/>
  <c r="AM851" i="1"/>
  <c r="AK851" i="1"/>
  <c r="S851" i="1"/>
  <c r="AO851" i="1" s="1"/>
  <c r="B851" i="1"/>
  <c r="AM850" i="1"/>
  <c r="AK850" i="1"/>
  <c r="S850" i="1"/>
  <c r="AO850" i="1" s="1"/>
  <c r="B850" i="1"/>
  <c r="AM849" i="1"/>
  <c r="AK849" i="1"/>
  <c r="S849" i="1"/>
  <c r="AE849" i="1" s="1"/>
  <c r="B849" i="1"/>
  <c r="AM848" i="1"/>
  <c r="AK848" i="1"/>
  <c r="S848" i="1"/>
  <c r="AE848" i="1" s="1"/>
  <c r="B848" i="1"/>
  <c r="AM847" i="1"/>
  <c r="AK847" i="1"/>
  <c r="S847" i="1"/>
  <c r="AO847" i="1" s="1"/>
  <c r="B847" i="1"/>
  <c r="AM846" i="1"/>
  <c r="AK846" i="1"/>
  <c r="S846" i="1"/>
  <c r="AO846" i="1" s="1"/>
  <c r="B846" i="1"/>
  <c r="AM845" i="1"/>
  <c r="AK845" i="1"/>
  <c r="S845" i="1"/>
  <c r="AO845" i="1" s="1"/>
  <c r="B845" i="1"/>
  <c r="AM844" i="1"/>
  <c r="AK844" i="1"/>
  <c r="S844" i="1"/>
  <c r="AO844" i="1" s="1"/>
  <c r="B844" i="1"/>
  <c r="AM843" i="1"/>
  <c r="AK843" i="1"/>
  <c r="S843" i="1"/>
  <c r="AO843" i="1" s="1"/>
  <c r="B843" i="1"/>
  <c r="AM842" i="1"/>
  <c r="AK842" i="1"/>
  <c r="S842" i="1"/>
  <c r="AO842" i="1" s="1"/>
  <c r="B842" i="1"/>
  <c r="AM841" i="1"/>
  <c r="AK841" i="1"/>
  <c r="S841" i="1"/>
  <c r="AO841" i="1" s="1"/>
  <c r="B841" i="1"/>
  <c r="AM840" i="1"/>
  <c r="AK840" i="1"/>
  <c r="S840" i="1"/>
  <c r="AE840" i="1" s="1"/>
  <c r="B840" i="1"/>
  <c r="AM839" i="1"/>
  <c r="AK839" i="1"/>
  <c r="S839" i="1"/>
  <c r="AO839" i="1" s="1"/>
  <c r="B839" i="1"/>
  <c r="AM838" i="1"/>
  <c r="AK838" i="1"/>
  <c r="S838" i="1"/>
  <c r="AO838" i="1" s="1"/>
  <c r="B838" i="1"/>
  <c r="AM837" i="1"/>
  <c r="AK837" i="1"/>
  <c r="S837" i="1"/>
  <c r="AO837" i="1" s="1"/>
  <c r="B837" i="1"/>
  <c r="AM836" i="1"/>
  <c r="AK836" i="1"/>
  <c r="S836" i="1"/>
  <c r="AE836" i="1" s="1"/>
  <c r="B836" i="1"/>
  <c r="AM835" i="1"/>
  <c r="AK835" i="1"/>
  <c r="S835" i="1"/>
  <c r="AO835" i="1" s="1"/>
  <c r="B835" i="1"/>
  <c r="AO834" i="1"/>
  <c r="AM834" i="1"/>
  <c r="AK834" i="1"/>
  <c r="AE834" i="1"/>
  <c r="B834" i="1"/>
  <c r="AO833" i="1"/>
  <c r="AM833" i="1"/>
  <c r="AK833" i="1"/>
  <c r="AE833" i="1"/>
  <c r="B833" i="1"/>
  <c r="AO832" i="1"/>
  <c r="AM832" i="1"/>
  <c r="AK832" i="1"/>
  <c r="B832" i="1"/>
  <c r="AO831" i="1"/>
  <c r="AM831" i="1"/>
  <c r="AK831" i="1"/>
  <c r="AE831" i="1"/>
  <c r="B831" i="1"/>
  <c r="AO830" i="1"/>
  <c r="AM830" i="1"/>
  <c r="AK830" i="1"/>
  <c r="AE830" i="1"/>
  <c r="B830" i="1"/>
  <c r="AO829" i="1"/>
  <c r="AM829" i="1"/>
  <c r="AK829" i="1"/>
  <c r="AE829" i="1"/>
  <c r="B829" i="1"/>
  <c r="AO828" i="1"/>
  <c r="AM828" i="1"/>
  <c r="AK828" i="1"/>
  <c r="AE828" i="1"/>
  <c r="B828" i="1"/>
  <c r="AO827" i="1"/>
  <c r="AM827" i="1"/>
  <c r="AK827" i="1"/>
  <c r="AE827" i="1"/>
  <c r="B827" i="1"/>
  <c r="AO826" i="1"/>
  <c r="AM826" i="1"/>
  <c r="AK826" i="1"/>
  <c r="AE826" i="1"/>
  <c r="B826" i="1"/>
  <c r="AM825" i="1"/>
  <c r="AK825" i="1"/>
  <c r="Z825" i="1"/>
  <c r="S825" i="1"/>
  <c r="AO825" i="1" s="1"/>
  <c r="B825" i="1"/>
  <c r="AM824" i="1"/>
  <c r="AK824" i="1"/>
  <c r="Z824" i="1"/>
  <c r="S824" i="1"/>
  <c r="B824" i="1"/>
  <c r="AO823" i="1"/>
  <c r="AM823" i="1"/>
  <c r="AK823" i="1"/>
  <c r="Z823" i="1"/>
  <c r="AE823" i="1" s="1"/>
  <c r="B823" i="1"/>
  <c r="AO822" i="1"/>
  <c r="AM822" i="1"/>
  <c r="AK822" i="1"/>
  <c r="AE822" i="1"/>
  <c r="B822" i="1"/>
  <c r="AO821" i="1"/>
  <c r="AM821" i="1"/>
  <c r="AK821" i="1"/>
  <c r="AE821" i="1"/>
  <c r="B821" i="1"/>
  <c r="AO820" i="1"/>
  <c r="AM820" i="1"/>
  <c r="AK820" i="1"/>
  <c r="AE820" i="1"/>
  <c r="B820" i="1"/>
  <c r="AO819" i="1"/>
  <c r="AM819" i="1"/>
  <c r="AK819" i="1"/>
  <c r="AE819" i="1"/>
  <c r="B819" i="1"/>
  <c r="AO818" i="1"/>
  <c r="AM818" i="1"/>
  <c r="AK818" i="1"/>
  <c r="AE818" i="1"/>
  <c r="B818" i="1"/>
  <c r="AO817" i="1"/>
  <c r="AM817" i="1"/>
  <c r="AK817" i="1"/>
  <c r="AE817" i="1"/>
  <c r="B817" i="1"/>
  <c r="AO816" i="1"/>
  <c r="AM816" i="1"/>
  <c r="AK816" i="1"/>
  <c r="AE816" i="1"/>
  <c r="B816" i="1"/>
  <c r="AO815" i="1"/>
  <c r="AM815" i="1"/>
  <c r="AK815" i="1"/>
  <c r="AE815" i="1"/>
  <c r="B815" i="1"/>
  <c r="AO814" i="1"/>
  <c r="AM814" i="1"/>
  <c r="AK814" i="1"/>
  <c r="AE814" i="1"/>
  <c r="B814" i="1"/>
  <c r="AO813" i="1"/>
  <c r="AM813" i="1"/>
  <c r="AK813" i="1"/>
  <c r="AE813" i="1"/>
  <c r="B813" i="1"/>
  <c r="AO812" i="1"/>
  <c r="AM812" i="1"/>
  <c r="AK812" i="1"/>
  <c r="AE812" i="1"/>
  <c r="B812" i="1"/>
  <c r="AO811" i="1"/>
  <c r="AM811" i="1"/>
  <c r="AK811" i="1"/>
  <c r="AE811" i="1"/>
  <c r="B811" i="1"/>
  <c r="AO810" i="1"/>
  <c r="AM810" i="1"/>
  <c r="AK810" i="1"/>
  <c r="AE810" i="1"/>
  <c r="B810" i="1"/>
  <c r="AO809" i="1"/>
  <c r="AM809" i="1"/>
  <c r="AK809" i="1"/>
  <c r="AE809" i="1"/>
  <c r="B809" i="1"/>
  <c r="AO808" i="1"/>
  <c r="AM808" i="1"/>
  <c r="AK808" i="1"/>
  <c r="AE808" i="1"/>
  <c r="B808" i="1"/>
  <c r="AO807" i="1"/>
  <c r="AM807" i="1"/>
  <c r="AK807" i="1"/>
  <c r="AE807" i="1"/>
  <c r="B807" i="1"/>
  <c r="AO806" i="1"/>
  <c r="AM806" i="1"/>
  <c r="AK806" i="1"/>
  <c r="AE806" i="1"/>
  <c r="B806" i="1"/>
  <c r="AO805" i="1"/>
  <c r="AM805" i="1"/>
  <c r="AK805" i="1"/>
  <c r="AE805" i="1"/>
  <c r="B805" i="1"/>
  <c r="AO804" i="1"/>
  <c r="AM804" i="1"/>
  <c r="AK804" i="1"/>
  <c r="AE804" i="1"/>
  <c r="B804" i="1"/>
  <c r="AO803" i="1"/>
  <c r="AM803" i="1"/>
  <c r="AK803" i="1"/>
  <c r="AE803" i="1"/>
  <c r="B803" i="1"/>
  <c r="AO802" i="1"/>
  <c r="AM802" i="1"/>
  <c r="AK802" i="1"/>
  <c r="AE802" i="1"/>
  <c r="B802" i="1"/>
  <c r="AO801" i="1"/>
  <c r="AM801" i="1"/>
  <c r="AK801" i="1"/>
  <c r="AE801" i="1"/>
  <c r="B801" i="1"/>
  <c r="AO800" i="1"/>
  <c r="AM800" i="1"/>
  <c r="AK800" i="1"/>
  <c r="AE800" i="1"/>
  <c r="B800" i="1"/>
  <c r="AO799" i="1"/>
  <c r="AM799" i="1"/>
  <c r="AK799" i="1"/>
  <c r="AE799" i="1"/>
  <c r="B799" i="1"/>
  <c r="AO798" i="1"/>
  <c r="AM798" i="1"/>
  <c r="AK798" i="1"/>
  <c r="AE798" i="1"/>
  <c r="B798" i="1"/>
  <c r="AO797" i="1"/>
  <c r="AM797" i="1"/>
  <c r="AK797" i="1"/>
  <c r="AE797" i="1"/>
  <c r="B797" i="1"/>
  <c r="AO796" i="1"/>
  <c r="AM796" i="1"/>
  <c r="AK796" i="1"/>
  <c r="AE796" i="1"/>
  <c r="B796" i="1"/>
  <c r="AO795" i="1"/>
  <c r="AM795" i="1"/>
  <c r="AK795" i="1"/>
  <c r="AE795" i="1"/>
  <c r="B795" i="1"/>
  <c r="AO794" i="1"/>
  <c r="AM794" i="1"/>
  <c r="AK794" i="1"/>
  <c r="AE794" i="1"/>
  <c r="B794" i="1"/>
  <c r="AT793" i="1"/>
  <c r="AO793" i="1"/>
  <c r="AM793" i="1"/>
  <c r="AK793" i="1"/>
  <c r="AE793" i="1"/>
  <c r="B793" i="1"/>
  <c r="AO792" i="1"/>
  <c r="AM792" i="1"/>
  <c r="AK792" i="1"/>
  <c r="AE792" i="1"/>
  <c r="B792" i="1"/>
  <c r="AO791" i="1"/>
  <c r="AM791" i="1"/>
  <c r="AK791" i="1"/>
  <c r="AE791" i="1"/>
  <c r="B791" i="1"/>
  <c r="AO790" i="1"/>
  <c r="AM790" i="1"/>
  <c r="AK790" i="1"/>
  <c r="AE790" i="1"/>
  <c r="B790" i="1"/>
  <c r="AO789" i="1"/>
  <c r="AM789" i="1"/>
  <c r="AK789" i="1"/>
  <c r="AE789" i="1"/>
  <c r="B789" i="1"/>
  <c r="AO788" i="1"/>
  <c r="AM788" i="1"/>
  <c r="AK788" i="1"/>
  <c r="AE788" i="1"/>
  <c r="B788" i="1"/>
  <c r="AO787" i="1"/>
  <c r="AM787" i="1"/>
  <c r="AK787" i="1"/>
  <c r="AE787" i="1"/>
  <c r="B787" i="1"/>
  <c r="AO786" i="1"/>
  <c r="AM786" i="1"/>
  <c r="AK786" i="1"/>
  <c r="AE786" i="1"/>
  <c r="B786" i="1"/>
  <c r="AO785" i="1"/>
  <c r="AM785" i="1"/>
  <c r="AK785" i="1"/>
  <c r="AE785" i="1"/>
  <c r="B785" i="1"/>
  <c r="AO784" i="1"/>
  <c r="AM784" i="1"/>
  <c r="AK784" i="1"/>
  <c r="AE784" i="1"/>
  <c r="B784" i="1"/>
  <c r="AT783" i="1"/>
  <c r="AO783" i="1"/>
  <c r="AM783" i="1"/>
  <c r="AK783" i="1"/>
  <c r="B783" i="1"/>
  <c r="AO782" i="1"/>
  <c r="AM782" i="1"/>
  <c r="AK782" i="1"/>
  <c r="B782" i="1"/>
  <c r="AO781" i="1"/>
  <c r="AM781" i="1"/>
  <c r="AK781" i="1"/>
  <c r="AE781" i="1"/>
  <c r="B781" i="1"/>
  <c r="AO780" i="1"/>
  <c r="AM780" i="1"/>
  <c r="AK780" i="1"/>
  <c r="AE780" i="1"/>
  <c r="B780" i="1"/>
  <c r="AM779" i="1"/>
  <c r="AK779" i="1"/>
  <c r="Z779" i="1"/>
  <c r="S779" i="1"/>
  <c r="B779" i="1"/>
  <c r="AM778" i="1"/>
  <c r="AK778" i="1"/>
  <c r="S778" i="1"/>
  <c r="AE778" i="1" s="1"/>
  <c r="B778" i="1"/>
  <c r="AO777" i="1"/>
  <c r="AM777" i="1"/>
  <c r="AK777" i="1"/>
  <c r="AE777" i="1"/>
  <c r="B777" i="1"/>
  <c r="AO776" i="1"/>
  <c r="AM776" i="1"/>
  <c r="AK776" i="1"/>
  <c r="AE776" i="1"/>
  <c r="B776" i="1"/>
  <c r="AM775" i="1"/>
  <c r="AK775" i="1"/>
  <c r="S775" i="1"/>
  <c r="AE775" i="1" s="1"/>
  <c r="B775" i="1"/>
  <c r="AM774" i="1"/>
  <c r="AK774" i="1"/>
  <c r="S774" i="1"/>
  <c r="AE774" i="1" s="1"/>
  <c r="B774" i="1"/>
  <c r="AM773" i="1"/>
  <c r="AK773" i="1"/>
  <c r="S773" i="1"/>
  <c r="AO773" i="1" s="1"/>
  <c r="B773" i="1"/>
  <c r="AM772" i="1"/>
  <c r="AK772" i="1"/>
  <c r="S772" i="1"/>
  <c r="AO772" i="1" s="1"/>
  <c r="B772" i="1"/>
  <c r="AM771" i="1"/>
  <c r="AK771" i="1"/>
  <c r="S771" i="1"/>
  <c r="AO771" i="1" s="1"/>
  <c r="B771" i="1"/>
  <c r="AM770" i="1"/>
  <c r="AK770" i="1"/>
  <c r="S770" i="1"/>
  <c r="AE770" i="1" s="1"/>
  <c r="B770" i="1"/>
  <c r="AM769" i="1"/>
  <c r="AK769" i="1"/>
  <c r="S769" i="1"/>
  <c r="AO769" i="1" s="1"/>
  <c r="B769" i="1"/>
  <c r="AM768" i="1"/>
  <c r="AK768" i="1"/>
  <c r="S768" i="1"/>
  <c r="AO768" i="1" s="1"/>
  <c r="B768" i="1"/>
  <c r="AO767" i="1"/>
  <c r="AM767" i="1"/>
  <c r="AK767" i="1"/>
  <c r="AE767" i="1"/>
  <c r="B767" i="1"/>
  <c r="AM766" i="1"/>
  <c r="AK766" i="1"/>
  <c r="S766" i="1"/>
  <c r="AO766" i="1" s="1"/>
  <c r="B766" i="1"/>
  <c r="AM765" i="1"/>
  <c r="AK765" i="1"/>
  <c r="S765" i="1"/>
  <c r="AE765" i="1" s="1"/>
  <c r="B765" i="1"/>
  <c r="AM764" i="1"/>
  <c r="AK764" i="1"/>
  <c r="S764" i="1"/>
  <c r="AE764" i="1" s="1"/>
  <c r="B764" i="1"/>
  <c r="AM763" i="1"/>
  <c r="AK763" i="1"/>
  <c r="S763" i="1"/>
  <c r="AO763" i="1" s="1"/>
  <c r="B763" i="1"/>
  <c r="AM762" i="1"/>
  <c r="AK762" i="1"/>
  <c r="S762" i="1"/>
  <c r="AE762" i="1" s="1"/>
  <c r="B762" i="1"/>
  <c r="AM761" i="1"/>
  <c r="AK761" i="1"/>
  <c r="S761" i="1"/>
  <c r="AE761" i="1" s="1"/>
  <c r="B761" i="1"/>
  <c r="AM760" i="1"/>
  <c r="AK760" i="1"/>
  <c r="S760" i="1"/>
  <c r="AE760" i="1" s="1"/>
  <c r="B760" i="1"/>
  <c r="AM759" i="1"/>
  <c r="AK759" i="1"/>
  <c r="S759" i="1"/>
  <c r="AO759" i="1" s="1"/>
  <c r="B759" i="1"/>
  <c r="AM758" i="1"/>
  <c r="AK758" i="1"/>
  <c r="S758" i="1"/>
  <c r="AO758" i="1" s="1"/>
  <c r="B758" i="1"/>
  <c r="AM757" i="1"/>
  <c r="AK757" i="1"/>
  <c r="S757" i="1"/>
  <c r="AE757" i="1" s="1"/>
  <c r="Q757" i="1"/>
  <c r="B757" i="1"/>
  <c r="AM756" i="1"/>
  <c r="AK756" i="1"/>
  <c r="S756" i="1"/>
  <c r="AO756" i="1" s="1"/>
  <c r="B756" i="1"/>
  <c r="AM755" i="1"/>
  <c r="AK755" i="1"/>
  <c r="S755" i="1"/>
  <c r="AO755" i="1" s="1"/>
  <c r="B755" i="1"/>
  <c r="AM754" i="1"/>
  <c r="AK754" i="1"/>
  <c r="S754" i="1"/>
  <c r="AE754" i="1" s="1"/>
  <c r="B754" i="1"/>
  <c r="AM753" i="1"/>
  <c r="AK753" i="1"/>
  <c r="S753" i="1"/>
  <c r="AO753" i="1" s="1"/>
  <c r="B753" i="1"/>
  <c r="AM752" i="1"/>
  <c r="AK752" i="1"/>
  <c r="S752" i="1"/>
  <c r="AO752" i="1" s="1"/>
  <c r="B752" i="1"/>
  <c r="AM751" i="1"/>
  <c r="AK751" i="1"/>
  <c r="AE751" i="1"/>
  <c r="S751" i="1"/>
  <c r="AO751" i="1" s="1"/>
  <c r="B751" i="1"/>
  <c r="AO750" i="1"/>
  <c r="AM750" i="1"/>
  <c r="AK750" i="1"/>
  <c r="AE750" i="1"/>
  <c r="B750" i="1"/>
  <c r="AO749" i="1"/>
  <c r="AM749" i="1"/>
  <c r="AK749" i="1"/>
  <c r="AE749" i="1"/>
  <c r="B749" i="1"/>
  <c r="AM748" i="1"/>
  <c r="AK748" i="1"/>
  <c r="S748" i="1"/>
  <c r="AO748" i="1" s="1"/>
  <c r="B748" i="1"/>
  <c r="AM747" i="1"/>
  <c r="AK747" i="1"/>
  <c r="S747" i="1"/>
  <c r="AO747" i="1" s="1"/>
  <c r="B747" i="1"/>
  <c r="AM746" i="1"/>
  <c r="AK746" i="1"/>
  <c r="S746" i="1"/>
  <c r="AO746" i="1" s="1"/>
  <c r="B746" i="1"/>
  <c r="AO745" i="1"/>
  <c r="AM745" i="1"/>
  <c r="AK745" i="1"/>
  <c r="AE745" i="1"/>
  <c r="B745" i="1"/>
  <c r="AO744" i="1"/>
  <c r="AM744" i="1"/>
  <c r="AK744" i="1"/>
  <c r="AE744" i="1"/>
  <c r="B744" i="1"/>
  <c r="AO743" i="1"/>
  <c r="AM743" i="1"/>
  <c r="AK743" i="1"/>
  <c r="AE743" i="1"/>
  <c r="B743" i="1"/>
  <c r="AT742" i="1"/>
  <c r="AO742" i="1"/>
  <c r="AM742" i="1"/>
  <c r="AK742" i="1"/>
  <c r="AE742" i="1"/>
  <c r="B742" i="1"/>
  <c r="AT741" i="1"/>
  <c r="AO741" i="1"/>
  <c r="AM741" i="1"/>
  <c r="AK741" i="1"/>
  <c r="AE741" i="1"/>
  <c r="B741" i="1"/>
  <c r="AO740" i="1"/>
  <c r="AM740" i="1"/>
  <c r="AK740" i="1"/>
  <c r="AE740" i="1"/>
  <c r="B740" i="1"/>
  <c r="AO739" i="1"/>
  <c r="AM739" i="1"/>
  <c r="AK739" i="1"/>
  <c r="AE739" i="1"/>
  <c r="B739" i="1"/>
  <c r="AO738" i="1"/>
  <c r="AM738" i="1"/>
  <c r="AK738" i="1"/>
  <c r="AE738" i="1"/>
  <c r="B738" i="1"/>
  <c r="AO737" i="1"/>
  <c r="AM737" i="1"/>
  <c r="AK737" i="1"/>
  <c r="AE737" i="1"/>
  <c r="B737" i="1"/>
  <c r="AO736" i="1"/>
  <c r="AM736" i="1"/>
  <c r="AK736" i="1"/>
  <c r="AE736" i="1"/>
  <c r="B736" i="1"/>
  <c r="AO735" i="1"/>
  <c r="AM735" i="1"/>
  <c r="AK735" i="1"/>
  <c r="AE735" i="1"/>
  <c r="B735" i="1"/>
  <c r="AO734" i="1"/>
  <c r="AM734" i="1"/>
  <c r="AK734" i="1"/>
  <c r="AE734" i="1"/>
  <c r="B734" i="1"/>
  <c r="AO733" i="1"/>
  <c r="AM733" i="1"/>
  <c r="AK733" i="1"/>
  <c r="AE733" i="1"/>
  <c r="B733" i="1"/>
  <c r="AO732" i="1"/>
  <c r="AM732" i="1"/>
  <c r="AK732" i="1"/>
  <c r="AE732" i="1"/>
  <c r="B732" i="1"/>
  <c r="AO731" i="1"/>
  <c r="AM731" i="1"/>
  <c r="AK731" i="1"/>
  <c r="AE731" i="1"/>
  <c r="B731" i="1"/>
  <c r="AO730" i="1"/>
  <c r="AM730" i="1"/>
  <c r="AK730" i="1"/>
  <c r="AE730" i="1"/>
  <c r="B730" i="1"/>
  <c r="AO729" i="1"/>
  <c r="AM729" i="1"/>
  <c r="AK729" i="1"/>
  <c r="AE729" i="1"/>
  <c r="B729" i="1"/>
  <c r="AO728" i="1"/>
  <c r="AM728" i="1"/>
  <c r="AK728" i="1"/>
  <c r="AE728" i="1"/>
  <c r="B728" i="1"/>
  <c r="AO727" i="1"/>
  <c r="AM727" i="1"/>
  <c r="AK727" i="1"/>
  <c r="AE727" i="1"/>
  <c r="B727" i="1"/>
  <c r="AO726" i="1"/>
  <c r="AM726" i="1"/>
  <c r="AK726" i="1"/>
  <c r="AE726" i="1"/>
  <c r="B726" i="1"/>
  <c r="AO725" i="1"/>
  <c r="AM725" i="1"/>
  <c r="AK725" i="1"/>
  <c r="AE725" i="1"/>
  <c r="B725" i="1"/>
  <c r="AO724" i="1"/>
  <c r="AM724" i="1"/>
  <c r="AK724" i="1"/>
  <c r="AE724" i="1"/>
  <c r="B724" i="1"/>
  <c r="AO723" i="1"/>
  <c r="AM723" i="1"/>
  <c r="AK723" i="1"/>
  <c r="AE723" i="1"/>
  <c r="B723" i="1"/>
  <c r="AO722" i="1"/>
  <c r="AM722" i="1"/>
  <c r="AK722" i="1"/>
  <c r="AE722" i="1"/>
  <c r="B722" i="1"/>
  <c r="AO721" i="1"/>
  <c r="AM721" i="1"/>
  <c r="AK721" i="1"/>
  <c r="AE721" i="1"/>
  <c r="B721" i="1"/>
  <c r="AO720" i="1"/>
  <c r="AM720" i="1"/>
  <c r="AK720" i="1"/>
  <c r="AE720" i="1"/>
  <c r="B720" i="1"/>
  <c r="AO719" i="1"/>
  <c r="AM719" i="1"/>
  <c r="AK719" i="1"/>
  <c r="AE719" i="1"/>
  <c r="B719" i="1"/>
  <c r="AO718" i="1"/>
  <c r="AM718" i="1"/>
  <c r="AK718" i="1"/>
  <c r="AE718" i="1"/>
  <c r="B718" i="1"/>
  <c r="AO717" i="1"/>
  <c r="AM717" i="1"/>
  <c r="AK717" i="1"/>
  <c r="AE717" i="1"/>
  <c r="B717" i="1"/>
  <c r="AO716" i="1"/>
  <c r="AM716" i="1"/>
  <c r="AK716" i="1"/>
  <c r="AE716" i="1"/>
  <c r="B716" i="1"/>
  <c r="AO715" i="1"/>
  <c r="AM715" i="1"/>
  <c r="AK715" i="1"/>
  <c r="AE715" i="1"/>
  <c r="B715" i="1"/>
  <c r="AO714" i="1"/>
  <c r="AM714" i="1"/>
  <c r="AK714" i="1"/>
  <c r="AE714" i="1"/>
  <c r="B714" i="1"/>
  <c r="AO713" i="1"/>
  <c r="AM713" i="1"/>
  <c r="AK713" i="1"/>
  <c r="AE713" i="1"/>
  <c r="B713" i="1"/>
  <c r="AO712" i="1"/>
  <c r="AM712" i="1"/>
  <c r="AK712" i="1"/>
  <c r="AE712" i="1"/>
  <c r="B712" i="1"/>
  <c r="AO711" i="1"/>
  <c r="AM711" i="1"/>
  <c r="AK711" i="1"/>
  <c r="AE711" i="1"/>
  <c r="B711" i="1"/>
  <c r="AO710" i="1"/>
  <c r="AM710" i="1"/>
  <c r="AK710" i="1"/>
  <c r="AE710" i="1"/>
  <c r="B710" i="1"/>
  <c r="AO709" i="1"/>
  <c r="AM709" i="1"/>
  <c r="AK709" i="1"/>
  <c r="AE709" i="1"/>
  <c r="B709" i="1"/>
  <c r="AO708" i="1"/>
  <c r="AM708" i="1"/>
  <c r="AK708" i="1"/>
  <c r="AE708" i="1"/>
  <c r="B708" i="1"/>
  <c r="AO707" i="1"/>
  <c r="AM707" i="1"/>
  <c r="AK707" i="1"/>
  <c r="AE707" i="1"/>
  <c r="B707" i="1"/>
  <c r="AO706" i="1"/>
  <c r="AM706" i="1"/>
  <c r="AK706" i="1"/>
  <c r="AE706" i="1"/>
  <c r="B706" i="1"/>
  <c r="AO705" i="1"/>
  <c r="AM705" i="1"/>
  <c r="AK705" i="1"/>
  <c r="Z705" i="1"/>
  <c r="B705" i="1"/>
  <c r="AO704" i="1"/>
  <c r="AM704" i="1"/>
  <c r="AK704" i="1"/>
  <c r="AE704" i="1"/>
  <c r="B704" i="1"/>
  <c r="AO703" i="1"/>
  <c r="AM703" i="1"/>
  <c r="AK703" i="1"/>
  <c r="AE703" i="1"/>
  <c r="B703" i="1"/>
  <c r="AO702" i="1"/>
  <c r="AM702" i="1"/>
  <c r="AK702" i="1"/>
  <c r="AE702" i="1"/>
  <c r="B702" i="1"/>
  <c r="AO701" i="1"/>
  <c r="AM701" i="1"/>
  <c r="AK701" i="1"/>
  <c r="AE701" i="1"/>
  <c r="B701" i="1"/>
  <c r="AO700" i="1"/>
  <c r="AM700" i="1"/>
  <c r="AK700" i="1"/>
  <c r="AE700" i="1"/>
  <c r="B700" i="1"/>
  <c r="AO699" i="1"/>
  <c r="AM699" i="1"/>
  <c r="AK699" i="1"/>
  <c r="AE699" i="1"/>
  <c r="B699" i="1"/>
  <c r="AO698" i="1"/>
  <c r="AM698" i="1"/>
  <c r="AK698" i="1"/>
  <c r="AE698" i="1"/>
  <c r="B698" i="1"/>
  <c r="AO697" i="1"/>
  <c r="AM697" i="1"/>
  <c r="AK697" i="1"/>
  <c r="AE697" i="1"/>
  <c r="B697" i="1"/>
  <c r="AO696" i="1"/>
  <c r="AM696" i="1"/>
  <c r="AK696" i="1"/>
  <c r="AE696" i="1"/>
  <c r="B696" i="1"/>
  <c r="AO695" i="1"/>
  <c r="AM695" i="1"/>
  <c r="AK695" i="1"/>
  <c r="AE695" i="1"/>
  <c r="B695" i="1"/>
  <c r="AO694" i="1"/>
  <c r="AM694" i="1"/>
  <c r="AK694" i="1"/>
  <c r="AE694" i="1"/>
  <c r="B694" i="1"/>
  <c r="AO693" i="1"/>
  <c r="AM693" i="1"/>
  <c r="AK693" i="1"/>
  <c r="AE693" i="1"/>
  <c r="B693" i="1"/>
  <c r="AO692" i="1"/>
  <c r="AM692" i="1"/>
  <c r="AK692" i="1"/>
  <c r="AE692" i="1"/>
  <c r="B692" i="1"/>
  <c r="AO691" i="1"/>
  <c r="AM691" i="1"/>
  <c r="AK691" i="1"/>
  <c r="AE691" i="1"/>
  <c r="B691" i="1"/>
  <c r="AO690" i="1"/>
  <c r="AM690" i="1"/>
  <c r="AK690" i="1"/>
  <c r="AE690" i="1"/>
  <c r="B690" i="1"/>
  <c r="AO689" i="1"/>
  <c r="AM689" i="1"/>
  <c r="AK689" i="1"/>
  <c r="AE689" i="1"/>
  <c r="B689" i="1"/>
  <c r="AO688" i="1"/>
  <c r="AM688" i="1"/>
  <c r="AK688" i="1"/>
  <c r="AE688" i="1"/>
  <c r="B688" i="1"/>
  <c r="AO687" i="1"/>
  <c r="AM687" i="1"/>
  <c r="AK687" i="1"/>
  <c r="AE687" i="1"/>
  <c r="B687" i="1"/>
  <c r="AO686" i="1"/>
  <c r="AM686" i="1"/>
  <c r="AK686" i="1"/>
  <c r="AE686" i="1"/>
  <c r="B686" i="1"/>
  <c r="AO685" i="1"/>
  <c r="AM685" i="1"/>
  <c r="AK685" i="1"/>
  <c r="AE685" i="1"/>
  <c r="B685" i="1"/>
  <c r="AO684" i="1"/>
  <c r="AM684" i="1"/>
  <c r="AK684" i="1"/>
  <c r="AE684" i="1"/>
  <c r="B684" i="1"/>
  <c r="AO683" i="1"/>
  <c r="AM683" i="1"/>
  <c r="AK683" i="1"/>
  <c r="AE683" i="1"/>
  <c r="B683" i="1"/>
  <c r="AO682" i="1"/>
  <c r="AM682" i="1"/>
  <c r="AK682" i="1"/>
  <c r="AE682" i="1"/>
  <c r="B682" i="1"/>
  <c r="AO681" i="1"/>
  <c r="AM681" i="1"/>
  <c r="AK681" i="1"/>
  <c r="AE681" i="1"/>
  <c r="B681" i="1"/>
  <c r="AO680" i="1"/>
  <c r="AM680" i="1"/>
  <c r="AK680" i="1"/>
  <c r="AE680" i="1"/>
  <c r="B680" i="1"/>
  <c r="AO679" i="1"/>
  <c r="AM679" i="1"/>
  <c r="AK679" i="1"/>
  <c r="AE679" i="1"/>
  <c r="B679" i="1"/>
  <c r="AO678" i="1"/>
  <c r="AM678" i="1"/>
  <c r="AK678" i="1"/>
  <c r="AE678" i="1"/>
  <c r="B678" i="1"/>
  <c r="AO677" i="1"/>
  <c r="AM677" i="1"/>
  <c r="AK677" i="1"/>
  <c r="AE677" i="1"/>
  <c r="B677" i="1"/>
  <c r="AO676" i="1"/>
  <c r="AM676" i="1"/>
  <c r="AK676" i="1"/>
  <c r="AE676" i="1"/>
  <c r="B676" i="1"/>
  <c r="AO675" i="1"/>
  <c r="AM675" i="1"/>
  <c r="AK675" i="1"/>
  <c r="AE675" i="1"/>
  <c r="B675" i="1"/>
  <c r="AO674" i="1"/>
  <c r="AM674" i="1"/>
  <c r="AK674" i="1"/>
  <c r="AE674" i="1"/>
  <c r="B674" i="1"/>
  <c r="AO673" i="1"/>
  <c r="AM673" i="1"/>
  <c r="AK673" i="1"/>
  <c r="AE673" i="1"/>
  <c r="B673" i="1"/>
  <c r="AO672" i="1"/>
  <c r="AM672" i="1"/>
  <c r="AK672" i="1"/>
  <c r="AE672" i="1"/>
  <c r="B672" i="1"/>
  <c r="AO671" i="1"/>
  <c r="AM671" i="1"/>
  <c r="AK671" i="1"/>
  <c r="AE671" i="1"/>
  <c r="B671" i="1"/>
  <c r="AO670" i="1"/>
  <c r="AM670" i="1"/>
  <c r="AK670" i="1"/>
  <c r="AE670" i="1"/>
  <c r="B670" i="1"/>
  <c r="AO669" i="1"/>
  <c r="AM669" i="1"/>
  <c r="AK669" i="1"/>
  <c r="AE669" i="1"/>
  <c r="B669" i="1"/>
  <c r="AO668" i="1"/>
  <c r="AM668" i="1"/>
  <c r="AK668" i="1"/>
  <c r="AE668" i="1"/>
  <c r="B668" i="1"/>
  <c r="AO667" i="1"/>
  <c r="AM667" i="1"/>
  <c r="AK667" i="1"/>
  <c r="AE667" i="1"/>
  <c r="B667" i="1"/>
  <c r="AO666" i="1"/>
  <c r="AM666" i="1"/>
  <c r="AK666" i="1"/>
  <c r="AE666" i="1"/>
  <c r="B666" i="1"/>
  <c r="AO665" i="1"/>
  <c r="AM665" i="1"/>
  <c r="AK665" i="1"/>
  <c r="AE665" i="1"/>
  <c r="B665" i="1"/>
  <c r="AO664" i="1"/>
  <c r="AM664" i="1"/>
  <c r="AK664" i="1"/>
  <c r="AE664" i="1"/>
  <c r="B664" i="1"/>
  <c r="AO663" i="1"/>
  <c r="AM663" i="1"/>
  <c r="AK663" i="1"/>
  <c r="AE663" i="1"/>
  <c r="B663" i="1"/>
  <c r="AO662" i="1"/>
  <c r="AM662" i="1"/>
  <c r="AK662" i="1"/>
  <c r="AE662" i="1"/>
  <c r="B662" i="1"/>
  <c r="AO661" i="1"/>
  <c r="AM661" i="1"/>
  <c r="AK661" i="1"/>
  <c r="AE661" i="1"/>
  <c r="B661" i="1"/>
  <c r="AO660" i="1"/>
  <c r="AM660" i="1"/>
  <c r="AK660" i="1"/>
  <c r="AE660" i="1"/>
  <c r="B660" i="1"/>
  <c r="AO659" i="1"/>
  <c r="AM659" i="1"/>
  <c r="AK659" i="1"/>
  <c r="AE659" i="1"/>
  <c r="B659" i="1"/>
  <c r="AO658" i="1"/>
  <c r="AM658" i="1"/>
  <c r="AK658" i="1"/>
  <c r="AE658" i="1"/>
  <c r="B658" i="1"/>
  <c r="AO657" i="1"/>
  <c r="AM657" i="1"/>
  <c r="AK657" i="1"/>
  <c r="AE657" i="1"/>
  <c r="B657" i="1"/>
  <c r="AO656" i="1"/>
  <c r="AM656" i="1"/>
  <c r="AK656" i="1"/>
  <c r="AE656" i="1"/>
  <c r="B656" i="1"/>
  <c r="AO655" i="1"/>
  <c r="AM655" i="1"/>
  <c r="AK655" i="1"/>
  <c r="AE655" i="1"/>
  <c r="B655" i="1"/>
  <c r="AO654" i="1"/>
  <c r="AM654" i="1"/>
  <c r="AK654" i="1"/>
  <c r="AE654" i="1"/>
  <c r="B654" i="1"/>
  <c r="AO653" i="1"/>
  <c r="AM653" i="1"/>
  <c r="AK653" i="1"/>
  <c r="AE653" i="1"/>
  <c r="B653" i="1"/>
  <c r="AO652" i="1"/>
  <c r="AM652" i="1"/>
  <c r="AK652" i="1"/>
  <c r="AE652" i="1"/>
  <c r="B652" i="1"/>
  <c r="AO651" i="1"/>
  <c r="AM651" i="1"/>
  <c r="AK651" i="1"/>
  <c r="AE651" i="1"/>
  <c r="B651" i="1"/>
  <c r="AO650" i="1"/>
  <c r="AM650" i="1"/>
  <c r="AK650" i="1"/>
  <c r="AE650" i="1"/>
  <c r="B650" i="1"/>
  <c r="AO649" i="1"/>
  <c r="AM649" i="1"/>
  <c r="AK649" i="1"/>
  <c r="AE649" i="1"/>
  <c r="B649" i="1"/>
  <c r="AO648" i="1"/>
  <c r="AM648" i="1"/>
  <c r="AK648" i="1"/>
  <c r="AE648" i="1"/>
  <c r="B648" i="1"/>
  <c r="AO647" i="1"/>
  <c r="AM647" i="1"/>
  <c r="AK647" i="1"/>
  <c r="AE647" i="1"/>
  <c r="B647" i="1"/>
  <c r="AO646" i="1"/>
  <c r="AM646" i="1"/>
  <c r="AK646" i="1"/>
  <c r="AE646" i="1"/>
  <c r="B646" i="1"/>
  <c r="AO645" i="1"/>
  <c r="AM645" i="1"/>
  <c r="AK645" i="1"/>
  <c r="AE645" i="1"/>
  <c r="B645" i="1"/>
  <c r="AO644" i="1"/>
  <c r="AM644" i="1"/>
  <c r="AK644" i="1"/>
  <c r="AE644" i="1"/>
  <c r="B644" i="1"/>
  <c r="AO643" i="1"/>
  <c r="AM643" i="1"/>
  <c r="AK643" i="1"/>
  <c r="AE643" i="1"/>
  <c r="B643" i="1"/>
  <c r="AO642" i="1"/>
  <c r="AM642" i="1"/>
  <c r="AK642" i="1"/>
  <c r="AE642" i="1"/>
  <c r="B642" i="1"/>
  <c r="AO641" i="1"/>
  <c r="AM641" i="1"/>
  <c r="AK641" i="1"/>
  <c r="AE641" i="1"/>
  <c r="B641" i="1"/>
  <c r="AO640" i="1"/>
  <c r="AM640" i="1"/>
  <c r="AK640" i="1"/>
  <c r="AE640" i="1"/>
  <c r="B640" i="1"/>
  <c r="AO639" i="1"/>
  <c r="AM639" i="1"/>
  <c r="AK639" i="1"/>
  <c r="AE639" i="1"/>
  <c r="B639" i="1"/>
  <c r="AO638" i="1"/>
  <c r="AM638" i="1"/>
  <c r="AK638" i="1"/>
  <c r="AE638" i="1"/>
  <c r="B638" i="1"/>
  <c r="AO637" i="1"/>
  <c r="AM637" i="1"/>
  <c r="AK637" i="1"/>
  <c r="AE637" i="1"/>
  <c r="B637" i="1"/>
  <c r="AO636" i="1"/>
  <c r="AM636" i="1"/>
  <c r="AK636" i="1"/>
  <c r="AE636" i="1"/>
  <c r="B636" i="1"/>
  <c r="AM635" i="1"/>
  <c r="AK635" i="1"/>
  <c r="Z635" i="1"/>
  <c r="S635" i="1"/>
  <c r="AO635" i="1" s="1"/>
  <c r="B635" i="1"/>
  <c r="AO634" i="1"/>
  <c r="AM634" i="1"/>
  <c r="AK634" i="1"/>
  <c r="AE634" i="1"/>
  <c r="B634" i="1"/>
  <c r="AO633" i="1"/>
  <c r="AM633" i="1"/>
  <c r="AK633" i="1"/>
  <c r="AE633" i="1"/>
  <c r="B633" i="1"/>
  <c r="AO632" i="1"/>
  <c r="AM632" i="1"/>
  <c r="AK632" i="1"/>
  <c r="AE632" i="1"/>
  <c r="B632" i="1"/>
  <c r="AO631" i="1"/>
  <c r="AM631" i="1"/>
  <c r="AK631" i="1"/>
  <c r="AE631" i="1"/>
  <c r="B631" i="1"/>
  <c r="AO630" i="1"/>
  <c r="AM630" i="1"/>
  <c r="AK630" i="1"/>
  <c r="AE630" i="1"/>
  <c r="B630" i="1"/>
  <c r="AO629" i="1"/>
  <c r="AM629" i="1"/>
  <c r="AK629" i="1"/>
  <c r="AE629" i="1"/>
  <c r="B629" i="1"/>
  <c r="AO628" i="1"/>
  <c r="AM628" i="1"/>
  <c r="AK628" i="1"/>
  <c r="AE628" i="1"/>
  <c r="B628" i="1"/>
  <c r="AO627" i="1"/>
  <c r="AM627" i="1"/>
  <c r="AK627" i="1"/>
  <c r="AE627" i="1"/>
  <c r="B627" i="1"/>
  <c r="AO626" i="1"/>
  <c r="AM626" i="1"/>
  <c r="AK626" i="1"/>
  <c r="AE626" i="1"/>
  <c r="B626" i="1"/>
  <c r="AO625" i="1"/>
  <c r="AM625" i="1"/>
  <c r="AK625" i="1"/>
  <c r="AE625" i="1"/>
  <c r="B625" i="1"/>
  <c r="AO624" i="1"/>
  <c r="AM624" i="1"/>
  <c r="AK624" i="1"/>
  <c r="AE624" i="1"/>
  <c r="B624" i="1"/>
  <c r="AO623" i="1"/>
  <c r="AM623" i="1"/>
  <c r="AK623" i="1"/>
  <c r="AE623" i="1"/>
  <c r="B623" i="1"/>
  <c r="AO622" i="1"/>
  <c r="AM622" i="1"/>
  <c r="AK622" i="1"/>
  <c r="AE622" i="1"/>
  <c r="B622" i="1"/>
  <c r="AO621" i="1"/>
  <c r="AM621" i="1"/>
  <c r="AK621" i="1"/>
  <c r="AE621" i="1"/>
  <c r="B621" i="1"/>
  <c r="AO620" i="1"/>
  <c r="AM620" i="1"/>
  <c r="AK620" i="1"/>
  <c r="AE620" i="1"/>
  <c r="B620" i="1"/>
  <c r="AO619" i="1"/>
  <c r="AM619" i="1"/>
  <c r="AK619" i="1"/>
  <c r="AE619" i="1"/>
  <c r="B619" i="1"/>
  <c r="AO618" i="1"/>
  <c r="AM618" i="1"/>
  <c r="AK618" i="1"/>
  <c r="AE618" i="1"/>
  <c r="B618" i="1"/>
  <c r="AO617" i="1"/>
  <c r="AM617" i="1"/>
  <c r="AK617" i="1"/>
  <c r="AE617" i="1"/>
  <c r="B617" i="1"/>
  <c r="AM616" i="1"/>
  <c r="AK616" i="1"/>
  <c r="S616" i="1"/>
  <c r="AE616" i="1" s="1"/>
  <c r="B616" i="1"/>
  <c r="AO615" i="1"/>
  <c r="AM615" i="1"/>
  <c r="AK615" i="1"/>
  <c r="AE615" i="1"/>
  <c r="B615" i="1"/>
  <c r="AO614" i="1"/>
  <c r="AM614" i="1"/>
  <c r="AK614" i="1"/>
  <c r="AE614" i="1"/>
  <c r="B614" i="1"/>
  <c r="AO613" i="1"/>
  <c r="AM613" i="1"/>
  <c r="AK613" i="1"/>
  <c r="AE613" i="1"/>
  <c r="B613" i="1"/>
  <c r="AO612" i="1"/>
  <c r="AM612" i="1"/>
  <c r="AK612" i="1"/>
  <c r="AE612" i="1"/>
  <c r="B612" i="1"/>
  <c r="AO611" i="1"/>
  <c r="AM611" i="1"/>
  <c r="AK611" i="1"/>
  <c r="AE611" i="1"/>
  <c r="B611" i="1"/>
  <c r="AO610" i="1"/>
  <c r="AM610" i="1"/>
  <c r="AK610" i="1"/>
  <c r="AE610" i="1"/>
  <c r="B610" i="1"/>
  <c r="AO609" i="1"/>
  <c r="AM609" i="1"/>
  <c r="AK609" i="1"/>
  <c r="AE609" i="1"/>
  <c r="B609" i="1"/>
  <c r="AO608" i="1"/>
  <c r="AM608" i="1"/>
  <c r="AK608" i="1"/>
  <c r="AE608" i="1"/>
  <c r="B608" i="1"/>
  <c r="AO607" i="1"/>
  <c r="AM607" i="1"/>
  <c r="AK607" i="1"/>
  <c r="AE607" i="1"/>
  <c r="B607" i="1"/>
  <c r="AO606" i="1"/>
  <c r="AM606" i="1"/>
  <c r="AK606" i="1"/>
  <c r="AE606" i="1"/>
  <c r="B606" i="1"/>
  <c r="AO605" i="1"/>
  <c r="AM605" i="1"/>
  <c r="AK605" i="1"/>
  <c r="AE605" i="1"/>
  <c r="B605" i="1"/>
  <c r="AO604" i="1"/>
  <c r="AM604" i="1"/>
  <c r="AK604" i="1"/>
  <c r="AE604" i="1"/>
  <c r="B604" i="1"/>
  <c r="AO603" i="1"/>
  <c r="AM603" i="1"/>
  <c r="AK603" i="1"/>
  <c r="AE603" i="1"/>
  <c r="B603" i="1"/>
  <c r="AO602" i="1"/>
  <c r="AM602" i="1"/>
  <c r="AK602" i="1"/>
  <c r="AE602" i="1"/>
  <c r="B602" i="1"/>
  <c r="AO601" i="1"/>
  <c r="AM601" i="1"/>
  <c r="AK601" i="1"/>
  <c r="AE601" i="1"/>
  <c r="B601" i="1"/>
  <c r="AO600" i="1"/>
  <c r="AM600" i="1"/>
  <c r="AK600" i="1"/>
  <c r="AE600" i="1"/>
  <c r="B600" i="1"/>
  <c r="AO599" i="1"/>
  <c r="AM599" i="1"/>
  <c r="AK599" i="1"/>
  <c r="AE599" i="1"/>
  <c r="B599" i="1"/>
  <c r="AM598" i="1"/>
  <c r="AK598" i="1"/>
  <c r="S598" i="1"/>
  <c r="AE598" i="1" s="1"/>
  <c r="B598" i="1"/>
  <c r="AO597" i="1"/>
  <c r="AM597" i="1"/>
  <c r="AK597" i="1"/>
  <c r="AE597" i="1"/>
  <c r="B597" i="1"/>
  <c r="AO596" i="1"/>
  <c r="AM596" i="1"/>
  <c r="AK596" i="1"/>
  <c r="AE596" i="1"/>
  <c r="B596" i="1"/>
  <c r="AO595" i="1"/>
  <c r="AM595" i="1"/>
  <c r="AK595" i="1"/>
  <c r="AE595" i="1"/>
  <c r="B595" i="1"/>
  <c r="AO594" i="1"/>
  <c r="AM594" i="1"/>
  <c r="AK594" i="1"/>
  <c r="AE594" i="1"/>
  <c r="B594" i="1"/>
  <c r="AO593" i="1"/>
  <c r="AM593" i="1"/>
  <c r="AK593" i="1"/>
  <c r="AE593" i="1"/>
  <c r="B593" i="1"/>
  <c r="AO592" i="1"/>
  <c r="AM592" i="1"/>
  <c r="AK592" i="1"/>
  <c r="AE592" i="1"/>
  <c r="B592" i="1"/>
  <c r="AO591" i="1"/>
  <c r="AM591" i="1"/>
  <c r="AK591" i="1"/>
  <c r="AE591" i="1"/>
  <c r="B591" i="1"/>
  <c r="AO590" i="1"/>
  <c r="AM590" i="1"/>
  <c r="AK590" i="1"/>
  <c r="AE590" i="1"/>
  <c r="B590" i="1"/>
  <c r="AO589" i="1"/>
  <c r="AM589" i="1"/>
  <c r="AK589" i="1"/>
  <c r="AE589" i="1"/>
  <c r="B589" i="1"/>
  <c r="AM588" i="1"/>
  <c r="AK588" i="1"/>
  <c r="Z588" i="1"/>
  <c r="S588" i="1"/>
  <c r="B588" i="1"/>
  <c r="AO587" i="1"/>
  <c r="AM587" i="1"/>
  <c r="AK587" i="1"/>
  <c r="AE587" i="1"/>
  <c r="B587" i="1"/>
  <c r="AO586" i="1"/>
  <c r="AM586" i="1"/>
  <c r="AK586" i="1"/>
  <c r="AE586" i="1"/>
  <c r="B586" i="1"/>
  <c r="AO585" i="1"/>
  <c r="AM585" i="1"/>
  <c r="AK585" i="1"/>
  <c r="AE585" i="1"/>
  <c r="B585" i="1"/>
  <c r="AM584" i="1"/>
  <c r="AK584" i="1"/>
  <c r="Z584" i="1"/>
  <c r="S584" i="1"/>
  <c r="B584" i="1"/>
  <c r="AM583" i="1"/>
  <c r="AK583" i="1"/>
  <c r="Z583" i="1"/>
  <c r="AE583" i="1" s="1"/>
  <c r="S583" i="1"/>
  <c r="AO583" i="1" s="1"/>
  <c r="B583" i="1"/>
  <c r="AO582" i="1"/>
  <c r="AM582" i="1"/>
  <c r="AK582" i="1"/>
  <c r="AE582" i="1"/>
  <c r="B582" i="1"/>
  <c r="AO581" i="1"/>
  <c r="AM581" i="1"/>
  <c r="AK581" i="1"/>
  <c r="AE581" i="1"/>
  <c r="B581" i="1"/>
  <c r="AO580" i="1"/>
  <c r="AM580" i="1"/>
  <c r="AK580" i="1"/>
  <c r="AE580" i="1"/>
  <c r="B580" i="1"/>
  <c r="AO579" i="1"/>
  <c r="AM579" i="1"/>
  <c r="AK579" i="1"/>
  <c r="AE579" i="1"/>
  <c r="B579" i="1"/>
  <c r="AO578" i="1"/>
  <c r="AM578" i="1"/>
  <c r="AK578" i="1"/>
  <c r="AE578" i="1"/>
  <c r="B578" i="1"/>
  <c r="AO577" i="1"/>
  <c r="AM577" i="1"/>
  <c r="AK577" i="1"/>
  <c r="AE577" i="1"/>
  <c r="B577" i="1"/>
  <c r="AO576" i="1"/>
  <c r="AM576" i="1"/>
  <c r="AK576" i="1"/>
  <c r="AE576" i="1"/>
  <c r="B576" i="1"/>
  <c r="AO575" i="1"/>
  <c r="AM575" i="1"/>
  <c r="AK575" i="1"/>
  <c r="AE575" i="1"/>
  <c r="B575" i="1"/>
  <c r="AO574" i="1"/>
  <c r="AM574" i="1"/>
  <c r="AK574" i="1"/>
  <c r="AE574" i="1"/>
  <c r="B574" i="1"/>
  <c r="AO573" i="1"/>
  <c r="AM573" i="1"/>
  <c r="AK573" i="1"/>
  <c r="AE573" i="1"/>
  <c r="B573" i="1"/>
  <c r="AO572" i="1"/>
  <c r="AM572" i="1"/>
  <c r="AK572" i="1"/>
  <c r="AE572" i="1"/>
  <c r="B572" i="1"/>
  <c r="AM571" i="1"/>
  <c r="AK571" i="1"/>
  <c r="Z571" i="1"/>
  <c r="S571" i="1"/>
  <c r="AO571" i="1" s="1"/>
  <c r="B571" i="1"/>
  <c r="AO570" i="1"/>
  <c r="AM570" i="1"/>
  <c r="AK570" i="1"/>
  <c r="AE570" i="1"/>
  <c r="B570" i="1"/>
  <c r="AO569" i="1"/>
  <c r="AM569" i="1"/>
  <c r="AK569" i="1"/>
  <c r="AE569" i="1"/>
  <c r="B569" i="1"/>
  <c r="AO568" i="1"/>
  <c r="AM568" i="1"/>
  <c r="AK568" i="1"/>
  <c r="AE568" i="1"/>
  <c r="B568" i="1"/>
  <c r="AO567" i="1"/>
  <c r="AM567" i="1"/>
  <c r="AK567" i="1"/>
  <c r="AE567" i="1"/>
  <c r="B567" i="1"/>
  <c r="AO566" i="1"/>
  <c r="AM566" i="1"/>
  <c r="AK566" i="1"/>
  <c r="AE566" i="1"/>
  <c r="B566" i="1"/>
  <c r="AO565" i="1"/>
  <c r="AM565" i="1"/>
  <c r="AK565" i="1"/>
  <c r="AE565" i="1"/>
  <c r="B565" i="1"/>
  <c r="AO564" i="1"/>
  <c r="AM564" i="1"/>
  <c r="AK564" i="1"/>
  <c r="AE564" i="1"/>
  <c r="B564" i="1"/>
  <c r="AO563" i="1"/>
  <c r="AM563" i="1"/>
  <c r="AK563" i="1"/>
  <c r="AE563" i="1"/>
  <c r="B563" i="1"/>
  <c r="AO562" i="1"/>
  <c r="AM562" i="1"/>
  <c r="AK562" i="1"/>
  <c r="AE562" i="1"/>
  <c r="B562" i="1"/>
  <c r="AO561" i="1"/>
  <c r="AM561" i="1"/>
  <c r="AK561" i="1"/>
  <c r="AE561" i="1"/>
  <c r="B561" i="1"/>
  <c r="AO560" i="1"/>
  <c r="AM560" i="1"/>
  <c r="AK560" i="1"/>
  <c r="AE560" i="1"/>
  <c r="B560" i="1"/>
  <c r="AO559" i="1"/>
  <c r="AM559" i="1"/>
  <c r="AK559" i="1"/>
  <c r="AE559" i="1"/>
  <c r="B559" i="1"/>
  <c r="AO558" i="1"/>
  <c r="AM558" i="1"/>
  <c r="AK558" i="1"/>
  <c r="AE558" i="1"/>
  <c r="B558" i="1"/>
  <c r="AO557" i="1"/>
  <c r="AM557" i="1"/>
  <c r="AK557" i="1"/>
  <c r="AE557" i="1"/>
  <c r="B557" i="1"/>
  <c r="AO556" i="1"/>
  <c r="AM556" i="1"/>
  <c r="AK556" i="1"/>
  <c r="AE556" i="1"/>
  <c r="B556" i="1"/>
  <c r="AO555" i="1"/>
  <c r="AM555" i="1"/>
  <c r="AK555" i="1"/>
  <c r="AE555" i="1"/>
  <c r="B555" i="1"/>
  <c r="AO554" i="1"/>
  <c r="AM554" i="1"/>
  <c r="AK554" i="1"/>
  <c r="AE554" i="1"/>
  <c r="B554" i="1"/>
  <c r="AO553" i="1"/>
  <c r="AM553" i="1"/>
  <c r="AK553" i="1"/>
  <c r="AE553" i="1"/>
  <c r="B553" i="1"/>
  <c r="AO552" i="1"/>
  <c r="AM552" i="1"/>
  <c r="AK552" i="1"/>
  <c r="AE552" i="1"/>
  <c r="B552" i="1"/>
  <c r="AO551" i="1"/>
  <c r="AM551" i="1"/>
  <c r="AK551" i="1"/>
  <c r="AE551" i="1"/>
  <c r="B551" i="1"/>
  <c r="AO550" i="1"/>
  <c r="AM550" i="1"/>
  <c r="AK550" i="1"/>
  <c r="AE550" i="1"/>
  <c r="B550" i="1"/>
  <c r="AO549" i="1"/>
  <c r="AM549" i="1"/>
  <c r="AK549" i="1"/>
  <c r="AE549" i="1"/>
  <c r="B549" i="1"/>
  <c r="AO548" i="1"/>
  <c r="AM548" i="1"/>
  <c r="AK548" i="1"/>
  <c r="AE548" i="1"/>
  <c r="B548" i="1"/>
  <c r="AO547" i="1"/>
  <c r="AM547" i="1"/>
  <c r="AK547" i="1"/>
  <c r="AE547" i="1"/>
  <c r="B547" i="1"/>
  <c r="AO546" i="1"/>
  <c r="AM546" i="1"/>
  <c r="AK546" i="1"/>
  <c r="AE546" i="1"/>
  <c r="B546" i="1"/>
  <c r="AO545" i="1"/>
  <c r="AM545" i="1"/>
  <c r="AK545" i="1"/>
  <c r="AE545" i="1"/>
  <c r="B545" i="1"/>
  <c r="AO544" i="1"/>
  <c r="AM544" i="1"/>
  <c r="AK544" i="1"/>
  <c r="AE544" i="1"/>
  <c r="B544" i="1"/>
  <c r="AO543" i="1"/>
  <c r="AM543" i="1"/>
  <c r="AK543" i="1"/>
  <c r="AE543" i="1"/>
  <c r="B543" i="1"/>
  <c r="AO542" i="1"/>
  <c r="AM542" i="1"/>
  <c r="AK542" i="1"/>
  <c r="AE542" i="1"/>
  <c r="B542" i="1"/>
  <c r="AO541" i="1"/>
  <c r="AM541" i="1"/>
  <c r="AK541" i="1"/>
  <c r="AE541" i="1"/>
  <c r="B541" i="1"/>
  <c r="AO540" i="1"/>
  <c r="AM540" i="1"/>
  <c r="AK540" i="1"/>
  <c r="AE540" i="1"/>
  <c r="B540" i="1"/>
  <c r="AO539" i="1"/>
  <c r="AM539" i="1"/>
  <c r="AK539" i="1"/>
  <c r="AE539" i="1"/>
  <c r="B539" i="1"/>
  <c r="AO538" i="1"/>
  <c r="AM538" i="1"/>
  <c r="AK538" i="1"/>
  <c r="AE538" i="1"/>
  <c r="B538" i="1"/>
  <c r="AO537" i="1"/>
  <c r="AM537" i="1"/>
  <c r="AK537" i="1"/>
  <c r="AE537" i="1"/>
  <c r="B537" i="1"/>
  <c r="AO536" i="1"/>
  <c r="AM536" i="1"/>
  <c r="AK536" i="1"/>
  <c r="AE536" i="1"/>
  <c r="B536" i="1"/>
  <c r="AO535" i="1"/>
  <c r="AM535" i="1"/>
  <c r="AK535" i="1"/>
  <c r="AE535" i="1"/>
  <c r="B535" i="1"/>
  <c r="AM534" i="1"/>
  <c r="AK534" i="1"/>
  <c r="S534" i="1"/>
  <c r="AO534" i="1" s="1"/>
  <c r="B534" i="1"/>
  <c r="AO533" i="1"/>
  <c r="AM533" i="1"/>
  <c r="AK533" i="1"/>
  <c r="AE533" i="1"/>
  <c r="B533" i="1"/>
  <c r="AM532" i="1"/>
  <c r="AK532" i="1"/>
  <c r="S532" i="1"/>
  <c r="AO532" i="1" s="1"/>
  <c r="B532" i="1"/>
  <c r="AM531" i="1"/>
  <c r="AK531" i="1"/>
  <c r="S531" i="1"/>
  <c r="AO531" i="1" s="1"/>
  <c r="B531" i="1"/>
  <c r="AM530" i="1"/>
  <c r="AK530" i="1"/>
  <c r="S530" i="1"/>
  <c r="AO530" i="1" s="1"/>
  <c r="B530" i="1"/>
  <c r="AM529" i="1"/>
  <c r="AK529" i="1"/>
  <c r="S529" i="1"/>
  <c r="AO529" i="1" s="1"/>
  <c r="B529" i="1"/>
  <c r="AM528" i="1"/>
  <c r="AK528" i="1"/>
  <c r="S528" i="1"/>
  <c r="AO528" i="1" s="1"/>
  <c r="B528" i="1"/>
  <c r="AO527" i="1"/>
  <c r="AM527" i="1"/>
  <c r="AK527" i="1"/>
  <c r="AE527" i="1"/>
  <c r="B527" i="1"/>
  <c r="AM526" i="1"/>
  <c r="AK526" i="1"/>
  <c r="S526" i="1"/>
  <c r="AE526" i="1" s="1"/>
  <c r="B526" i="1"/>
  <c r="AM525" i="1"/>
  <c r="AK525" i="1"/>
  <c r="S525" i="1"/>
  <c r="AE525" i="1" s="1"/>
  <c r="B525" i="1"/>
  <c r="AM524" i="1"/>
  <c r="AK524" i="1"/>
  <c r="S524" i="1"/>
  <c r="AE524" i="1" s="1"/>
  <c r="B524" i="1"/>
  <c r="AM523" i="1"/>
  <c r="AK523" i="1"/>
  <c r="S523" i="1"/>
  <c r="AO523" i="1" s="1"/>
  <c r="B523" i="1"/>
  <c r="AM522" i="1"/>
  <c r="AK522" i="1"/>
  <c r="S522" i="1"/>
  <c r="AE522" i="1" s="1"/>
  <c r="B522" i="1"/>
  <c r="AO521" i="1"/>
  <c r="AM521" i="1"/>
  <c r="AK521" i="1"/>
  <c r="AE521" i="1"/>
  <c r="B521" i="1"/>
  <c r="AO520" i="1"/>
  <c r="AM520" i="1"/>
  <c r="AK520" i="1"/>
  <c r="AE520" i="1"/>
  <c r="B520" i="1"/>
  <c r="AO519" i="1"/>
  <c r="AM519" i="1"/>
  <c r="AK519" i="1"/>
  <c r="AE519" i="1"/>
  <c r="B519" i="1"/>
  <c r="AO518" i="1"/>
  <c r="AM518" i="1"/>
  <c r="AK518" i="1"/>
  <c r="AE518" i="1"/>
  <c r="B518" i="1"/>
  <c r="AO517" i="1"/>
  <c r="AM517" i="1"/>
  <c r="AK517" i="1"/>
  <c r="AE517" i="1"/>
  <c r="B517" i="1"/>
  <c r="AO516" i="1"/>
  <c r="AM516" i="1"/>
  <c r="AK516" i="1"/>
  <c r="AE516" i="1"/>
  <c r="B516" i="1"/>
  <c r="AO515" i="1"/>
  <c r="AM515" i="1"/>
  <c r="AK515" i="1"/>
  <c r="AE515" i="1"/>
  <c r="B515" i="1"/>
  <c r="AM514" i="1"/>
  <c r="AK514" i="1"/>
  <c r="S514" i="1"/>
  <c r="AE514" i="1" s="1"/>
  <c r="B514" i="1"/>
  <c r="AM513" i="1"/>
  <c r="AK513" i="1"/>
  <c r="S513" i="1"/>
  <c r="AE513" i="1" s="1"/>
  <c r="B513" i="1"/>
  <c r="AM512" i="1"/>
  <c r="AK512" i="1"/>
  <c r="S512" i="1"/>
  <c r="AO512" i="1" s="1"/>
  <c r="B512" i="1"/>
  <c r="AO511" i="1"/>
  <c r="AM511" i="1"/>
  <c r="AK511" i="1"/>
  <c r="AE511" i="1"/>
  <c r="B511" i="1"/>
  <c r="AO510" i="1"/>
  <c r="AM510" i="1"/>
  <c r="AK510" i="1"/>
  <c r="AE510" i="1"/>
  <c r="B510" i="1"/>
  <c r="AM509" i="1"/>
  <c r="AK509" i="1"/>
  <c r="S509" i="1"/>
  <c r="AO509" i="1" s="1"/>
  <c r="B509" i="1"/>
  <c r="AM508" i="1"/>
  <c r="AK508" i="1"/>
  <c r="S508" i="1"/>
  <c r="AO508" i="1" s="1"/>
  <c r="B508" i="1"/>
  <c r="AM507" i="1"/>
  <c r="AK507" i="1"/>
  <c r="S507" i="1"/>
  <c r="AO507" i="1" s="1"/>
  <c r="B507" i="1"/>
  <c r="AM506" i="1"/>
  <c r="AK506" i="1"/>
  <c r="S506" i="1"/>
  <c r="AE506" i="1" s="1"/>
  <c r="B506" i="1"/>
  <c r="AO505" i="1"/>
  <c r="AM505" i="1"/>
  <c r="AK505" i="1"/>
  <c r="AE505" i="1"/>
  <c r="B505" i="1"/>
  <c r="AO504" i="1"/>
  <c r="AM504" i="1"/>
  <c r="AK504" i="1"/>
  <c r="AE504" i="1"/>
  <c r="B504" i="1"/>
  <c r="AM503" i="1"/>
  <c r="AK503" i="1"/>
  <c r="Z503" i="1"/>
  <c r="S503" i="1"/>
  <c r="B503" i="1"/>
  <c r="AM502" i="1"/>
  <c r="AK502" i="1"/>
  <c r="Z502" i="1"/>
  <c r="S502" i="1"/>
  <c r="AO502" i="1" s="1"/>
  <c r="B502" i="1"/>
  <c r="AM501" i="1"/>
  <c r="AK501" i="1"/>
  <c r="Z501" i="1"/>
  <c r="S501" i="1"/>
  <c r="AO501" i="1" s="1"/>
  <c r="B501" i="1"/>
  <c r="AO500" i="1"/>
  <c r="AM500" i="1"/>
  <c r="AK500" i="1"/>
  <c r="AE500" i="1"/>
  <c r="B500" i="1"/>
  <c r="AO499" i="1"/>
  <c r="AM499" i="1"/>
  <c r="AK499" i="1"/>
  <c r="AE499" i="1"/>
  <c r="B499" i="1"/>
  <c r="AO498" i="1"/>
  <c r="AM498" i="1"/>
  <c r="AK498" i="1"/>
  <c r="AE498" i="1"/>
  <c r="B498" i="1"/>
  <c r="AO497" i="1"/>
  <c r="AM497" i="1"/>
  <c r="AK497" i="1"/>
  <c r="AE497" i="1"/>
  <c r="B497" i="1"/>
  <c r="AO496" i="1"/>
  <c r="AM496" i="1"/>
  <c r="AK496" i="1"/>
  <c r="AE496" i="1"/>
  <c r="B496" i="1"/>
  <c r="AO495" i="1"/>
  <c r="AM495" i="1"/>
  <c r="AK495" i="1"/>
  <c r="AE495" i="1"/>
  <c r="B495" i="1"/>
  <c r="AO494" i="1"/>
  <c r="AM494" i="1"/>
  <c r="AK494" i="1"/>
  <c r="AE494" i="1"/>
  <c r="B494" i="1"/>
  <c r="AO493" i="1"/>
  <c r="AM493" i="1"/>
  <c r="AK493" i="1"/>
  <c r="AE493" i="1"/>
  <c r="B493" i="1"/>
  <c r="AO492" i="1"/>
  <c r="AM492" i="1"/>
  <c r="AK492" i="1"/>
  <c r="AE492" i="1"/>
  <c r="B492" i="1"/>
  <c r="AO491" i="1"/>
  <c r="AM491" i="1"/>
  <c r="AK491" i="1"/>
  <c r="AE491" i="1"/>
  <c r="B491" i="1"/>
  <c r="AO490" i="1"/>
  <c r="AM490" i="1"/>
  <c r="AK490" i="1"/>
  <c r="AE490" i="1"/>
  <c r="B490" i="1"/>
  <c r="AO489" i="1"/>
  <c r="AM489" i="1"/>
  <c r="AK489" i="1"/>
  <c r="AE489" i="1"/>
  <c r="B489" i="1"/>
  <c r="AO488" i="1"/>
  <c r="AM488" i="1"/>
  <c r="AK488" i="1"/>
  <c r="AE488" i="1"/>
  <c r="B488" i="1"/>
  <c r="AO487" i="1"/>
  <c r="AM487" i="1"/>
  <c r="AK487" i="1"/>
  <c r="AE487" i="1"/>
  <c r="B487" i="1"/>
  <c r="AO486" i="1"/>
  <c r="AM486" i="1"/>
  <c r="AK486" i="1"/>
  <c r="AE486" i="1"/>
  <c r="B486" i="1"/>
  <c r="AO485" i="1"/>
  <c r="AM485" i="1"/>
  <c r="AK485" i="1"/>
  <c r="AE485" i="1"/>
  <c r="B485" i="1"/>
  <c r="AO484" i="1"/>
  <c r="AM484" i="1"/>
  <c r="AK484" i="1"/>
  <c r="AE484" i="1"/>
  <c r="B484" i="1"/>
  <c r="AM483" i="1"/>
  <c r="AK483" i="1"/>
  <c r="Z483" i="1"/>
  <c r="S483" i="1"/>
  <c r="AO483" i="1" s="1"/>
  <c r="B483" i="1"/>
  <c r="AO482" i="1"/>
  <c r="AM482" i="1"/>
  <c r="AK482" i="1"/>
  <c r="AE482" i="1"/>
  <c r="B482" i="1"/>
  <c r="AO481" i="1"/>
  <c r="AM481" i="1"/>
  <c r="AK481" i="1"/>
  <c r="AE481" i="1"/>
  <c r="B481" i="1"/>
  <c r="AO480" i="1"/>
  <c r="AM480" i="1"/>
  <c r="AK480" i="1"/>
  <c r="AE480" i="1"/>
  <c r="B480" i="1"/>
  <c r="AO479" i="1"/>
  <c r="AM479" i="1"/>
  <c r="AK479" i="1"/>
  <c r="AE479" i="1"/>
  <c r="B479" i="1"/>
  <c r="AO478" i="1"/>
  <c r="AM478" i="1"/>
  <c r="AK478" i="1"/>
  <c r="AE478" i="1"/>
  <c r="B478" i="1"/>
  <c r="AO477" i="1"/>
  <c r="AM477" i="1"/>
  <c r="AK477" i="1"/>
  <c r="AE477" i="1"/>
  <c r="B477" i="1"/>
  <c r="AO476" i="1"/>
  <c r="AM476" i="1"/>
  <c r="AK476" i="1"/>
  <c r="AE476" i="1"/>
  <c r="B476" i="1"/>
  <c r="AO475" i="1"/>
  <c r="AM475" i="1"/>
  <c r="AK475" i="1"/>
  <c r="AE475" i="1"/>
  <c r="B475" i="1"/>
  <c r="AO474" i="1"/>
  <c r="AM474" i="1"/>
  <c r="AK474" i="1"/>
  <c r="AE474" i="1"/>
  <c r="B474" i="1"/>
  <c r="AO473" i="1"/>
  <c r="AM473" i="1"/>
  <c r="AK473" i="1"/>
  <c r="AE473" i="1"/>
  <c r="B473" i="1"/>
  <c r="AM472" i="1"/>
  <c r="AK472" i="1"/>
  <c r="S472" i="1"/>
  <c r="AO472" i="1" s="1"/>
  <c r="B472" i="1"/>
  <c r="AO471" i="1"/>
  <c r="AM471" i="1"/>
  <c r="AK471" i="1"/>
  <c r="AE471" i="1"/>
  <c r="B471" i="1"/>
  <c r="AO470" i="1"/>
  <c r="AM470" i="1"/>
  <c r="AK470" i="1"/>
  <c r="AE470" i="1"/>
  <c r="B470" i="1"/>
  <c r="AO469" i="1"/>
  <c r="AM469" i="1"/>
  <c r="AK469" i="1"/>
  <c r="AE469" i="1"/>
  <c r="B469" i="1"/>
  <c r="AO468" i="1"/>
  <c r="AM468" i="1"/>
  <c r="AK468" i="1"/>
  <c r="AE468" i="1"/>
  <c r="B468" i="1"/>
  <c r="AO467" i="1"/>
  <c r="AM467" i="1"/>
  <c r="AK467" i="1"/>
  <c r="AE467" i="1"/>
  <c r="B467" i="1"/>
  <c r="AM466" i="1"/>
  <c r="AK466" i="1"/>
  <c r="Z466" i="1"/>
  <c r="S466" i="1"/>
  <c r="AO466" i="1" s="1"/>
  <c r="B466" i="1"/>
  <c r="AO465" i="1"/>
  <c r="AM465" i="1"/>
  <c r="AK465" i="1"/>
  <c r="AE465" i="1"/>
  <c r="B465" i="1"/>
  <c r="AM464" i="1"/>
  <c r="AK464" i="1"/>
  <c r="S464" i="1"/>
  <c r="AO464" i="1" s="1"/>
  <c r="B464" i="1"/>
  <c r="AO463" i="1"/>
  <c r="AM463" i="1"/>
  <c r="AK463" i="1"/>
  <c r="AE463" i="1"/>
  <c r="B463" i="1"/>
  <c r="AO462" i="1"/>
  <c r="AM462" i="1"/>
  <c r="AK462" i="1"/>
  <c r="AE462" i="1"/>
  <c r="B462" i="1"/>
  <c r="AO461" i="1"/>
  <c r="AM461" i="1"/>
  <c r="AK461" i="1"/>
  <c r="AE461" i="1"/>
  <c r="B461" i="1"/>
  <c r="AO460" i="1"/>
  <c r="AM460" i="1"/>
  <c r="AK460" i="1"/>
  <c r="AE460" i="1"/>
  <c r="B460" i="1"/>
  <c r="AO459" i="1"/>
  <c r="AM459" i="1"/>
  <c r="AK459" i="1"/>
  <c r="AE459" i="1"/>
  <c r="B459" i="1"/>
  <c r="AO458" i="1"/>
  <c r="AM458" i="1"/>
  <c r="AK458" i="1"/>
  <c r="AE458" i="1"/>
  <c r="B458" i="1"/>
  <c r="AO457" i="1"/>
  <c r="AM457" i="1"/>
  <c r="AK457" i="1"/>
  <c r="AE457" i="1"/>
  <c r="B457" i="1"/>
  <c r="AO456" i="1"/>
  <c r="AM456" i="1"/>
  <c r="AK456" i="1"/>
  <c r="AE456" i="1"/>
  <c r="B456" i="1"/>
  <c r="AO455" i="1"/>
  <c r="AM455" i="1"/>
  <c r="AK455" i="1"/>
  <c r="AE455" i="1"/>
  <c r="B455" i="1"/>
  <c r="AO454" i="1"/>
  <c r="AM454" i="1"/>
  <c r="AK454" i="1"/>
  <c r="AE454" i="1"/>
  <c r="B454" i="1"/>
  <c r="AO453" i="1"/>
  <c r="AM453" i="1"/>
  <c r="AK453" i="1"/>
  <c r="AE453" i="1"/>
  <c r="B453" i="1"/>
  <c r="AO452" i="1"/>
  <c r="AM452" i="1"/>
  <c r="AK452" i="1"/>
  <c r="AE452" i="1"/>
  <c r="B452" i="1"/>
  <c r="AO451" i="1"/>
  <c r="AM451" i="1"/>
  <c r="AK451" i="1"/>
  <c r="AE451" i="1"/>
  <c r="B451" i="1"/>
  <c r="AO450" i="1"/>
  <c r="AM450" i="1"/>
  <c r="AK450" i="1"/>
  <c r="AE450" i="1"/>
  <c r="B450" i="1"/>
  <c r="AO449" i="1"/>
  <c r="AM449" i="1"/>
  <c r="AK449" i="1"/>
  <c r="AE449" i="1"/>
  <c r="B449" i="1"/>
  <c r="AO448" i="1"/>
  <c r="AM448" i="1"/>
  <c r="AK448" i="1"/>
  <c r="AE448" i="1"/>
  <c r="B448" i="1"/>
  <c r="AO447" i="1"/>
  <c r="AM447" i="1"/>
  <c r="AK447" i="1"/>
  <c r="AE447" i="1"/>
  <c r="B447" i="1"/>
  <c r="AO446" i="1"/>
  <c r="AM446" i="1"/>
  <c r="AK446" i="1"/>
  <c r="AE446" i="1"/>
  <c r="B446" i="1"/>
  <c r="AO445" i="1"/>
  <c r="AM445" i="1"/>
  <c r="AK445" i="1"/>
  <c r="AE445" i="1"/>
  <c r="B445" i="1"/>
  <c r="AO444" i="1"/>
  <c r="AM444" i="1"/>
  <c r="AK444" i="1"/>
  <c r="AE444" i="1"/>
  <c r="B444" i="1"/>
  <c r="AO443" i="1"/>
  <c r="AM443" i="1"/>
  <c r="AK443" i="1"/>
  <c r="AE443" i="1"/>
  <c r="B443" i="1"/>
  <c r="AO442" i="1"/>
  <c r="AM442" i="1"/>
  <c r="AK442" i="1"/>
  <c r="AE442" i="1"/>
  <c r="B442" i="1"/>
  <c r="AO441" i="1"/>
  <c r="AM441" i="1"/>
  <c r="AK441" i="1"/>
  <c r="AE441" i="1"/>
  <c r="B441" i="1"/>
  <c r="AO440" i="1"/>
  <c r="AM440" i="1"/>
  <c r="AK440" i="1"/>
  <c r="AE440" i="1"/>
  <c r="B440" i="1"/>
  <c r="AO439" i="1"/>
  <c r="AM439" i="1"/>
  <c r="AK439" i="1"/>
  <c r="AE439" i="1"/>
  <c r="B439" i="1"/>
  <c r="AO438" i="1"/>
  <c r="AM438" i="1"/>
  <c r="AK438" i="1"/>
  <c r="AE438" i="1"/>
  <c r="B438" i="1"/>
  <c r="AO437" i="1"/>
  <c r="AM437" i="1"/>
  <c r="AK437" i="1"/>
  <c r="AE437" i="1"/>
  <c r="B437" i="1"/>
  <c r="AO436" i="1"/>
  <c r="AM436" i="1"/>
  <c r="AK436" i="1"/>
  <c r="AE436" i="1"/>
  <c r="B436" i="1"/>
  <c r="AO435" i="1"/>
  <c r="AM435" i="1"/>
  <c r="AK435" i="1"/>
  <c r="AE435" i="1"/>
  <c r="B435" i="1"/>
  <c r="AO434" i="1"/>
  <c r="AM434" i="1"/>
  <c r="AK434" i="1"/>
  <c r="AE434" i="1"/>
  <c r="B434" i="1"/>
  <c r="AO433" i="1"/>
  <c r="AM433" i="1"/>
  <c r="AK433" i="1"/>
  <c r="AE433" i="1"/>
  <c r="B433" i="1"/>
  <c r="AO432" i="1"/>
  <c r="AM432" i="1"/>
  <c r="AK432" i="1"/>
  <c r="AE432" i="1"/>
  <c r="B432" i="1"/>
  <c r="AO431" i="1"/>
  <c r="AM431" i="1"/>
  <c r="AK431" i="1"/>
  <c r="AE431" i="1"/>
  <c r="B431" i="1"/>
  <c r="AM430" i="1"/>
  <c r="AK430" i="1"/>
  <c r="Z430" i="1"/>
  <c r="AE430" i="1" s="1"/>
  <c r="S430" i="1"/>
  <c r="AO430" i="1" s="1"/>
  <c r="B430" i="1"/>
  <c r="AO429" i="1"/>
  <c r="AM429" i="1"/>
  <c r="AK429" i="1"/>
  <c r="AE429" i="1"/>
  <c r="B429" i="1"/>
  <c r="AO428" i="1"/>
  <c r="AM428" i="1"/>
  <c r="AK428" i="1"/>
  <c r="AE428" i="1"/>
  <c r="B428" i="1"/>
  <c r="AM427" i="1"/>
  <c r="AK427" i="1"/>
  <c r="S427" i="1"/>
  <c r="AO427" i="1" s="1"/>
  <c r="B427" i="1"/>
  <c r="AO426" i="1"/>
  <c r="AM426" i="1"/>
  <c r="AK426" i="1"/>
  <c r="AE426" i="1"/>
  <c r="B426" i="1"/>
  <c r="AM425" i="1"/>
  <c r="AK425" i="1"/>
  <c r="Z425" i="1"/>
  <c r="S425" i="1"/>
  <c r="B425" i="1"/>
  <c r="AM424" i="1"/>
  <c r="AK424" i="1"/>
  <c r="AE424" i="1"/>
  <c r="S424" i="1"/>
  <c r="AO424" i="1" s="1"/>
  <c r="B424" i="1"/>
  <c r="AO423" i="1"/>
  <c r="AM423" i="1"/>
  <c r="AK423" i="1"/>
  <c r="AE423" i="1"/>
  <c r="B423" i="1"/>
  <c r="AM422" i="1"/>
  <c r="AK422" i="1"/>
  <c r="S422" i="1"/>
  <c r="AE422" i="1" s="1"/>
  <c r="B422" i="1"/>
  <c r="AM421" i="1"/>
  <c r="AK421" i="1"/>
  <c r="S421" i="1"/>
  <c r="AE421" i="1" s="1"/>
  <c r="B421" i="1"/>
  <c r="AM420" i="1"/>
  <c r="AK420" i="1"/>
  <c r="S420" i="1"/>
  <c r="AO420" i="1" s="1"/>
  <c r="B420" i="1"/>
  <c r="AM419" i="1"/>
  <c r="AK419" i="1"/>
  <c r="S419" i="1"/>
  <c r="AO419" i="1" s="1"/>
  <c r="B419" i="1"/>
  <c r="AM418" i="1"/>
  <c r="AK418" i="1"/>
  <c r="S418" i="1"/>
  <c r="AE418" i="1" s="1"/>
  <c r="B418" i="1"/>
  <c r="AM417" i="1"/>
  <c r="AK417" i="1"/>
  <c r="S417" i="1"/>
  <c r="AE417" i="1" s="1"/>
  <c r="B417" i="1"/>
  <c r="AM416" i="1"/>
  <c r="AK416" i="1"/>
  <c r="S416" i="1"/>
  <c r="AO416" i="1" s="1"/>
  <c r="B416" i="1"/>
  <c r="AM415" i="1"/>
  <c r="AK415" i="1"/>
  <c r="S415" i="1"/>
  <c r="AE415" i="1" s="1"/>
  <c r="B415" i="1"/>
  <c r="AO413" i="1"/>
  <c r="AM413" i="1"/>
  <c r="AE413" i="1"/>
  <c r="Q413" i="1"/>
  <c r="AO412" i="1"/>
  <c r="AM412" i="1"/>
  <c r="AE412" i="1"/>
  <c r="Q412" i="1"/>
  <c r="AO411" i="1"/>
  <c r="AM411" i="1"/>
  <c r="AE411" i="1"/>
  <c r="Q411" i="1"/>
  <c r="AO410" i="1"/>
  <c r="AM410" i="1"/>
  <c r="AE410" i="1"/>
  <c r="Q410" i="1"/>
  <c r="AM409" i="1"/>
  <c r="S409" i="1"/>
  <c r="AO409" i="1" s="1"/>
  <c r="AM408" i="1"/>
  <c r="S408" i="1"/>
  <c r="AO408" i="1" s="1"/>
  <c r="AM407" i="1"/>
  <c r="S407" i="1"/>
  <c r="AO407" i="1" s="1"/>
  <c r="AM406" i="1"/>
  <c r="S406" i="1"/>
  <c r="AE406" i="1" s="1"/>
  <c r="AM405" i="1"/>
  <c r="S405" i="1"/>
  <c r="AO405" i="1" s="1"/>
  <c r="AM404" i="1"/>
  <c r="S404" i="1"/>
  <c r="AO404" i="1" s="1"/>
  <c r="AO403" i="1"/>
  <c r="AM403" i="1"/>
  <c r="AE403" i="1"/>
  <c r="Q403" i="1"/>
  <c r="AM402" i="1"/>
  <c r="S402" i="1"/>
  <c r="AO402" i="1" s="1"/>
  <c r="AO401" i="1"/>
  <c r="AM401" i="1"/>
  <c r="AE401" i="1"/>
  <c r="Q401" i="1"/>
  <c r="AO400" i="1"/>
  <c r="AM400" i="1"/>
  <c r="AE400" i="1"/>
  <c r="AM399" i="1"/>
  <c r="S399" i="1"/>
  <c r="AE399" i="1" s="1"/>
  <c r="AO398" i="1"/>
  <c r="AM398" i="1"/>
  <c r="AE398" i="1"/>
  <c r="AM397" i="1"/>
  <c r="S397" i="1"/>
  <c r="AO397" i="1" s="1"/>
  <c r="AM396" i="1"/>
  <c r="S396" i="1"/>
  <c r="AO396" i="1" s="1"/>
  <c r="AO395" i="1"/>
  <c r="AM395" i="1"/>
  <c r="AE395" i="1"/>
  <c r="AO394" i="1"/>
  <c r="AM394" i="1"/>
  <c r="AE394" i="1"/>
  <c r="AM393" i="1"/>
  <c r="S393" i="1"/>
  <c r="AE393" i="1" s="1"/>
  <c r="AM392" i="1"/>
  <c r="S392" i="1"/>
  <c r="AE392" i="1" s="1"/>
  <c r="AM391" i="1"/>
  <c r="AD391" i="1"/>
  <c r="Z391" i="1"/>
  <c r="S391" i="1"/>
  <c r="AO391" i="1" s="1"/>
  <c r="Q391" i="1"/>
  <c r="AM390" i="1"/>
  <c r="S390" i="1"/>
  <c r="AO390" i="1" s="1"/>
  <c r="AO389" i="1"/>
  <c r="AM389" i="1"/>
  <c r="AE389" i="1"/>
  <c r="Q389" i="1"/>
  <c r="AO388" i="1"/>
  <c r="AM388" i="1"/>
  <c r="AE388" i="1"/>
  <c r="AM387" i="1"/>
  <c r="S387" i="1"/>
  <c r="AE387" i="1" s="1"/>
  <c r="AM386" i="1"/>
  <c r="S386" i="1"/>
  <c r="AE386" i="1" s="1"/>
  <c r="AM385" i="1"/>
  <c r="S385" i="1"/>
  <c r="AO385" i="1" s="1"/>
  <c r="AO384" i="1"/>
  <c r="AM384" i="1"/>
  <c r="AE384" i="1"/>
  <c r="AM383" i="1"/>
  <c r="S383" i="1"/>
  <c r="AO383" i="1" s="1"/>
  <c r="AM382" i="1"/>
  <c r="S382" i="1"/>
  <c r="AO382" i="1" s="1"/>
  <c r="AM381" i="1"/>
  <c r="S381" i="1"/>
  <c r="AO381" i="1" s="1"/>
  <c r="AM380" i="1"/>
  <c r="S380" i="1"/>
  <c r="AO380" i="1" s="1"/>
  <c r="AM379" i="1"/>
  <c r="S379" i="1"/>
  <c r="AO379" i="1" s="1"/>
  <c r="AM378" i="1"/>
  <c r="S378" i="1"/>
  <c r="AO378" i="1" s="1"/>
  <c r="AM377" i="1"/>
  <c r="S377" i="1"/>
  <c r="AO377" i="1" s="1"/>
  <c r="AO376" i="1"/>
  <c r="AM376" i="1"/>
  <c r="AE376" i="1"/>
  <c r="AM375" i="1"/>
  <c r="S375" i="1"/>
  <c r="AE375" i="1" s="1"/>
  <c r="AM374" i="1"/>
  <c r="S374" i="1"/>
  <c r="AO374" i="1" s="1"/>
  <c r="AO373" i="1"/>
  <c r="AM373" i="1"/>
  <c r="AE373" i="1"/>
  <c r="AM372" i="1"/>
  <c r="S372" i="1"/>
  <c r="AO372" i="1" s="1"/>
  <c r="AM371" i="1"/>
  <c r="S371" i="1"/>
  <c r="AE371" i="1" s="1"/>
  <c r="AO370" i="1"/>
  <c r="AM370" i="1"/>
  <c r="AE370" i="1"/>
  <c r="AO369" i="1"/>
  <c r="AM369" i="1"/>
  <c r="AE369" i="1"/>
  <c r="AO368" i="1"/>
  <c r="AM368" i="1"/>
  <c r="AE368" i="1"/>
  <c r="A368" i="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M367" i="1"/>
  <c r="S367" i="1"/>
  <c r="AO367" i="1" s="1"/>
  <c r="AN364" i="1"/>
  <c r="AM364" i="1"/>
  <c r="S364" i="1"/>
  <c r="AP364" i="1" s="1"/>
  <c r="AN363" i="1"/>
  <c r="AM363" i="1"/>
  <c r="Z363" i="1"/>
  <c r="S363" i="1"/>
  <c r="AP363" i="1" s="1"/>
  <c r="AN362" i="1"/>
  <c r="S362" i="1"/>
  <c r="AP362" i="1" s="1"/>
  <c r="AN361" i="1"/>
  <c r="S361" i="1"/>
  <c r="AP361" i="1" s="1"/>
  <c r="AN360" i="1"/>
  <c r="AM360" i="1"/>
  <c r="S360" i="1"/>
  <c r="AP360" i="1" s="1"/>
  <c r="AN359" i="1"/>
  <c r="AM359" i="1"/>
  <c r="S359" i="1"/>
  <c r="AE359" i="1" s="1"/>
  <c r="AP358" i="1"/>
  <c r="AN358" i="1"/>
  <c r="AM358" i="1"/>
  <c r="AE358" i="1"/>
  <c r="AP357" i="1"/>
  <c r="AN357" i="1"/>
  <c r="AM357" i="1"/>
  <c r="AE357" i="1"/>
  <c r="AP356" i="1"/>
  <c r="AN356" i="1"/>
  <c r="AM356" i="1"/>
  <c r="AE356" i="1"/>
  <c r="AP355" i="1"/>
  <c r="AN355" i="1"/>
  <c r="AM355" i="1"/>
  <c r="AE355" i="1"/>
  <c r="AN354" i="1"/>
  <c r="AM354" i="1"/>
  <c r="S354" i="1"/>
  <c r="AE354" i="1" s="1"/>
  <c r="AP353" i="1"/>
  <c r="AN353" i="1"/>
  <c r="AM353" i="1"/>
  <c r="AE353" i="1"/>
  <c r="AP352" i="1"/>
  <c r="AN352" i="1"/>
  <c r="AM352" i="1"/>
  <c r="AE352" i="1"/>
  <c r="AM350" i="1"/>
  <c r="AK350" i="1"/>
  <c r="S350" i="1"/>
  <c r="AE350" i="1" s="1"/>
  <c r="AM349" i="1"/>
  <c r="AK349" i="1"/>
  <c r="Z349" i="1"/>
  <c r="S349" i="1"/>
  <c r="AO349" i="1" s="1"/>
  <c r="AO348" i="1"/>
  <c r="AM348" i="1"/>
  <c r="AK348" i="1"/>
  <c r="AE348" i="1"/>
  <c r="Q348" i="1"/>
  <c r="AO347" i="1"/>
  <c r="AM347" i="1"/>
  <c r="AK347" i="1"/>
  <c r="AE347" i="1"/>
  <c r="Q347" i="1"/>
  <c r="AO346" i="1"/>
  <c r="AM346" i="1"/>
  <c r="AK346" i="1"/>
  <c r="AE346" i="1"/>
  <c r="Q346" i="1"/>
  <c r="AO345" i="1"/>
  <c r="AM345" i="1"/>
  <c r="AK345" i="1"/>
  <c r="AE345" i="1"/>
  <c r="Q345" i="1"/>
  <c r="AO344" i="1"/>
  <c r="AM344" i="1"/>
  <c r="AK344" i="1"/>
  <c r="AE344" i="1"/>
  <c r="Q344" i="1"/>
  <c r="AO343" i="1"/>
  <c r="AM343" i="1"/>
  <c r="AK343" i="1"/>
  <c r="AE343" i="1"/>
  <c r="Q343" i="1"/>
  <c r="AO342" i="1"/>
  <c r="AM342" i="1"/>
  <c r="AK342" i="1"/>
  <c r="AE342" i="1"/>
  <c r="Q342" i="1"/>
  <c r="AO341" i="1"/>
  <c r="AM341" i="1"/>
  <c r="AK341" i="1"/>
  <c r="AE341" i="1"/>
  <c r="Q341" i="1"/>
  <c r="AO340" i="1"/>
  <c r="AM340" i="1"/>
  <c r="AK340" i="1"/>
  <c r="AE340" i="1"/>
  <c r="Q340" i="1"/>
  <c r="AO339" i="1"/>
  <c r="AM339" i="1"/>
  <c r="AK339" i="1"/>
  <c r="AE339" i="1"/>
  <c r="Q339" i="1"/>
  <c r="AO338" i="1"/>
  <c r="AM338" i="1"/>
  <c r="AK338" i="1"/>
  <c r="AE338" i="1"/>
  <c r="Q338" i="1"/>
  <c r="AO337" i="1"/>
  <c r="AM337" i="1"/>
  <c r="AK337" i="1"/>
  <c r="AE337" i="1"/>
  <c r="Q337" i="1"/>
  <c r="AO336" i="1"/>
  <c r="AM336" i="1"/>
  <c r="AK336" i="1"/>
  <c r="AE336" i="1"/>
  <c r="Q336" i="1"/>
  <c r="AO335" i="1"/>
  <c r="AM335" i="1"/>
  <c r="AK335" i="1"/>
  <c r="AE335" i="1"/>
  <c r="Q335" i="1"/>
  <c r="AO334" i="1"/>
  <c r="AM334" i="1"/>
  <c r="AK334" i="1"/>
  <c r="AE334" i="1"/>
  <c r="Q334" i="1"/>
  <c r="AO333" i="1"/>
  <c r="AM333" i="1"/>
  <c r="AK333" i="1"/>
  <c r="AE333" i="1"/>
  <c r="Q333" i="1"/>
  <c r="AO332" i="1"/>
  <c r="AM332" i="1"/>
  <c r="AK332" i="1"/>
  <c r="AE332" i="1"/>
  <c r="Q332" i="1"/>
  <c r="AO331" i="1"/>
  <c r="AM331" i="1"/>
  <c r="AK331" i="1"/>
  <c r="AE331" i="1"/>
  <c r="Q331" i="1"/>
  <c r="AO330" i="1"/>
  <c r="AM330" i="1"/>
  <c r="AK330" i="1"/>
  <c r="AE330" i="1"/>
  <c r="Q330" i="1"/>
  <c r="AO329" i="1"/>
  <c r="AM329" i="1"/>
  <c r="AK329" i="1"/>
  <c r="AE329" i="1"/>
  <c r="Q329" i="1"/>
  <c r="AO328" i="1"/>
  <c r="AM328" i="1"/>
  <c r="AK328" i="1"/>
  <c r="AE328" i="1"/>
  <c r="Q328" i="1"/>
  <c r="AO327" i="1"/>
  <c r="AM327" i="1"/>
  <c r="AK327" i="1"/>
  <c r="AE327" i="1"/>
  <c r="Q327" i="1"/>
  <c r="AO326" i="1"/>
  <c r="AM326" i="1"/>
  <c r="AK326" i="1"/>
  <c r="AE326" i="1"/>
  <c r="Q326" i="1"/>
  <c r="AO325" i="1"/>
  <c r="AM325" i="1"/>
  <c r="AK325" i="1"/>
  <c r="AE325" i="1"/>
  <c r="Q325" i="1"/>
  <c r="AO324" i="1"/>
  <c r="AM324" i="1"/>
  <c r="AK324" i="1"/>
  <c r="AE324" i="1"/>
  <c r="Q324" i="1"/>
  <c r="AO323" i="1"/>
  <c r="AM323" i="1"/>
  <c r="AK323" i="1"/>
  <c r="AE323" i="1"/>
  <c r="Q323" i="1"/>
  <c r="AO322" i="1"/>
  <c r="AM322" i="1"/>
  <c r="AK322" i="1"/>
  <c r="AE322" i="1"/>
  <c r="Q322" i="1"/>
  <c r="AO321" i="1"/>
  <c r="AM321" i="1"/>
  <c r="AK321" i="1"/>
  <c r="AE321" i="1"/>
  <c r="Q321" i="1"/>
  <c r="AO320" i="1"/>
  <c r="AM320" i="1"/>
  <c r="AK320" i="1"/>
  <c r="AE320" i="1"/>
  <c r="Q320" i="1"/>
  <c r="AO319" i="1"/>
  <c r="AM319" i="1"/>
  <c r="AK319" i="1"/>
  <c r="AE319" i="1"/>
  <c r="Q319" i="1"/>
  <c r="AO318" i="1"/>
  <c r="AM318" i="1"/>
  <c r="AK318" i="1"/>
  <c r="AE318" i="1"/>
  <c r="Q318" i="1"/>
  <c r="AO317" i="1"/>
  <c r="AM317" i="1"/>
  <c r="AK317" i="1"/>
  <c r="AE317" i="1"/>
  <c r="Q317" i="1"/>
  <c r="AM316" i="1"/>
  <c r="AK316" i="1"/>
  <c r="S316" i="1"/>
  <c r="AO316" i="1" s="1"/>
  <c r="AO315" i="1"/>
  <c r="AM315" i="1"/>
  <c r="AK315" i="1"/>
  <c r="AE315" i="1"/>
  <c r="Q315" i="1"/>
  <c r="AO314" i="1"/>
  <c r="AM314" i="1"/>
  <c r="AK314" i="1"/>
  <c r="AE314" i="1"/>
  <c r="Q314" i="1"/>
  <c r="AO313" i="1"/>
  <c r="AM313" i="1"/>
  <c r="AK313" i="1"/>
  <c r="AE313" i="1"/>
  <c r="Q313" i="1"/>
  <c r="AO312" i="1"/>
  <c r="AM312" i="1"/>
  <c r="AK312" i="1"/>
  <c r="AE312" i="1"/>
  <c r="Q312" i="1"/>
  <c r="AO311" i="1"/>
  <c r="AM311" i="1"/>
  <c r="AK311" i="1"/>
  <c r="AE311" i="1"/>
  <c r="Q311" i="1"/>
  <c r="AO310" i="1"/>
  <c r="AM310" i="1"/>
  <c r="AK310" i="1"/>
  <c r="AE310" i="1"/>
  <c r="Q310" i="1"/>
  <c r="AM309" i="1"/>
  <c r="AK309" i="1"/>
  <c r="S309" i="1"/>
  <c r="AE309" i="1" s="1"/>
  <c r="A309" i="1"/>
  <c r="A310" i="1" s="1"/>
  <c r="AM308" i="1"/>
  <c r="AK308" i="1"/>
  <c r="S308" i="1"/>
  <c r="AO308" i="1" s="1"/>
  <c r="B308" i="1"/>
  <c r="AM307" i="1"/>
  <c r="AK307" i="1"/>
  <c r="S307" i="1"/>
  <c r="AO307" i="1" s="1"/>
  <c r="A307" i="1"/>
  <c r="B307" i="1" s="1"/>
  <c r="AO306" i="1"/>
  <c r="AM306" i="1"/>
  <c r="AK306" i="1"/>
  <c r="AE306" i="1"/>
  <c r="AM305" i="1"/>
  <c r="AK305" i="1"/>
  <c r="S305" i="1"/>
  <c r="AE305" i="1" s="1"/>
  <c r="AM304" i="1"/>
  <c r="AK304" i="1"/>
  <c r="S304" i="1"/>
  <c r="AE304" i="1" s="1"/>
  <c r="AM303" i="1"/>
  <c r="AK303" i="1"/>
  <c r="S303" i="1"/>
  <c r="AE303" i="1" s="1"/>
  <c r="AM302" i="1"/>
  <c r="AK302" i="1"/>
  <c r="S302" i="1"/>
  <c r="AE302" i="1" s="1"/>
  <c r="AO301" i="1"/>
  <c r="AM301" i="1"/>
  <c r="AK301" i="1"/>
  <c r="AE301" i="1"/>
  <c r="Q301" i="1"/>
  <c r="AO300" i="1"/>
  <c r="AM300" i="1"/>
  <c r="AK300" i="1"/>
  <c r="AE300" i="1"/>
  <c r="Q300" i="1"/>
  <c r="AM299" i="1"/>
  <c r="AK299" i="1"/>
  <c r="S299" i="1"/>
  <c r="AE299" i="1" s="1"/>
  <c r="AM298" i="1"/>
  <c r="AK298" i="1"/>
  <c r="S298" i="1"/>
  <c r="AE298" i="1" s="1"/>
  <c r="AM297" i="1"/>
  <c r="AK297" i="1"/>
  <c r="S297" i="1"/>
  <c r="AE297" i="1" s="1"/>
  <c r="AM296" i="1"/>
  <c r="AK296" i="1"/>
  <c r="S296" i="1"/>
  <c r="AE296" i="1" s="1"/>
  <c r="AM295" i="1"/>
  <c r="AK295" i="1"/>
  <c r="S295" i="1"/>
  <c r="AE295" i="1" s="1"/>
  <c r="AM294" i="1"/>
  <c r="AK294" i="1"/>
  <c r="S294" i="1"/>
  <c r="AE294" i="1" s="1"/>
  <c r="AO293" i="1"/>
  <c r="AM293" i="1"/>
  <c r="AK293" i="1"/>
  <c r="AE293" i="1"/>
  <c r="Q293" i="1"/>
  <c r="AO292" i="1"/>
  <c r="AM292" i="1"/>
  <c r="AK292" i="1"/>
  <c r="AE292" i="1"/>
  <c r="Q292" i="1"/>
  <c r="AO291" i="1"/>
  <c r="AM291" i="1"/>
  <c r="AK291" i="1"/>
  <c r="AE291" i="1"/>
  <c r="Q291" i="1"/>
  <c r="AO290" i="1"/>
  <c r="AM290" i="1"/>
  <c r="AK290" i="1"/>
  <c r="AE290" i="1"/>
  <c r="Q290" i="1"/>
  <c r="AM289" i="1"/>
  <c r="AK289" i="1"/>
  <c r="S289" i="1"/>
  <c r="AE289" i="1" s="1"/>
  <c r="AM288" i="1"/>
  <c r="AK288" i="1"/>
  <c r="S288" i="1"/>
  <c r="AE288" i="1" s="1"/>
  <c r="AM287" i="1"/>
  <c r="AK287" i="1"/>
  <c r="S287" i="1"/>
  <c r="AE287" i="1" s="1"/>
  <c r="AM286" i="1"/>
  <c r="AK286" i="1"/>
  <c r="S286" i="1"/>
  <c r="AE286" i="1" s="1"/>
  <c r="AM285" i="1"/>
  <c r="AK285" i="1"/>
  <c r="S285" i="1"/>
  <c r="AE285" i="1" s="1"/>
  <c r="AM284" i="1"/>
  <c r="AK284" i="1"/>
  <c r="S284" i="1"/>
  <c r="AE284" i="1" s="1"/>
  <c r="AM283" i="1"/>
  <c r="AK283" i="1"/>
  <c r="S283" i="1"/>
  <c r="AE283" i="1" s="1"/>
  <c r="AM282" i="1"/>
  <c r="AK282" i="1"/>
  <c r="S282" i="1"/>
  <c r="AE282" i="1" s="1"/>
  <c r="AO281" i="1"/>
  <c r="AM281" i="1"/>
  <c r="AK281" i="1"/>
  <c r="AE281" i="1"/>
  <c r="Q281" i="1"/>
  <c r="AO280" i="1"/>
  <c r="AM280" i="1"/>
  <c r="AK280" i="1"/>
  <c r="AE280" i="1"/>
  <c r="Q280" i="1"/>
  <c r="AO279" i="1"/>
  <c r="AM279" i="1"/>
  <c r="AK279" i="1"/>
  <c r="AE279" i="1"/>
  <c r="Q279" i="1"/>
  <c r="AO278" i="1"/>
  <c r="AM278" i="1"/>
  <c r="AK278" i="1"/>
  <c r="AE278" i="1"/>
  <c r="Q278" i="1"/>
  <c r="AH277" i="1"/>
  <c r="AM277" i="1" s="1"/>
  <c r="AD277" i="1"/>
  <c r="S277" i="1"/>
  <c r="Q277" i="1" s="1"/>
  <c r="AH276" i="1"/>
  <c r="AM276" i="1" s="1"/>
  <c r="AD276" i="1"/>
  <c r="AK276" i="1" s="1"/>
  <c r="S276" i="1"/>
  <c r="Q276" i="1" s="1"/>
  <c r="AH275" i="1"/>
  <c r="AM275" i="1" s="1"/>
  <c r="AD275" i="1"/>
  <c r="S275" i="1"/>
  <c r="AH274" i="1"/>
  <c r="AM274" i="1" s="1"/>
  <c r="AD274" i="1"/>
  <c r="S274" i="1"/>
  <c r="Q274" i="1" s="1"/>
  <c r="AO273" i="1"/>
  <c r="AM273" i="1"/>
  <c r="AK273" i="1"/>
  <c r="AE273" i="1"/>
  <c r="Q273" i="1"/>
  <c r="AO272" i="1"/>
  <c r="AM272" i="1"/>
  <c r="AK272" i="1"/>
  <c r="AE272" i="1"/>
  <c r="Q272" i="1"/>
  <c r="AO271" i="1"/>
  <c r="AM271" i="1"/>
  <c r="AK271" i="1"/>
  <c r="AE271" i="1"/>
  <c r="Q271" i="1"/>
  <c r="AO270" i="1"/>
  <c r="AM270" i="1"/>
  <c r="AK270" i="1"/>
  <c r="AE270" i="1"/>
  <c r="Q270" i="1"/>
  <c r="AO269" i="1"/>
  <c r="AM269" i="1"/>
  <c r="AK269" i="1"/>
  <c r="S269" i="1"/>
  <c r="AE269" i="1" s="1"/>
  <c r="Q269" i="1"/>
  <c r="AM268" i="1"/>
  <c r="AK268" i="1"/>
  <c r="S268" i="1"/>
  <c r="AE268" i="1" s="1"/>
  <c r="AO267" i="1"/>
  <c r="AM267" i="1"/>
  <c r="AK267" i="1"/>
  <c r="AE267" i="1"/>
  <c r="Q267" i="1"/>
  <c r="AO266" i="1"/>
  <c r="AM266" i="1"/>
  <c r="AK266" i="1"/>
  <c r="AE266" i="1"/>
  <c r="Q266" i="1"/>
  <c r="AO265" i="1"/>
  <c r="AM265" i="1"/>
  <c r="AK265" i="1"/>
  <c r="AE265" i="1"/>
  <c r="Q265" i="1"/>
  <c r="AO264" i="1"/>
  <c r="AM264" i="1"/>
  <c r="AK264" i="1"/>
  <c r="AE264" i="1"/>
  <c r="Q264" i="1"/>
  <c r="AO263" i="1"/>
  <c r="AM263" i="1"/>
  <c r="AK263" i="1"/>
  <c r="AE263" i="1"/>
  <c r="Q263" i="1"/>
  <c r="AO262" i="1"/>
  <c r="AM262" i="1"/>
  <c r="AK262" i="1"/>
  <c r="AE262" i="1"/>
  <c r="Q262" i="1"/>
  <c r="AM261" i="1"/>
  <c r="AK261" i="1"/>
  <c r="S261" i="1"/>
  <c r="AO261" i="1" s="1"/>
  <c r="AM260" i="1"/>
  <c r="AK260" i="1"/>
  <c r="S260" i="1"/>
  <c r="AO260" i="1" s="1"/>
  <c r="AO259" i="1"/>
  <c r="AM259" i="1"/>
  <c r="AK259" i="1"/>
  <c r="AE259" i="1"/>
  <c r="Q259" i="1"/>
  <c r="AO258" i="1"/>
  <c r="AM258" i="1"/>
  <c r="AK258" i="1"/>
  <c r="AE258" i="1"/>
  <c r="Q258" i="1"/>
  <c r="AO257" i="1"/>
  <c r="AM257" i="1"/>
  <c r="AK257" i="1"/>
  <c r="AE257" i="1"/>
  <c r="Q257" i="1"/>
  <c r="AO256" i="1"/>
  <c r="AM256" i="1"/>
  <c r="AK256" i="1"/>
  <c r="AE256" i="1"/>
  <c r="Q256" i="1"/>
  <c r="AO255" i="1"/>
  <c r="AM255" i="1"/>
  <c r="AK255" i="1"/>
  <c r="AE255" i="1"/>
  <c r="Q255" i="1"/>
  <c r="AO254" i="1"/>
  <c r="AM254" i="1"/>
  <c r="AK254" i="1"/>
  <c r="AE254" i="1"/>
  <c r="Q254" i="1"/>
  <c r="AO253" i="1"/>
  <c r="AM253" i="1"/>
  <c r="AK253" i="1"/>
  <c r="AE253" i="1"/>
  <c r="Q253" i="1"/>
  <c r="AO252" i="1"/>
  <c r="AM252" i="1"/>
  <c r="AK252" i="1"/>
  <c r="AE252" i="1"/>
  <c r="Q252" i="1"/>
  <c r="AM251" i="1"/>
  <c r="AK251" i="1"/>
  <c r="S251" i="1"/>
  <c r="AE251" i="1" s="1"/>
  <c r="AM250" i="1"/>
  <c r="AK250" i="1"/>
  <c r="S250" i="1"/>
  <c r="Q250" i="1" s="1"/>
  <c r="AM249" i="1"/>
  <c r="AK249" i="1"/>
  <c r="S249" i="1"/>
  <c r="AO249" i="1" s="1"/>
  <c r="AM248" i="1"/>
  <c r="AK248" i="1"/>
  <c r="S248" i="1"/>
  <c r="AO248" i="1" s="1"/>
  <c r="AO247" i="1"/>
  <c r="AM247" i="1"/>
  <c r="AK247" i="1"/>
  <c r="AE247" i="1"/>
  <c r="Q247" i="1"/>
  <c r="AO246" i="1"/>
  <c r="AM246" i="1"/>
  <c r="AK246" i="1"/>
  <c r="AE246" i="1"/>
  <c r="Q246" i="1"/>
  <c r="AO245" i="1"/>
  <c r="AM245" i="1"/>
  <c r="AK245" i="1"/>
  <c r="AE245" i="1"/>
  <c r="Q245" i="1"/>
  <c r="AO244" i="1"/>
  <c r="AM244" i="1"/>
  <c r="AK244" i="1"/>
  <c r="AE244" i="1"/>
  <c r="Q244" i="1"/>
  <c r="AO243" i="1"/>
  <c r="AM243" i="1"/>
  <c r="AK243" i="1"/>
  <c r="AE243" i="1"/>
  <c r="Q243" i="1"/>
  <c r="AO242" i="1"/>
  <c r="AM242" i="1"/>
  <c r="AK242" i="1"/>
  <c r="AE242" i="1"/>
  <c r="Q242" i="1"/>
  <c r="AO241" i="1"/>
  <c r="AM241" i="1"/>
  <c r="AK241" i="1"/>
  <c r="AE241" i="1"/>
  <c r="Q241" i="1"/>
  <c r="AO240" i="1"/>
  <c r="AM240" i="1"/>
  <c r="AK240" i="1"/>
  <c r="AE240" i="1"/>
  <c r="Q240" i="1"/>
  <c r="AO239" i="1"/>
  <c r="AM239" i="1"/>
  <c r="AK239" i="1"/>
  <c r="AE239" i="1"/>
  <c r="Q239" i="1"/>
  <c r="AO238" i="1"/>
  <c r="AM238" i="1"/>
  <c r="AK238" i="1"/>
  <c r="AE238" i="1"/>
  <c r="Q238" i="1"/>
  <c r="AO237" i="1"/>
  <c r="AM237" i="1"/>
  <c r="AK237" i="1"/>
  <c r="AE237" i="1"/>
  <c r="Q237" i="1"/>
  <c r="AO236" i="1"/>
  <c r="AM236" i="1"/>
  <c r="AK236" i="1"/>
  <c r="AE236" i="1"/>
  <c r="Q236" i="1"/>
  <c r="AO235" i="1"/>
  <c r="AM235" i="1"/>
  <c r="AK235" i="1"/>
  <c r="AE235" i="1"/>
  <c r="Q235" i="1"/>
  <c r="AO234" i="1"/>
  <c r="AM234" i="1"/>
  <c r="AK234" i="1"/>
  <c r="AE234" i="1"/>
  <c r="Q234" i="1"/>
  <c r="AO233" i="1"/>
  <c r="AM233" i="1"/>
  <c r="AK233" i="1"/>
  <c r="AE233" i="1"/>
  <c r="Q233" i="1"/>
  <c r="AO232" i="1"/>
  <c r="AM232" i="1"/>
  <c r="AK232" i="1"/>
  <c r="AE232" i="1"/>
  <c r="Q232" i="1"/>
  <c r="AO231" i="1"/>
  <c r="AM231" i="1"/>
  <c r="AK231" i="1"/>
  <c r="AE231" i="1"/>
  <c r="Q231" i="1"/>
  <c r="AO230" i="1"/>
  <c r="AM230" i="1"/>
  <c r="AK230" i="1"/>
  <c r="AE230" i="1"/>
  <c r="Q230" i="1"/>
  <c r="AO229" i="1"/>
  <c r="AM229" i="1"/>
  <c r="AK229" i="1"/>
  <c r="AE229" i="1"/>
  <c r="Q229" i="1"/>
  <c r="AO228" i="1"/>
  <c r="AM228" i="1"/>
  <c r="AK228" i="1"/>
  <c r="AE228" i="1"/>
  <c r="Q228" i="1"/>
  <c r="AO227" i="1"/>
  <c r="AM227" i="1"/>
  <c r="AK227" i="1"/>
  <c r="AE227" i="1"/>
  <c r="Q227" i="1"/>
  <c r="AO226" i="1"/>
  <c r="AM226" i="1"/>
  <c r="AK226" i="1"/>
  <c r="AE226" i="1"/>
  <c r="Q226" i="1"/>
  <c r="AO225" i="1"/>
  <c r="AM225" i="1"/>
  <c r="AK225" i="1"/>
  <c r="AE225" i="1"/>
  <c r="Q225" i="1"/>
  <c r="AO224" i="1"/>
  <c r="AM224" i="1"/>
  <c r="AK224" i="1"/>
  <c r="AE224" i="1"/>
  <c r="Q224" i="1"/>
  <c r="AO223" i="1"/>
  <c r="AM223" i="1"/>
  <c r="AK223" i="1"/>
  <c r="S223" i="1"/>
  <c r="AE223" i="1" s="1"/>
  <c r="AM222" i="1"/>
  <c r="AK222" i="1"/>
  <c r="S222" i="1"/>
  <c r="AO222" i="1" s="1"/>
  <c r="AO221" i="1"/>
  <c r="AM221" i="1"/>
  <c r="AK221" i="1"/>
  <c r="AE221" i="1"/>
  <c r="Q221" i="1"/>
  <c r="AO220" i="1"/>
  <c r="AM220" i="1"/>
  <c r="AK220" i="1"/>
  <c r="AE220" i="1"/>
  <c r="Q220" i="1"/>
  <c r="AM219" i="1"/>
  <c r="AK219" i="1"/>
  <c r="S219" i="1"/>
  <c r="AE219" i="1" s="1"/>
  <c r="AM218" i="1"/>
  <c r="AK218" i="1"/>
  <c r="S218" i="1"/>
  <c r="AE218" i="1" s="1"/>
  <c r="AH217" i="1"/>
  <c r="AM217" i="1" s="1"/>
  <c r="AD217" i="1"/>
  <c r="AK217" i="1" s="1"/>
  <c r="S217" i="1"/>
  <c r="Q217" i="1" s="1"/>
  <c r="AH216" i="1"/>
  <c r="AM216" i="1" s="1"/>
  <c r="AD216" i="1"/>
  <c r="S216" i="1"/>
  <c r="Q216" i="1" s="1"/>
  <c r="AO215" i="1"/>
  <c r="AM215" i="1"/>
  <c r="AK215" i="1"/>
  <c r="AE215" i="1"/>
  <c r="Q215" i="1"/>
  <c r="AO214" i="1"/>
  <c r="AM214" i="1"/>
  <c r="AK214" i="1"/>
  <c r="AE214" i="1"/>
  <c r="Q214" i="1"/>
  <c r="AO213" i="1"/>
  <c r="AM213" i="1"/>
  <c r="AK213" i="1"/>
  <c r="AE213" i="1"/>
  <c r="Q213" i="1"/>
  <c r="AO212" i="1"/>
  <c r="AM212" i="1"/>
  <c r="AK212" i="1"/>
  <c r="AE212" i="1"/>
  <c r="Q212" i="1"/>
  <c r="AO211" i="1"/>
  <c r="AM211" i="1"/>
  <c r="AK211" i="1"/>
  <c r="AE211" i="1"/>
  <c r="Q211" i="1"/>
  <c r="AO210" i="1"/>
  <c r="AM210" i="1"/>
  <c r="AK210" i="1"/>
  <c r="AE210" i="1"/>
  <c r="Q210" i="1"/>
  <c r="AO209" i="1"/>
  <c r="AM209" i="1"/>
  <c r="AK209" i="1"/>
  <c r="AE209" i="1"/>
  <c r="Q209" i="1"/>
  <c r="AO208" i="1"/>
  <c r="AM208" i="1"/>
  <c r="AK208" i="1"/>
  <c r="AE208" i="1"/>
  <c r="Q208" i="1"/>
  <c r="AO207" i="1"/>
  <c r="AM207" i="1"/>
  <c r="AK207" i="1"/>
  <c r="AE207" i="1"/>
  <c r="Q207" i="1"/>
  <c r="AO206" i="1"/>
  <c r="AM206" i="1"/>
  <c r="AK206" i="1"/>
  <c r="AE206" i="1"/>
  <c r="Q206" i="1"/>
  <c r="AO205" i="1"/>
  <c r="AM205" i="1"/>
  <c r="AK205" i="1"/>
  <c r="AE205" i="1"/>
  <c r="Q205" i="1"/>
  <c r="AO204" i="1"/>
  <c r="AM204" i="1"/>
  <c r="AK204" i="1"/>
  <c r="AE204" i="1"/>
  <c r="Q204" i="1"/>
  <c r="AO203" i="1"/>
  <c r="AM203" i="1"/>
  <c r="AK203" i="1"/>
  <c r="AE203" i="1"/>
  <c r="Q203" i="1"/>
  <c r="AO202" i="1"/>
  <c r="AM202" i="1"/>
  <c r="AK202" i="1"/>
  <c r="AE202" i="1"/>
  <c r="Q202" i="1"/>
  <c r="AO201" i="1"/>
  <c r="AM201" i="1"/>
  <c r="AK201" i="1"/>
  <c r="AE201" i="1"/>
  <c r="Q201" i="1"/>
  <c r="AO200" i="1"/>
  <c r="AM200" i="1"/>
  <c r="AK200" i="1"/>
  <c r="AE200" i="1"/>
  <c r="Q200" i="1"/>
  <c r="AO199" i="1"/>
  <c r="AM199" i="1"/>
  <c r="AK199" i="1"/>
  <c r="AE199" i="1"/>
  <c r="Q199" i="1"/>
  <c r="AO198" i="1"/>
  <c r="AM198" i="1"/>
  <c r="AK198" i="1"/>
  <c r="AE198" i="1"/>
  <c r="Q198" i="1"/>
  <c r="AO197" i="1"/>
  <c r="AM197" i="1"/>
  <c r="AE197" i="1"/>
  <c r="Q197" i="1"/>
  <c r="AO196" i="1"/>
  <c r="AM196" i="1"/>
  <c r="AE196" i="1"/>
  <c r="Q196" i="1"/>
  <c r="AO195" i="1"/>
  <c r="AM195" i="1"/>
  <c r="AK195" i="1"/>
  <c r="AE195" i="1"/>
  <c r="Q195" i="1"/>
  <c r="AO194" i="1"/>
  <c r="AM194" i="1"/>
  <c r="AK194" i="1"/>
  <c r="AE194" i="1"/>
  <c r="Q194" i="1"/>
  <c r="AO193" i="1"/>
  <c r="AM193" i="1"/>
  <c r="AK193" i="1"/>
  <c r="AE193" i="1"/>
  <c r="Q193" i="1"/>
  <c r="AO192" i="1"/>
  <c r="AM192" i="1"/>
  <c r="AK192" i="1"/>
  <c r="AE192" i="1"/>
  <c r="Q192" i="1"/>
  <c r="AM191" i="1"/>
  <c r="AK191" i="1"/>
  <c r="S191" i="1"/>
  <c r="AO191" i="1" s="1"/>
  <c r="AM190" i="1"/>
  <c r="AK190" i="1"/>
  <c r="S190" i="1"/>
  <c r="AO190" i="1" s="1"/>
  <c r="AM189" i="1"/>
  <c r="AK189" i="1"/>
  <c r="S189" i="1"/>
  <c r="AO189" i="1" s="1"/>
  <c r="A189" i="1"/>
  <c r="A190" i="1" s="1"/>
  <c r="AM188" i="1"/>
  <c r="AK188" i="1"/>
  <c r="S188" i="1"/>
  <c r="AO188" i="1" s="1"/>
  <c r="B188" i="1"/>
  <c r="S172" i="1"/>
  <c r="S171" i="1"/>
  <c r="S170" i="1"/>
  <c r="AN169" i="1"/>
  <c r="AN168" i="1"/>
  <c r="AN167" i="1"/>
  <c r="AN166" i="1"/>
  <c r="AN165" i="1"/>
  <c r="AN164" i="1"/>
  <c r="AN156" i="1"/>
  <c r="AN155" i="1"/>
  <c r="AN154" i="1"/>
  <c r="AN153" i="1"/>
  <c r="AN152" i="1"/>
  <c r="AN151" i="1"/>
  <c r="AN150" i="1"/>
  <c r="AN149" i="1"/>
  <c r="S147" i="1"/>
  <c r="AN144" i="1"/>
  <c r="AN143" i="1"/>
  <c r="AN142" i="1"/>
  <c r="AN141" i="1"/>
  <c r="AN140" i="1"/>
  <c r="AN139" i="1"/>
  <c r="AN138" i="1"/>
  <c r="AN135" i="1"/>
  <c r="AN134" i="1"/>
  <c r="AN133" i="1"/>
  <c r="AN132" i="1"/>
  <c r="AN131" i="1"/>
  <c r="AN128" i="1"/>
  <c r="AN125" i="1"/>
  <c r="AN124" i="1"/>
  <c r="AN123" i="1"/>
  <c r="AN122" i="1"/>
  <c r="Z121" i="1"/>
  <c r="AN118" i="1"/>
  <c r="Z117" i="1"/>
  <c r="AN116" i="1"/>
  <c r="Z116" i="1"/>
  <c r="S115" i="1"/>
  <c r="S114" i="1"/>
  <c r="AN112" i="1"/>
  <c r="AN111" i="1"/>
  <c r="Z111" i="1"/>
  <c r="S110" i="1"/>
  <c r="Z110" i="1" s="1"/>
  <c r="Z109" i="1"/>
  <c r="Z108" i="1"/>
  <c r="S107" i="1"/>
  <c r="Z107" i="1" s="1"/>
  <c r="Z106" i="1"/>
  <c r="Z105" i="1"/>
  <c r="A105" i="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S104" i="1"/>
  <c r="Z104" i="1" s="1"/>
  <c r="S103" i="1"/>
  <c r="Z103" i="1" s="1"/>
  <c r="S102" i="1"/>
  <c r="Z102" i="1" s="1"/>
  <c r="S101" i="1"/>
  <c r="Z101" i="1" s="1"/>
  <c r="S100" i="1"/>
  <c r="Z100" i="1" s="1"/>
  <c r="S99" i="1"/>
  <c r="Z99" i="1" s="1"/>
  <c r="S98" i="1"/>
  <c r="Q98" i="1" s="1"/>
  <c r="S97" i="1"/>
  <c r="Z97" i="1" s="1"/>
  <c r="S96" i="1"/>
  <c r="Z96" i="1" s="1"/>
  <c r="S95" i="1"/>
  <c r="Z95" i="1" s="1"/>
  <c r="AN94" i="1"/>
  <c r="S94" i="1"/>
  <c r="Z94" i="1" s="1"/>
  <c r="S93" i="1"/>
  <c r="Z93" i="1" s="1"/>
  <c r="S92" i="1"/>
  <c r="Z92" i="1" s="1"/>
  <c r="S91" i="1"/>
  <c r="Z91" i="1" s="1"/>
  <c r="S90" i="1"/>
  <c r="Z90" i="1" s="1"/>
  <c r="S89" i="1"/>
  <c r="Z89" i="1" s="1"/>
  <c r="S88" i="1"/>
  <c r="Z88" i="1" s="1"/>
  <c r="S87" i="1"/>
  <c r="Z87" i="1" s="1"/>
  <c r="S86" i="1"/>
  <c r="Z86" i="1" s="1"/>
  <c r="S85" i="1"/>
  <c r="Z85" i="1" s="1"/>
  <c r="S84" i="1"/>
  <c r="Z84" i="1" s="1"/>
  <c r="S83" i="1"/>
  <c r="Z83" i="1" s="1"/>
  <c r="S82" i="1"/>
  <c r="Z82" i="1" s="1"/>
  <c r="S81" i="1"/>
  <c r="Z81" i="1" s="1"/>
  <c r="S80" i="1"/>
  <c r="Z80" i="1" s="1"/>
  <c r="S79" i="1"/>
  <c r="Z79" i="1" s="1"/>
  <c r="S78" i="1"/>
  <c r="Z78" i="1" s="1"/>
  <c r="S77" i="1"/>
  <c r="Z77" i="1" s="1"/>
  <c r="S76" i="1"/>
  <c r="Z76" i="1" s="1"/>
  <c r="S75" i="1"/>
  <c r="Z75" i="1" s="1"/>
  <c r="S74" i="1"/>
  <c r="Z74" i="1" s="1"/>
  <c r="S73" i="1"/>
  <c r="Z73" i="1" s="1"/>
  <c r="S72" i="1"/>
  <c r="Z72" i="1" s="1"/>
  <c r="S71" i="1"/>
  <c r="Z71" i="1" s="1"/>
  <c r="S70" i="1"/>
  <c r="Z70" i="1" s="1"/>
  <c r="S69" i="1"/>
  <c r="Z69" i="1" s="1"/>
  <c r="S68" i="1"/>
  <c r="Z68" i="1" s="1"/>
  <c r="S67" i="1"/>
  <c r="Z67" i="1" s="1"/>
  <c r="S66" i="1"/>
  <c r="Z66" i="1" s="1"/>
  <c r="S65" i="1"/>
  <c r="Z65" i="1" s="1"/>
  <c r="S64" i="1"/>
  <c r="Z64" i="1" s="1"/>
  <c r="S63" i="1"/>
  <c r="Z63" i="1" s="1"/>
  <c r="S62" i="1"/>
  <c r="Z62" i="1" s="1"/>
  <c r="S61" i="1"/>
  <c r="Z61" i="1" s="1"/>
  <c r="S60" i="1"/>
  <c r="Z60" i="1" s="1"/>
  <c r="S59" i="1"/>
  <c r="Z59" i="1" s="1"/>
  <c r="S58" i="1"/>
  <c r="Z58" i="1" s="1"/>
  <c r="S57" i="1"/>
  <c r="Z57" i="1" s="1"/>
  <c r="S56" i="1"/>
  <c r="Z56" i="1" s="1"/>
  <c r="S55" i="1"/>
  <c r="Z55" i="1" s="1"/>
  <c r="S54" i="1"/>
  <c r="Z54" i="1" s="1"/>
  <c r="S53" i="1"/>
  <c r="Z53" i="1" s="1"/>
  <c r="S52" i="1"/>
  <c r="Z52" i="1" s="1"/>
  <c r="S51" i="1"/>
  <c r="Z51" i="1" s="1"/>
  <c r="S50" i="1"/>
  <c r="Z50" i="1" s="1"/>
  <c r="S49" i="1"/>
  <c r="Z49" i="1" s="1"/>
  <c r="S48" i="1"/>
  <c r="Z48" i="1" s="1"/>
  <c r="S47" i="1"/>
  <c r="Z47" i="1" s="1"/>
  <c r="S46" i="1"/>
  <c r="Z46" i="1" s="1"/>
  <c r="S45" i="1"/>
  <c r="Z45" i="1" s="1"/>
  <c r="S44" i="1"/>
  <c r="Z44" i="1" s="1"/>
  <c r="S43" i="1"/>
  <c r="Z43" i="1" s="1"/>
  <c r="S42" i="1"/>
  <c r="Z42" i="1" s="1"/>
  <c r="S41" i="1"/>
  <c r="Z41" i="1" s="1"/>
  <c r="S40" i="1"/>
  <c r="Z40" i="1" s="1"/>
  <c r="S39" i="1"/>
  <c r="Z39" i="1" s="1"/>
  <c r="S38" i="1"/>
  <c r="Z38" i="1" s="1"/>
  <c r="S37" i="1"/>
  <c r="Z37" i="1" s="1"/>
  <c r="S36" i="1"/>
  <c r="Z36" i="1" s="1"/>
  <c r="S35" i="1"/>
  <c r="Z35" i="1" s="1"/>
  <c r="S34" i="1"/>
  <c r="Z34" i="1" s="1"/>
  <c r="S33" i="1"/>
  <c r="Z33" i="1" s="1"/>
  <c r="S32" i="1"/>
  <c r="Z32" i="1" s="1"/>
  <c r="S31" i="1"/>
  <c r="Z31" i="1" s="1"/>
  <c r="S30" i="1"/>
  <c r="Z30" i="1" s="1"/>
  <c r="S29" i="1"/>
  <c r="Z29" i="1" s="1"/>
  <c r="S28" i="1"/>
  <c r="Z28" i="1" s="1"/>
  <c r="S27" i="1"/>
  <c r="Z27" i="1" s="1"/>
  <c r="S26" i="1"/>
  <c r="Z26" i="1" s="1"/>
  <c r="S25" i="1"/>
  <c r="Z25" i="1" s="1"/>
  <c r="S24" i="1"/>
  <c r="Z24" i="1" s="1"/>
  <c r="S23" i="1"/>
  <c r="Z23" i="1" s="1"/>
  <c r="S22" i="1"/>
  <c r="Z22" i="1" s="1"/>
  <c r="S21" i="1"/>
  <c r="Z21" i="1" s="1"/>
  <c r="S20" i="1"/>
  <c r="Z20" i="1" s="1"/>
  <c r="S19" i="1"/>
  <c r="Z19" i="1" s="1"/>
  <c r="S18" i="1"/>
  <c r="Z18" i="1" s="1"/>
  <c r="S17" i="1"/>
  <c r="Z17" i="1" s="1"/>
  <c r="S16" i="1"/>
  <c r="Z16" i="1" s="1"/>
  <c r="S15" i="1"/>
  <c r="Z15" i="1" s="1"/>
  <c r="S14" i="1"/>
  <c r="Z14" i="1" s="1"/>
  <c r="S13" i="1"/>
  <c r="Z13" i="1" s="1"/>
  <c r="S12" i="1"/>
  <c r="Z12" i="1" s="1"/>
  <c r="S11" i="1"/>
  <c r="Z11" i="1" s="1"/>
  <c r="S10" i="1"/>
  <c r="Z10" i="1" s="1"/>
  <c r="S9" i="1"/>
  <c r="Z9" i="1" s="1"/>
  <c r="S8" i="1"/>
  <c r="Z8" i="1" s="1"/>
  <c r="S7" i="1"/>
  <c r="Z7" i="1" s="1"/>
  <c r="S6" i="1"/>
  <c r="Z6" i="1" s="1"/>
  <c r="AP5" i="1"/>
  <c r="S5" i="1"/>
  <c r="Z5" i="1" s="1"/>
  <c r="Q190" i="1" l="1"/>
  <c r="AN1063" i="1"/>
  <c r="AN1088" i="1"/>
  <c r="AN1081" i="1"/>
  <c r="AN1093" i="1"/>
  <c r="Q189" i="1"/>
  <c r="Q191" i="1"/>
  <c r="AO514" i="1"/>
  <c r="AO526" i="1"/>
  <c r="AO853" i="1"/>
  <c r="AO880" i="1"/>
  <c r="AN1078" i="1"/>
  <c r="AN1094" i="1"/>
  <c r="AE981" i="1"/>
  <c r="Q97" i="1"/>
  <c r="AO275" i="1"/>
  <c r="AE1019" i="1"/>
  <c r="AN1060" i="1"/>
  <c r="AN1085" i="1"/>
  <c r="AO836" i="1"/>
  <c r="Q289" i="1"/>
  <c r="AE839" i="1"/>
  <c r="Q408" i="1"/>
  <c r="AE772" i="1"/>
  <c r="AN1092" i="1"/>
  <c r="AN1096" i="1"/>
  <c r="AE766" i="1"/>
  <c r="AE867" i="1"/>
  <c r="AO775" i="1"/>
  <c r="AE854" i="1"/>
  <c r="AE937" i="1"/>
  <c r="AO513" i="1"/>
  <c r="AE382" i="1"/>
  <c r="AE529" i="1"/>
  <c r="AE847" i="1"/>
  <c r="AE985" i="1"/>
  <c r="AE889" i="1"/>
  <c r="AE999" i="1"/>
  <c r="Q103" i="1"/>
  <c r="AE191" i="1"/>
  <c r="Q218" i="1"/>
  <c r="AO778" i="1"/>
  <c r="AN1073" i="1"/>
  <c r="Q222" i="1"/>
  <c r="AK275" i="1"/>
  <c r="AP354" i="1"/>
  <c r="AE409" i="1"/>
  <c r="AE503" i="1"/>
  <c r="AE532" i="1"/>
  <c r="AE851" i="1"/>
  <c r="AN1061" i="1"/>
  <c r="AE190" i="1"/>
  <c r="AK216" i="1"/>
  <c r="AE756" i="1"/>
  <c r="AE769" i="1"/>
  <c r="AO774" i="1"/>
  <c r="AE824" i="1"/>
  <c r="AO840" i="1"/>
  <c r="AE842" i="1"/>
  <c r="AO849" i="1"/>
  <c r="AO856" i="1"/>
  <c r="AO869" i="1"/>
  <c r="AE898" i="1"/>
  <c r="AO905" i="1"/>
  <c r="AE980" i="1"/>
  <c r="AE993" i="1"/>
  <c r="AO1000" i="1"/>
  <c r="AN1062" i="1"/>
  <c r="AO218" i="1"/>
  <c r="AO285" i="1"/>
  <c r="AN1079" i="1"/>
  <c r="AE755" i="1"/>
  <c r="AE841" i="1"/>
  <c r="AE979" i="1"/>
  <c r="AE992" i="1"/>
  <c r="AE1001" i="1"/>
  <c r="AO399" i="1"/>
  <c r="Q402" i="1"/>
  <c r="AE1011" i="1"/>
  <c r="Q101" i="1"/>
  <c r="AO289" i="1"/>
  <c r="AP359" i="1"/>
  <c r="AE367" i="1"/>
  <c r="AO824" i="1"/>
  <c r="AE940" i="1"/>
  <c r="AN1056" i="1"/>
  <c r="AN1104" i="1"/>
  <c r="Q102" i="1"/>
  <c r="B189" i="1"/>
  <c r="Q275" i="1"/>
  <c r="Q286" i="1"/>
  <c r="Q350" i="1"/>
  <c r="AE425" i="1"/>
  <c r="AE748" i="1"/>
  <c r="AE753" i="1"/>
  <c r="AE758" i="1"/>
  <c r="AE771" i="1"/>
  <c r="AE779" i="1"/>
  <c r="AE860" i="1"/>
  <c r="AE902" i="1"/>
  <c r="AO958" i="1"/>
  <c r="AE962" i="1"/>
  <c r="AE987" i="1"/>
  <c r="AO1033" i="1"/>
  <c r="AN1082" i="1"/>
  <c r="AN1087" i="1"/>
  <c r="AE835" i="1"/>
  <c r="AE838" i="1"/>
  <c r="AO884" i="1"/>
  <c r="AE888" i="1"/>
  <c r="AO917" i="1"/>
  <c r="AO957" i="1"/>
  <c r="AE966" i="1"/>
  <c r="AO973" i="1"/>
  <c r="AE989" i="1"/>
  <c r="AE998" i="1"/>
  <c r="AE1003" i="1"/>
  <c r="AE1029" i="1"/>
  <c r="AO1032" i="1"/>
  <c r="AO418" i="1"/>
  <c r="AE502" i="1"/>
  <c r="Q188" i="1"/>
  <c r="AO251" i="1"/>
  <c r="Q285" i="1"/>
  <c r="AE408" i="1"/>
  <c r="AE427" i="1"/>
  <c r="AO503" i="1"/>
  <c r="AO525" i="1"/>
  <c r="AE571" i="1"/>
  <c r="AE584" i="1"/>
  <c r="AE635" i="1"/>
  <c r="AE845" i="1"/>
  <c r="AE870" i="1"/>
  <c r="AO877" i="1"/>
  <c r="AE881" i="1"/>
  <c r="AO897" i="1"/>
  <c r="AO936" i="1"/>
  <c r="AE977" i="1"/>
  <c r="AE1005" i="1"/>
  <c r="AO1016" i="1"/>
  <c r="AE1031" i="1"/>
  <c r="AN1054" i="1"/>
  <c r="AN1064" i="1"/>
  <c r="AN1068" i="1"/>
  <c r="AN1072" i="1"/>
  <c r="AN1076" i="1"/>
  <c r="AN1084" i="1"/>
  <c r="AN1091" i="1"/>
  <c r="AO350" i="1"/>
  <c r="AO598" i="1"/>
  <c r="AO921" i="1"/>
  <c r="AO217" i="1"/>
  <c r="AO371" i="1"/>
  <c r="AO422" i="1"/>
  <c r="AE260" i="1"/>
  <c r="Q409" i="1"/>
  <c r="AO415" i="1"/>
  <c r="AE419" i="1"/>
  <c r="AE464" i="1"/>
  <c r="AE501" i="1"/>
  <c r="AE837" i="1"/>
  <c r="AO859" i="1"/>
  <c r="AO901" i="1"/>
  <c r="AO910" i="1"/>
  <c r="AE918" i="1"/>
  <c r="AO961" i="1"/>
  <c r="AE974" i="1"/>
  <c r="AE988" i="1"/>
  <c r="AE995" i="1"/>
  <c r="AO1036" i="1"/>
  <c r="AN1089" i="1"/>
  <c r="AO309" i="1"/>
  <c r="AO506" i="1"/>
  <c r="AO762" i="1"/>
  <c r="AO1025" i="1"/>
  <c r="AE222" i="1"/>
  <c r="Q249" i="1"/>
  <c r="AE250" i="1"/>
  <c r="Q261" i="1"/>
  <c r="AO268" i="1"/>
  <c r="AO284" i="1"/>
  <c r="Q288" i="1"/>
  <c r="Q308" i="1"/>
  <c r="Q309" i="1"/>
  <c r="Q349" i="1"/>
  <c r="Q361" i="1"/>
  <c r="Q380" i="1"/>
  <c r="AO392" i="1"/>
  <c r="Q405" i="1"/>
  <c r="Q407" i="1"/>
  <c r="AE507" i="1"/>
  <c r="AO522" i="1"/>
  <c r="AE588" i="1"/>
  <c r="AE752" i="1"/>
  <c r="AE768" i="1"/>
  <c r="AO852" i="1"/>
  <c r="AE857" i="1"/>
  <c r="AO863" i="1"/>
  <c r="AO872" i="1"/>
  <c r="AO890" i="1"/>
  <c r="AE892" i="1"/>
  <c r="AE922" i="1"/>
  <c r="AE976" i="1"/>
  <c r="AE984" i="1"/>
  <c r="AE1008" i="1"/>
  <c r="AE1015" i="1"/>
  <c r="AN1055" i="1"/>
  <c r="AN1067" i="1"/>
  <c r="AN1095" i="1"/>
  <c r="Q96" i="1"/>
  <c r="Q248" i="1"/>
  <c r="AE249" i="1"/>
  <c r="Q260" i="1"/>
  <c r="AE261" i="1"/>
  <c r="AK277" i="1"/>
  <c r="Q282" i="1"/>
  <c r="AO286" i="1"/>
  <c r="AE308" i="1"/>
  <c r="AE372" i="1"/>
  <c r="AE380" i="1"/>
  <c r="AE405" i="1"/>
  <c r="AE512" i="1"/>
  <c r="AE528" i="1"/>
  <c r="AE531" i="1"/>
  <c r="AE746" i="1"/>
  <c r="AO765" i="1"/>
  <c r="AE773" i="1"/>
  <c r="AO866" i="1"/>
  <c r="AE868" i="1"/>
  <c r="AE894" i="1"/>
  <c r="AE914" i="1"/>
  <c r="AE970" i="1"/>
  <c r="AE978" i="1"/>
  <c r="AE986" i="1"/>
  <c r="AE991" i="1"/>
  <c r="AE996" i="1"/>
  <c r="AE1007" i="1"/>
  <c r="AE1020" i="1"/>
  <c r="AN1074" i="1"/>
  <c r="AE188" i="1"/>
  <c r="AE189" i="1"/>
  <c r="AO219" i="1"/>
  <c r="AO250" i="1"/>
  <c r="AK274" i="1"/>
  <c r="AE277" i="1"/>
  <c r="AO283" i="1"/>
  <c r="Q287" i="1"/>
  <c r="Q307" i="1"/>
  <c r="AO393" i="1"/>
  <c r="AE509" i="1"/>
  <c r="AE844" i="1"/>
  <c r="AO848" i="1"/>
  <c r="AE873" i="1"/>
  <c r="AO876" i="1"/>
  <c r="AE891" i="1"/>
  <c r="AO940" i="1"/>
  <c r="AE983" i="1"/>
  <c r="AE1004" i="1"/>
  <c r="AE1012" i="1"/>
  <c r="AN1075" i="1"/>
  <c r="Q223" i="1"/>
  <c r="AE248" i="1"/>
  <c r="Q251" i="1"/>
  <c r="Q268" i="1"/>
  <c r="AE276" i="1"/>
  <c r="AO277" i="1"/>
  <c r="Q284" i="1"/>
  <c r="AO288" i="1"/>
  <c r="Q316" i="1"/>
  <c r="Q362" i="1"/>
  <c r="AO375" i="1"/>
  <c r="Q379" i="1"/>
  <c r="AO386" i="1"/>
  <c r="Q397" i="1"/>
  <c r="Q404" i="1"/>
  <c r="AE530" i="1"/>
  <c r="AO754" i="1"/>
  <c r="AO757" i="1"/>
  <c r="AO770" i="1"/>
  <c r="AE850" i="1"/>
  <c r="AE864" i="1"/>
  <c r="AO865" i="1"/>
  <c r="AE885" i="1"/>
  <c r="AE906" i="1"/>
  <c r="AO909" i="1"/>
  <c r="AO965" i="1"/>
  <c r="AN1065" i="1"/>
  <c r="AN1086" i="1"/>
  <c r="AN1090" i="1"/>
  <c r="AN1137" i="1"/>
  <c r="AO282" i="1"/>
  <c r="AE379" i="1"/>
  <c r="AE381" i="1"/>
  <c r="AE404" i="1"/>
  <c r="AE508" i="1"/>
  <c r="AE843" i="1"/>
  <c r="AE855" i="1"/>
  <c r="AE858" i="1"/>
  <c r="AE982" i="1"/>
  <c r="AN1066" i="1"/>
  <c r="AN1069" i="1"/>
  <c r="Q219" i="1"/>
  <c r="Q283" i="1"/>
  <c r="AO287" i="1"/>
  <c r="B309" i="1"/>
  <c r="AO387" i="1"/>
  <c r="AO406" i="1"/>
  <c r="AO584" i="1"/>
  <c r="AO616" i="1"/>
  <c r="AO761" i="1"/>
  <c r="AE846" i="1"/>
  <c r="AO870" i="1"/>
  <c r="AE887" i="1"/>
  <c r="AO893" i="1"/>
  <c r="AO913" i="1"/>
  <c r="AO969" i="1"/>
  <c r="AE997" i="1"/>
  <c r="AO1024" i="1"/>
  <c r="AN1077" i="1"/>
  <c r="AN1080" i="1"/>
  <c r="AN1099" i="1"/>
  <c r="AE416" i="1"/>
  <c r="AE420" i="1"/>
  <c r="AE472" i="1"/>
  <c r="AE523" i="1"/>
  <c r="AE534" i="1"/>
  <c r="AE759" i="1"/>
  <c r="AE763" i="1"/>
  <c r="AE861" i="1"/>
  <c r="AE874" i="1"/>
  <c r="AE878" i="1"/>
  <c r="AE882" i="1"/>
  <c r="AE895" i="1"/>
  <c r="AE899" i="1"/>
  <c r="AE907" i="1"/>
  <c r="AE911" i="1"/>
  <c r="AE915" i="1"/>
  <c r="AE919" i="1"/>
  <c r="AE923" i="1"/>
  <c r="AE938" i="1"/>
  <c r="AE955" i="1"/>
  <c r="AE959" i="1"/>
  <c r="AE963" i="1"/>
  <c r="AE967" i="1"/>
  <c r="AE971" i="1"/>
  <c r="AE1026" i="1"/>
  <c r="AE1030" i="1"/>
  <c r="AE1034" i="1"/>
  <c r="AO417" i="1"/>
  <c r="AO421" i="1"/>
  <c r="AO425" i="1"/>
  <c r="AE466" i="1"/>
  <c r="AE483" i="1"/>
  <c r="AO524" i="1"/>
  <c r="AO588" i="1"/>
  <c r="AE747" i="1"/>
  <c r="AO760" i="1"/>
  <c r="AO764" i="1"/>
  <c r="AO779" i="1"/>
  <c r="AE825" i="1"/>
  <c r="AO862" i="1"/>
  <c r="AO871" i="1"/>
  <c r="AO875" i="1"/>
  <c r="AO879" i="1"/>
  <c r="AO883" i="1"/>
  <c r="AE886" i="1"/>
  <c r="AO896" i="1"/>
  <c r="AO900" i="1"/>
  <c r="AO904" i="1"/>
  <c r="AO908" i="1"/>
  <c r="AO912" i="1"/>
  <c r="AO916" i="1"/>
  <c r="AO920" i="1"/>
  <c r="AO924" i="1"/>
  <c r="AO935" i="1"/>
  <c r="AO956" i="1"/>
  <c r="AO960" i="1"/>
  <c r="AO964" i="1"/>
  <c r="AO968" i="1"/>
  <c r="AO972" i="1"/>
  <c r="AE990" i="1"/>
  <c r="AE994" i="1"/>
  <c r="AE1002" i="1"/>
  <c r="AE1006" i="1"/>
  <c r="AE1010" i="1"/>
  <c r="AE1014" i="1"/>
  <c r="AE1018" i="1"/>
  <c r="AO1023" i="1"/>
  <c r="AO1027" i="1"/>
  <c r="AO1035" i="1"/>
  <c r="AE1009" i="1"/>
  <c r="AE1013" i="1"/>
  <c r="AE1017" i="1"/>
  <c r="AE1021" i="1"/>
  <c r="AE377" i="1"/>
  <c r="AE383" i="1"/>
  <c r="Q385" i="1"/>
  <c r="Q396" i="1"/>
  <c r="AE397" i="1"/>
  <c r="AE402" i="1"/>
  <c r="AE374" i="1"/>
  <c r="AE385" i="1"/>
  <c r="AE390" i="1"/>
  <c r="AE391" i="1"/>
  <c r="AE396" i="1"/>
  <c r="AE378" i="1"/>
  <c r="Q406" i="1"/>
  <c r="AE407" i="1"/>
  <c r="AE360" i="1"/>
  <c r="A191" i="1"/>
  <c r="B190" i="1"/>
  <c r="B310" i="1"/>
  <c r="A311" i="1"/>
  <c r="AE216" i="1"/>
  <c r="AE274" i="1"/>
  <c r="AO276" i="1"/>
  <c r="AO302" i="1"/>
  <c r="AO303" i="1"/>
  <c r="AO304" i="1"/>
  <c r="AO305" i="1"/>
  <c r="AE217" i="1"/>
  <c r="AE275" i="1"/>
  <c r="AO294" i="1"/>
  <c r="AO295" i="1"/>
  <c r="AO296" i="1"/>
  <c r="AO297" i="1"/>
  <c r="AO298" i="1"/>
  <c r="AO299" i="1"/>
  <c r="Q302" i="1"/>
  <c r="Q303" i="1"/>
  <c r="Q304" i="1"/>
  <c r="Q305" i="1"/>
  <c r="AE316" i="1"/>
  <c r="AO216" i="1"/>
  <c r="AO274" i="1"/>
  <c r="AE349" i="1"/>
  <c r="Q294" i="1"/>
  <c r="Q295" i="1"/>
  <c r="Q296" i="1"/>
  <c r="Q297" i="1"/>
  <c r="Q298" i="1"/>
  <c r="Q299" i="1"/>
  <c r="Z98" i="1"/>
  <c r="Q99" i="1"/>
  <c r="Q100" i="1"/>
  <c r="B311" i="1" l="1"/>
  <c r="A312" i="1"/>
  <c r="B191" i="1"/>
  <c r="A192" i="1"/>
  <c r="A193" i="1" l="1"/>
  <c r="B192" i="1"/>
  <c r="B312" i="1"/>
  <c r="A313" i="1"/>
  <c r="B193" i="1" l="1"/>
  <c r="A194" i="1"/>
  <c r="A314" i="1"/>
  <c r="B313" i="1"/>
  <c r="B194" i="1" l="1"/>
  <c r="A195" i="1"/>
  <c r="B314" i="1"/>
  <c r="A315" i="1"/>
  <c r="A316" i="1" l="1"/>
  <c r="B315" i="1"/>
  <c r="A196" i="1"/>
  <c r="B195" i="1"/>
  <c r="A317" i="1" l="1"/>
  <c r="B316" i="1"/>
  <c r="A197" i="1"/>
  <c r="B196" i="1"/>
  <c r="A318" i="1" l="1"/>
  <c r="B317" i="1"/>
  <c r="A198" i="1"/>
  <c r="B197" i="1"/>
  <c r="B318" i="1" l="1"/>
  <c r="A319" i="1"/>
  <c r="B198" i="1"/>
  <c r="A199" i="1"/>
  <c r="B199" i="1" l="1"/>
  <c r="A200" i="1"/>
  <c r="B319" i="1"/>
  <c r="A320" i="1"/>
  <c r="B200" i="1" l="1"/>
  <c r="A201" i="1"/>
  <c r="B320" i="1"/>
  <c r="A321" i="1"/>
  <c r="A202" i="1" l="1"/>
  <c r="B201" i="1"/>
  <c r="B321" i="1"/>
  <c r="A322" i="1"/>
  <c r="B202" i="1" l="1"/>
  <c r="A203" i="1"/>
  <c r="A323" i="1"/>
  <c r="B322" i="1"/>
  <c r="B323" i="1" l="1"/>
  <c r="A324" i="1"/>
  <c r="A204" i="1"/>
  <c r="B203" i="1"/>
  <c r="A205" i="1" l="1"/>
  <c r="B204" i="1"/>
  <c r="A325" i="1"/>
  <c r="B324" i="1"/>
  <c r="B205" i="1" l="1"/>
  <c r="A206" i="1"/>
  <c r="A326" i="1"/>
  <c r="B325" i="1"/>
  <c r="B206" i="1" l="1"/>
  <c r="A207" i="1"/>
  <c r="B326" i="1"/>
  <c r="A327" i="1"/>
  <c r="B327" i="1" l="1"/>
  <c r="A328" i="1"/>
  <c r="B207" i="1"/>
  <c r="A208" i="1"/>
  <c r="B208" i="1" l="1"/>
  <c r="A209" i="1"/>
  <c r="B328" i="1"/>
  <c r="A329" i="1"/>
  <c r="B329" i="1" l="1"/>
  <c r="A330" i="1"/>
  <c r="B209" i="1"/>
  <c r="A210" i="1"/>
  <c r="B210" i="1" l="1"/>
  <c r="A211" i="1"/>
  <c r="B330" i="1"/>
  <c r="A331" i="1"/>
  <c r="B331" i="1" l="1"/>
  <c r="A332" i="1"/>
  <c r="A212" i="1"/>
  <c r="B211" i="1"/>
  <c r="A213" i="1" l="1"/>
  <c r="B212" i="1"/>
  <c r="A333" i="1"/>
  <c r="B332" i="1"/>
  <c r="A334" i="1" l="1"/>
  <c r="B333" i="1"/>
  <c r="B213" i="1"/>
  <c r="A214" i="1"/>
  <c r="B214" i="1" l="1"/>
  <c r="A215" i="1"/>
  <c r="B334" i="1"/>
  <c r="A335" i="1"/>
  <c r="B335" i="1" l="1"/>
  <c r="A336" i="1"/>
  <c r="B215" i="1"/>
  <c r="A216" i="1"/>
  <c r="A217" i="1" l="1"/>
  <c r="B216" i="1"/>
  <c r="B336" i="1"/>
  <c r="A337" i="1"/>
  <c r="B337" i="1" l="1"/>
  <c r="A338" i="1"/>
  <c r="A218" i="1"/>
  <c r="B217" i="1"/>
  <c r="A219" i="1" l="1"/>
  <c r="B218" i="1"/>
  <c r="B338" i="1"/>
  <c r="A339" i="1"/>
  <c r="B339" i="1" l="1"/>
  <c r="A340" i="1"/>
  <c r="A220" i="1"/>
  <c r="B219" i="1"/>
  <c r="A221" i="1" l="1"/>
  <c r="B220" i="1"/>
  <c r="A341" i="1"/>
  <c r="B340" i="1"/>
  <c r="A342" i="1" l="1"/>
  <c r="B341" i="1"/>
  <c r="B221" i="1"/>
  <c r="A222" i="1"/>
  <c r="B222" i="1" l="1"/>
  <c r="A223" i="1"/>
  <c r="B342" i="1"/>
  <c r="A343" i="1"/>
  <c r="B343" i="1" l="1"/>
  <c r="A344" i="1"/>
  <c r="B223" i="1"/>
  <c r="A224" i="1"/>
  <c r="B344" i="1" l="1"/>
  <c r="A345" i="1"/>
  <c r="B224" i="1"/>
  <c r="A225" i="1"/>
  <c r="B225" i="1" l="1"/>
  <c r="A226" i="1"/>
  <c r="B345" i="1"/>
  <c r="A346" i="1"/>
  <c r="A347" i="1" l="1"/>
  <c r="B346" i="1"/>
  <c r="B226" i="1"/>
  <c r="A227" i="1"/>
  <c r="B227" i="1" l="1"/>
  <c r="A228" i="1"/>
  <c r="B347" i="1"/>
  <c r="A348" i="1"/>
  <c r="A349" i="1" l="1"/>
  <c r="B348" i="1"/>
  <c r="B228" i="1"/>
  <c r="A229" i="1"/>
  <c r="A230" i="1" l="1"/>
  <c r="B229" i="1"/>
  <c r="A350" i="1"/>
  <c r="B350" i="1" s="1"/>
  <c r="B349" i="1"/>
  <c r="A231" i="1" l="1"/>
  <c r="B230" i="1"/>
  <c r="B231" i="1" l="1"/>
  <c r="A232" i="1"/>
  <c r="B232" i="1" l="1"/>
  <c r="A233" i="1"/>
  <c r="B233" i="1" l="1"/>
  <c r="A234" i="1"/>
  <c r="B234" i="1" l="1"/>
  <c r="A235" i="1"/>
  <c r="A236" i="1" l="1"/>
  <c r="B235" i="1"/>
  <c r="B236" i="1" l="1"/>
  <c r="A237" i="1"/>
  <c r="A238" i="1" l="1"/>
  <c r="B237" i="1"/>
  <c r="A239" i="1" l="1"/>
  <c r="B238" i="1"/>
  <c r="B239" i="1" l="1"/>
  <c r="A240" i="1"/>
  <c r="B240" i="1" l="1"/>
  <c r="A241" i="1"/>
  <c r="B241" i="1" l="1"/>
  <c r="A242" i="1"/>
  <c r="B242" i="1" l="1"/>
  <c r="A243" i="1"/>
  <c r="B243" i="1" l="1"/>
  <c r="A244" i="1"/>
  <c r="B244" i="1" l="1"/>
  <c r="A245" i="1"/>
  <c r="A246" i="1" l="1"/>
  <c r="B245" i="1"/>
  <c r="A247" i="1" l="1"/>
  <c r="B246" i="1"/>
  <c r="B247" i="1" l="1"/>
  <c r="A248" i="1"/>
  <c r="B248" i="1" l="1"/>
  <c r="A249" i="1"/>
  <c r="B249" i="1" l="1"/>
  <c r="A250" i="1"/>
  <c r="B250" i="1" l="1"/>
  <c r="A251" i="1"/>
  <c r="B251" i="1" l="1"/>
  <c r="A252" i="1"/>
  <c r="B252" i="1" l="1"/>
  <c r="A253" i="1"/>
  <c r="B253" i="1" l="1"/>
  <c r="A254" i="1"/>
  <c r="B254" i="1" l="1"/>
  <c r="A255" i="1"/>
  <c r="B255" i="1" l="1"/>
  <c r="A256" i="1"/>
  <c r="B256" i="1" l="1"/>
  <c r="A257" i="1"/>
  <c r="A258" i="1" l="1"/>
  <c r="B257" i="1"/>
  <c r="A259" i="1" l="1"/>
  <c r="B258" i="1"/>
  <c r="B259" i="1" l="1"/>
  <c r="A260" i="1"/>
  <c r="B260" i="1" l="1"/>
  <c r="A261" i="1"/>
  <c r="B261" i="1" l="1"/>
  <c r="A262" i="1"/>
  <c r="B262" i="1" l="1"/>
  <c r="A263" i="1"/>
  <c r="B263" i="1" l="1"/>
  <c r="A264" i="1"/>
  <c r="B264" i="1" l="1"/>
  <c r="A265" i="1"/>
  <c r="B265" i="1" l="1"/>
  <c r="A266" i="1"/>
  <c r="B266" i="1" l="1"/>
  <c r="A267" i="1"/>
  <c r="A268" i="1" l="1"/>
  <c r="B267" i="1"/>
  <c r="A269" i="1" l="1"/>
  <c r="B268" i="1"/>
  <c r="A270" i="1" l="1"/>
  <c r="B269" i="1"/>
  <c r="A271" i="1" l="1"/>
  <c r="B270" i="1"/>
  <c r="B271" i="1" l="1"/>
  <c r="A272" i="1"/>
  <c r="B272" i="1" l="1"/>
  <c r="A273" i="1"/>
  <c r="B273" i="1" l="1"/>
  <c r="A274" i="1"/>
  <c r="A275" i="1" l="1"/>
  <c r="B274" i="1"/>
  <c r="A276" i="1" l="1"/>
  <c r="B275" i="1"/>
  <c r="A277" i="1" l="1"/>
  <c r="B276" i="1"/>
  <c r="A278" i="1" l="1"/>
  <c r="B277" i="1"/>
  <c r="B278" i="1" l="1"/>
  <c r="A279" i="1"/>
  <c r="A280" i="1" l="1"/>
  <c r="B279" i="1"/>
  <c r="B280" i="1" l="1"/>
  <c r="A281" i="1"/>
  <c r="A282" i="1" l="1"/>
  <c r="B281" i="1"/>
  <c r="A283" i="1" l="1"/>
  <c r="B282" i="1"/>
  <c r="A284" i="1" l="1"/>
  <c r="B283" i="1"/>
  <c r="A285" i="1" l="1"/>
  <c r="B284" i="1"/>
  <c r="A286" i="1" l="1"/>
  <c r="B285" i="1"/>
  <c r="A287" i="1" l="1"/>
  <c r="B286" i="1"/>
  <c r="A288" i="1" l="1"/>
  <c r="B287" i="1"/>
  <c r="A289" i="1" l="1"/>
  <c r="B288" i="1"/>
  <c r="A290" i="1" l="1"/>
  <c r="B289" i="1"/>
  <c r="A291" i="1" l="1"/>
  <c r="B290" i="1"/>
  <c r="B291" i="1" l="1"/>
  <c r="A292" i="1"/>
  <c r="B292" i="1" l="1"/>
  <c r="A293" i="1"/>
  <c r="B293" i="1" l="1"/>
  <c r="A294" i="1"/>
  <c r="B294" i="1" l="1"/>
  <c r="A295" i="1"/>
  <c r="B295" i="1" l="1"/>
  <c r="A296" i="1"/>
  <c r="B296" i="1" l="1"/>
  <c r="A297" i="1"/>
  <c r="B297" i="1" l="1"/>
  <c r="A298" i="1"/>
  <c r="B298" i="1" l="1"/>
  <c r="A299" i="1"/>
  <c r="B299" i="1" l="1"/>
  <c r="A300" i="1"/>
  <c r="B300" i="1" l="1"/>
  <c r="A301" i="1"/>
  <c r="B301" i="1" l="1"/>
  <c r="A302" i="1"/>
  <c r="B302" i="1" l="1"/>
  <c r="A303" i="1"/>
  <c r="A304" i="1" l="1"/>
  <c r="B303" i="1"/>
  <c r="A305" i="1" l="1"/>
  <c r="B304" i="1"/>
  <c r="A306" i="1" l="1"/>
  <c r="B306" i="1" s="1"/>
  <c r="B30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IATorres</author>
    <author>Sonia Milena Gil Montoya</author>
    <author>janovoa</author>
    <author>RAUL ALEJANDRO MESA VARGAS</author>
    <author>LINA CONSTANZA VARGAS</author>
    <author>DIANA CAROLINA ARTEAGA ARTEAGA</author>
  </authors>
  <commentList>
    <comment ref="A4" authorId="0" shapeId="0" xr:uid="{00000000-0006-0000-0000-000001000000}">
      <text>
        <r>
          <rPr>
            <sz val="10"/>
            <color indexed="81"/>
            <rFont val="Tahoma"/>
            <family val="2"/>
          </rPr>
          <t>Diligenciado por la OAP</t>
        </r>
      </text>
    </comment>
    <comment ref="B4" authorId="0" shapeId="0" xr:uid="{00000000-0006-0000-0000-000002000000}">
      <text>
        <r>
          <rPr>
            <sz val="10"/>
            <color indexed="81"/>
            <rFont val="Tahoma"/>
            <family val="2"/>
          </rPr>
          <t xml:space="preserve"> Se requiere y la arroja SISCO</t>
        </r>
      </text>
    </comment>
    <comment ref="P4" authorId="1" shapeId="0" xr:uid="{00000000-0006-0000-0000-000003000000}">
      <text>
        <r>
          <rPr>
            <b/>
            <sz val="8"/>
            <color indexed="81"/>
            <rFont val="Tahoma"/>
            <family val="2"/>
          </rPr>
          <t>OAP:</t>
        </r>
        <r>
          <rPr>
            <sz val="8"/>
            <color indexed="81"/>
            <rFont val="Tahoma"/>
            <family val="2"/>
          </rPr>
          <t xml:space="preserve"> Aquí se debe escribir claramente el objeto que se va a contratar. Esta columna deberá ser diligenciada con el acompañamiento de la Dirección Jurídica.
Debe desplegar tantas líneas como contratos requiera del objeto general.</t>
        </r>
      </text>
    </comment>
    <comment ref="V4" authorId="0" shapeId="0" xr:uid="{00000000-0006-0000-0000-000004000000}">
      <text>
        <r>
          <rPr>
            <b/>
            <sz val="8"/>
            <color indexed="81"/>
            <rFont val="Tahoma"/>
            <family val="2"/>
          </rPr>
          <t>OAP:</t>
        </r>
        <r>
          <rPr>
            <sz val="8"/>
            <color indexed="81"/>
            <rFont val="Tahoma"/>
            <family val="2"/>
          </rPr>
          <t xml:space="preserve"> Es la fecha en la cual la solicitud de contratación debe estar radicada en la Dirección Jurídica.
</t>
        </r>
        <r>
          <rPr>
            <b/>
            <sz val="8"/>
            <color indexed="81"/>
            <rFont val="Tahoma"/>
            <family val="2"/>
          </rPr>
          <t xml:space="preserve">NOTA: </t>
        </r>
        <r>
          <rPr>
            <sz val="8"/>
            <color indexed="81"/>
            <rFont val="Tahoma"/>
            <family val="2"/>
          </rPr>
          <t>A esta columna le realiza seguimiento la Dirección Jurídica.</t>
        </r>
      </text>
    </comment>
    <comment ref="Y4" authorId="0" shapeId="0" xr:uid="{00000000-0006-0000-0000-000005000000}">
      <text>
        <r>
          <rPr>
            <sz val="10"/>
            <color indexed="81"/>
            <rFont val="Tahoma"/>
            <family val="2"/>
          </rPr>
          <t>Fecha de emisión del Concepto de Viabilidad</t>
        </r>
      </text>
    </comment>
    <comment ref="AA4" authorId="2" shapeId="0" xr:uid="{00000000-0006-0000-0000-000006000000}">
      <text>
        <r>
          <rPr>
            <sz val="10"/>
            <color indexed="81"/>
            <rFont val="Tahoma"/>
            <family val="2"/>
          </rPr>
          <t xml:space="preserve">Para la lineas nuevas registrar el número de la línea de donde se trasladan los recursos </t>
        </r>
      </text>
    </comment>
    <comment ref="AS4" authorId="3" shapeId="0" xr:uid="{00000000-0006-0000-0000-000007000000}">
      <text>
        <r>
          <rPr>
            <b/>
            <sz val="10"/>
            <color indexed="81"/>
            <rFont val="Tahoma"/>
            <family val="2"/>
          </rPr>
          <t>El tipo de Modificación puede ser:</t>
        </r>
        <r>
          <rPr>
            <sz val="10"/>
            <color indexed="81"/>
            <rFont val="Tahoma"/>
            <family val="2"/>
          </rPr>
          <t xml:space="preserve">
01 Creación de la línea
02 Modificación de la línea: Ej. Reducción, adición, traslado</t>
        </r>
        <r>
          <rPr>
            <sz val="8"/>
            <color indexed="81"/>
            <rFont val="Tahoma"/>
            <family val="2"/>
          </rPr>
          <t xml:space="preserve">
</t>
        </r>
      </text>
    </comment>
    <comment ref="AU4" authorId="0" shapeId="0" xr:uid="{00000000-0006-0000-0000-000008000000}">
      <text>
        <r>
          <rPr>
            <b/>
            <sz val="10"/>
            <color indexed="81"/>
            <rFont val="Tahoma"/>
            <family val="2"/>
          </rPr>
          <t xml:space="preserve"> Explicación de modificación de la linea.
Esta información viene del formato de modificación que radican las áreas</t>
        </r>
      </text>
    </comment>
    <comment ref="AE430" authorId="4" shapeId="0" xr:uid="{00000000-0006-0000-0000-000009000000}">
      <text>
        <r>
          <rPr>
            <b/>
            <sz val="9"/>
            <color indexed="81"/>
            <rFont val="Tahoma"/>
            <family val="2"/>
          </rPr>
          <t>RAUL ALEJANDRO MESA VARGAS:</t>
        </r>
        <r>
          <rPr>
            <sz val="9"/>
            <color indexed="81"/>
            <rFont val="Tahoma"/>
            <family val="2"/>
          </rPr>
          <t xml:space="preserve">
Se liberan del CDP $39,895,334</t>
        </r>
      </text>
    </comment>
    <comment ref="P444" authorId="5" shapeId="0" xr:uid="{00000000-0006-0000-0000-00000A000000}">
      <text>
        <r>
          <rPr>
            <b/>
            <sz val="9"/>
            <color indexed="81"/>
            <rFont val="Tahoma"/>
            <family val="2"/>
          </rPr>
          <t>LINA CONSTANZA VARGAS:</t>
        </r>
        <r>
          <rPr>
            <sz val="9"/>
            <color indexed="81"/>
            <rFont val="Tahoma"/>
            <family val="2"/>
          </rPr>
          <t xml:space="preserve">
OBJETOS DIFERENTES POR EL REFERENTE INDIGENA
</t>
        </r>
      </text>
    </comment>
    <comment ref="P484" authorId="5" shapeId="0" xr:uid="{00000000-0006-0000-0000-00000B000000}">
      <text>
        <r>
          <rPr>
            <b/>
            <sz val="9"/>
            <color indexed="81"/>
            <rFont val="Tahoma"/>
            <family val="2"/>
          </rPr>
          <t>LINA CONSTANZA VARGAS:</t>
        </r>
        <r>
          <rPr>
            <sz val="9"/>
            <color indexed="81"/>
            <rFont val="Tahoma"/>
            <family val="2"/>
          </rPr>
          <t xml:space="preserve">
</t>
        </r>
        <r>
          <rPr>
            <sz val="11"/>
            <color indexed="81"/>
            <rFont val="Tahoma"/>
            <family val="2"/>
          </rPr>
          <t>DIFERENTES OBJETOS</t>
        </r>
        <r>
          <rPr>
            <sz val="9"/>
            <color indexed="81"/>
            <rFont val="Tahoma"/>
            <family val="2"/>
          </rPr>
          <t xml:space="preserve">
</t>
        </r>
      </text>
    </comment>
    <comment ref="P539" authorId="5" shapeId="0" xr:uid="{00000000-0006-0000-0000-00000C000000}">
      <text>
        <r>
          <rPr>
            <b/>
            <sz val="9"/>
            <color indexed="81"/>
            <rFont val="Tahoma"/>
            <family val="2"/>
          </rPr>
          <t>LINA CONSTANZA VARGAS:</t>
        </r>
        <r>
          <rPr>
            <sz val="9"/>
            <color indexed="81"/>
            <rFont val="Tahoma"/>
            <family val="2"/>
          </rPr>
          <t xml:space="preserve">
</t>
        </r>
        <r>
          <rPr>
            <sz val="12"/>
            <color indexed="81"/>
            <rFont val="Tahoma"/>
            <family val="2"/>
          </rPr>
          <t>OBJETO DIFERENTE PORQUE ESTA VALENTINA</t>
        </r>
      </text>
    </comment>
    <comment ref="P546" authorId="5" shapeId="0" xr:uid="{00000000-0006-0000-0000-00000D000000}">
      <text>
        <r>
          <rPr>
            <b/>
            <sz val="9"/>
            <color indexed="81"/>
            <rFont val="Tahoma"/>
            <family val="2"/>
          </rPr>
          <t>LINA CONSTANZA VARGAS:</t>
        </r>
        <r>
          <rPr>
            <sz val="9"/>
            <color indexed="81"/>
            <rFont val="Tahoma"/>
            <family val="2"/>
          </rPr>
          <t xml:space="preserve">
</t>
        </r>
        <r>
          <rPr>
            <sz val="11"/>
            <color indexed="81"/>
            <rFont val="Tahoma"/>
            <family val="2"/>
          </rPr>
          <t>OBJETOS DIFERENTES</t>
        </r>
      </text>
    </comment>
    <comment ref="P552" authorId="5" shapeId="0" xr:uid="{00000000-0006-0000-0000-00000E000000}">
      <text>
        <r>
          <rPr>
            <b/>
            <sz val="9"/>
            <color indexed="81"/>
            <rFont val="Tahoma"/>
            <family val="2"/>
          </rPr>
          <t>LINA CONSTANZA VARGAS:</t>
        </r>
        <r>
          <rPr>
            <sz val="9"/>
            <color indexed="81"/>
            <rFont val="Tahoma"/>
            <family val="2"/>
          </rPr>
          <t xml:space="preserve">
</t>
        </r>
        <r>
          <rPr>
            <sz val="11"/>
            <color indexed="81"/>
            <rFont val="Tahoma"/>
            <family val="2"/>
          </rPr>
          <t>OBJETOS DIFERENTES</t>
        </r>
      </text>
    </comment>
    <comment ref="P553" authorId="5" shapeId="0" xr:uid="{00000000-0006-0000-0000-00000F000000}">
      <text>
        <r>
          <rPr>
            <b/>
            <sz val="9"/>
            <color indexed="81"/>
            <rFont val="Tahoma"/>
            <family val="2"/>
          </rPr>
          <t>LINA CONSTANZA VARGAS:</t>
        </r>
        <r>
          <rPr>
            <sz val="9"/>
            <color indexed="81"/>
            <rFont val="Tahoma"/>
            <family val="2"/>
          </rPr>
          <t xml:space="preserve">
</t>
        </r>
        <r>
          <rPr>
            <sz val="11"/>
            <color indexed="81"/>
            <rFont val="Tahoma"/>
            <family val="2"/>
          </rPr>
          <t>OBJETOS DIFERENTES</t>
        </r>
      </text>
    </comment>
    <comment ref="P556" authorId="5" shapeId="0" xr:uid="{00000000-0006-0000-0000-000010000000}">
      <text>
        <r>
          <rPr>
            <b/>
            <sz val="9"/>
            <color indexed="81"/>
            <rFont val="Tahoma"/>
            <family val="2"/>
          </rPr>
          <t>LINA CONSTANZA VARGAS:</t>
        </r>
        <r>
          <rPr>
            <sz val="9"/>
            <color indexed="81"/>
            <rFont val="Tahoma"/>
            <family val="2"/>
          </rPr>
          <t xml:space="preserve">
OBJETOS DIFERENTES POR EL REFERENTE INDIGENA
</t>
        </r>
      </text>
    </comment>
    <comment ref="P559" authorId="5" shapeId="0" xr:uid="{00000000-0006-0000-0000-000011000000}">
      <text>
        <r>
          <rPr>
            <b/>
            <sz val="9"/>
            <color indexed="81"/>
            <rFont val="Tahoma"/>
            <family val="2"/>
          </rPr>
          <t>LINA CONSTANZA VARGAS:</t>
        </r>
        <r>
          <rPr>
            <sz val="9"/>
            <color indexed="81"/>
            <rFont val="Tahoma"/>
            <family val="2"/>
          </rPr>
          <t xml:space="preserve">
</t>
        </r>
        <r>
          <rPr>
            <sz val="12"/>
            <color indexed="81"/>
            <rFont val="Tahoma"/>
            <family val="2"/>
          </rPr>
          <t>OBJETO DIFERENTE PORQUE ESTA VALENTINA</t>
        </r>
      </text>
    </comment>
    <comment ref="P564" authorId="5" shapeId="0" xr:uid="{00000000-0006-0000-0000-000012000000}">
      <text>
        <r>
          <rPr>
            <b/>
            <sz val="9"/>
            <color indexed="81"/>
            <rFont val="Tahoma"/>
            <family val="2"/>
          </rPr>
          <t>LINA CONSTANZA VARGAS:</t>
        </r>
        <r>
          <rPr>
            <sz val="9"/>
            <color indexed="81"/>
            <rFont val="Tahoma"/>
            <family val="2"/>
          </rPr>
          <t xml:space="preserve">
OBJETOS DIFERENTES POR EL REFERENTE INDIGENA
</t>
        </r>
      </text>
    </comment>
    <comment ref="P565" authorId="5" shapeId="0" xr:uid="{00000000-0006-0000-0000-000013000000}">
      <text>
        <r>
          <rPr>
            <b/>
            <sz val="9"/>
            <color indexed="81"/>
            <rFont val="Tahoma"/>
            <family val="2"/>
          </rPr>
          <t>LINA CONSTANZA VARGAS:</t>
        </r>
        <r>
          <rPr>
            <sz val="9"/>
            <color indexed="81"/>
            <rFont val="Tahoma"/>
            <family val="2"/>
          </rPr>
          <t xml:space="preserve">
</t>
        </r>
        <r>
          <rPr>
            <sz val="12"/>
            <color indexed="81"/>
            <rFont val="Tahoma"/>
            <family val="2"/>
          </rPr>
          <t>OBJETO DIFERENTE PORQUE ESTA VALENTINA</t>
        </r>
      </text>
    </comment>
    <comment ref="P1055" authorId="6" shapeId="0" xr:uid="{00000000-0006-0000-0000-000014000000}">
      <text>
        <r>
          <rPr>
            <b/>
            <sz val="9"/>
            <color indexed="81"/>
            <rFont val="Tahoma"/>
            <family val="2"/>
          </rPr>
          <t xml:space="preserve">DIANA CAROLINA ARTEAGA ARTEAGA:
</t>
        </r>
        <r>
          <rPr>
            <sz val="9"/>
            <color indexed="81"/>
            <rFont val="Tahoma"/>
            <family val="2"/>
          </rPr>
          <t>Modificación de Objeto MEMO: 2017IE2360</t>
        </r>
      </text>
    </comment>
    <comment ref="P1095" authorId="6" shapeId="0" xr:uid="{00000000-0006-0000-0000-000015000000}">
      <text>
        <r>
          <rPr>
            <b/>
            <sz val="9"/>
            <color indexed="81"/>
            <rFont val="Tahoma"/>
            <family val="2"/>
          </rPr>
          <t>DIANA CAROLINA ARTEAGA ARTEAGA:</t>
        </r>
        <r>
          <rPr>
            <sz val="9"/>
            <color indexed="81"/>
            <rFont val="Tahoma"/>
            <family val="2"/>
          </rPr>
          <t xml:space="preserve">
Solicitud de Modificación: MEMORANDO 2017IE2102
10 FEB 2017</t>
        </r>
      </text>
    </comment>
  </commentList>
</comments>
</file>

<file path=xl/sharedStrings.xml><?xml version="1.0" encoding="utf-8"?>
<sst xmlns="http://schemas.openxmlformats.org/spreadsheetml/2006/main" count="25443" uniqueCount="3791">
  <si>
    <t>Nº LÍNEA</t>
  </si>
  <si>
    <t>LÍNEA SISCO</t>
  </si>
  <si>
    <t>NOMBRE PROYECTO</t>
  </si>
  <si>
    <t>META PLAN DE DESARROLLO</t>
  </si>
  <si>
    <t>META PROYECTO DE INVERSIÓN</t>
  </si>
  <si>
    <t>TIPO DE GASTO</t>
  </si>
  <si>
    <t>COMPONENTE DE GASTO</t>
  </si>
  <si>
    <t>CONCEPTO DE GASTO</t>
  </si>
  <si>
    <t>FUENTE DE FINANCIACIÓN</t>
  </si>
  <si>
    <t>DETALLE DE FUENTE</t>
  </si>
  <si>
    <t>CLASIFICADOR DE BIENES Y SERVICIOS ONU</t>
  </si>
  <si>
    <t>CHIP CLASIFICADOR</t>
  </si>
  <si>
    <t>CHIP DESTINACIÓN</t>
  </si>
  <si>
    <t>CHIP FINALIDAD</t>
  </si>
  <si>
    <t>FUT</t>
  </si>
  <si>
    <t>OBJETO</t>
  </si>
  <si>
    <t>VALOR UNITARIO O VALOR MES</t>
  </si>
  <si>
    <t>CANTIDAD</t>
  </si>
  <si>
    <t>VALOR PROGRAMADO</t>
  </si>
  <si>
    <t>TIPO DE CONTRATACIÓN</t>
  </si>
  <si>
    <t>MODALIDAD DE CONTRATACIÓN</t>
  </si>
  <si>
    <t>FECHA ESTIMADA INICIO DE PROCESO DE SELECCIÓN</t>
  </si>
  <si>
    <t>PLAZO MESES</t>
  </si>
  <si>
    <t>VIABILIDAD</t>
  </si>
  <si>
    <t>FECHA VIABILIDAD</t>
  </si>
  <si>
    <t>VALOR</t>
  </si>
  <si>
    <t>TRASLADO ENTRE LINEAS</t>
  </si>
  <si>
    <t>Nº CDP</t>
  </si>
  <si>
    <t>FECHA DEL CDP</t>
  </si>
  <si>
    <t>VALOR CDP - CERTIFICADO DE DISPONIBILIDAD PRESUPUESTAL</t>
  </si>
  <si>
    <r>
      <t xml:space="preserve">SALDO SIN VIABILIZAR
</t>
    </r>
    <r>
      <rPr>
        <b/>
        <sz val="7"/>
        <rFont val="Verdana"/>
        <family val="2"/>
      </rPr>
      <t>(VALOR PROGRAMADO - VALOR VIABILIDAD (CDP)</t>
    </r>
  </si>
  <si>
    <t>No Registro Presupuestal</t>
  </si>
  <si>
    <t>FECHA DEL RP</t>
  </si>
  <si>
    <t>VALOR DEL REGISTRO PRESUPUESTAL-RP</t>
  </si>
  <si>
    <t>NOMBRE CONTRATISTA</t>
  </si>
  <si>
    <t>CONTRATO N°</t>
  </si>
  <si>
    <t>LIBERACIÓN DISPONIBILIDAD PRESUPUESTAL</t>
  </si>
  <si>
    <t>NETO</t>
  </si>
  <si>
    <t>GIROS</t>
  </si>
  <si>
    <t>POR GIRAR</t>
  </si>
  <si>
    <t xml:space="preserve">Area </t>
  </si>
  <si>
    <t>Saldo Disponible</t>
  </si>
  <si>
    <t>OBSERVACIONES</t>
  </si>
  <si>
    <t>FECHA DE RADICADO OAP</t>
  </si>
  <si>
    <t>TIPO DE MODIFICACIÒN</t>
  </si>
  <si>
    <t>FECHA DE INCLUSIÓN DE LA MODIFICACIÓN</t>
  </si>
  <si>
    <t>JUSTIFICACIÓN MODIFICACIÓN DE LA LÍNEA</t>
  </si>
  <si>
    <t>Secop</t>
  </si>
  <si>
    <t>471-1</t>
  </si>
  <si>
    <t>471-Titulación de predios y Gestión de Urbanizaciones</t>
  </si>
  <si>
    <t>Titular 10.000 predios</t>
  </si>
  <si>
    <t>Hacer Cierre de 7 procesos de Urbanizacion</t>
  </si>
  <si>
    <t>03-Recurso Humano</t>
  </si>
  <si>
    <t>04-Gastos de Personal Operativo</t>
  </si>
  <si>
    <t>0352-Personal Contratado para Apoyar las Actividades de titulación</t>
  </si>
  <si>
    <t>01-Recursos del Distrito</t>
  </si>
  <si>
    <t>12-Otros distrito</t>
  </si>
  <si>
    <t>2103010503010198 - A Otras Entidades No Financieras Municipales y/o Distritales no consideradas Empresas</t>
  </si>
  <si>
    <t>095 - Vivienda - General</t>
  </si>
  <si>
    <t>7018 - Transferencias de carácter general entre diferentes niveles de gobierno</t>
  </si>
  <si>
    <t>A.7.7</t>
  </si>
  <si>
    <t>Prestar servicios profesionales a la Dirección Jurídica como enlace y apoyo de la Dirección de Urbanizaciones y Titulación, en temas relacionados con el desarrollo de las actividades de apoyo jurídico en titulación predial, derecho inmobiliario, actuaciones y tramites en general relacionados con la ejecución de las actividades propias de la CVP. </t>
  </si>
  <si>
    <t>Prestación de servicios</t>
  </si>
  <si>
    <t>Directa</t>
  </si>
  <si>
    <t>ENERO</t>
  </si>
  <si>
    <t>TIT-001</t>
  </si>
  <si>
    <t>GRETTA SORAYA BOLAÑO VALENCIA</t>
  </si>
  <si>
    <t>DIRECCION DE TITULACIONES</t>
  </si>
  <si>
    <t>Se realiza el traslado del saldo disponible a nueva línea según solicitud realizada por la DUT con radicado 2018IE11723 de fecha 27/08/2018</t>
  </si>
  <si>
    <t>Traslado de saldo a nueva línea</t>
  </si>
  <si>
    <t>471-2</t>
  </si>
  <si>
    <t>Prestación de servicios de profesionales para apoyar a la Dirección de Mejoramiento de Barrios  y a la Dirección de Titulaciones y Urbanizaciones de la Caja de la Vivienda Popular en las actividades precontractuales y contractuales que en materia Técnica se requieran.</t>
  </si>
  <si>
    <t>TIT-002</t>
  </si>
  <si>
    <t>RAUL  TOVAR MARTINEZ</t>
  </si>
  <si>
    <t>471-3</t>
  </si>
  <si>
    <t>Prestación de servicios profesionales especializados para la asesoría jurídica en materia contractual, fiduciaria y tributaria de la Caja de la Vivienda Popular.</t>
  </si>
  <si>
    <t>TIT-003 ANULADA</t>
  </si>
  <si>
    <t>Se Anula la Viabilidad TIT-003 mediante memorendo enviado por la DUT según radicado 2018IE2231 de fecha 16/02/2018 y recibido en la OAP el 19/02/2018</t>
  </si>
  <si>
    <t>Anulación viabilidad</t>
  </si>
  <si>
    <t>Se anula en razón que el objeto contractual no fue suscrito.</t>
  </si>
  <si>
    <t>471-4</t>
  </si>
  <si>
    <t>Prestación de servicios profesionales en los procesos misionales y proyectos especiales, para apoyar la gestión, planeación, concertación y seguimiento a los planes y cronogramas del componente social.</t>
  </si>
  <si>
    <t>TIT-004</t>
  </si>
  <si>
    <t>LINA MARIA AZUERO GUTIERREZ</t>
  </si>
  <si>
    <t>471-5</t>
  </si>
  <si>
    <t>Preste servicios técnicos a la Dirección de Urbanizaciones y Titulación para adelantar actividades de clasificación, registro y archivo de la información, así como en las actividades tendientes a logar la escrituración de los proyectos constructivos desarrollados por la CVP</t>
  </si>
  <si>
    <t>TIT-005</t>
  </si>
  <si>
    <t>JOSE MAURICIO HUEPE PEREZ</t>
  </si>
  <si>
    <t>471-6</t>
  </si>
  <si>
    <t>Obtener 10.000 Titulos</t>
  </si>
  <si>
    <t>Prestar servicios profesionales a la Dirección de Urbanizaciones y Titulación para el acompañamiento social a las  familias objeto de atención en los procesos de la Dirección</t>
  </si>
  <si>
    <t>TIT-006</t>
  </si>
  <si>
    <t>CATHERINE  JAIMES PINTO</t>
  </si>
  <si>
    <t>471-7</t>
  </si>
  <si>
    <t>Prestar servicios profesionales de apoyo jurídico a la Dirección de Urbanizaciones y Titulación  en el análisis de la situación legal de los predios objeto de saneamiento predial según  los diferentes mecanismos de titulación, así como en la realización de trámites requeridos en el proceso de saneamiento de bienes de susceptibles de ser titulados por la CVP.</t>
  </si>
  <si>
    <t>TIT-007</t>
  </si>
  <si>
    <t>RIGOBERTO  MEDINA TORRES</t>
  </si>
  <si>
    <t>471-8</t>
  </si>
  <si>
    <t>Prestación de  servicios técnicos a la Dirección de Urbanizaciones y Titulación en la implementación de una herramienta que  consolide   la información de los predios de la Caja de la Vivienda Popular en el marco de los procesos misionales de la Dirección.</t>
  </si>
  <si>
    <t>TIT-008</t>
  </si>
  <si>
    <t>NESTOR ROBERTO CUERVO GARCIA</t>
  </si>
  <si>
    <t>471-9</t>
  </si>
  <si>
    <t>Prestación de servicios profesionales a la Dirección de Urbanizaciones y Titulación  en el seguimiento a la ejecución del componente eléctrico de los proyectos de vivienda adelantados por la entidad.</t>
  </si>
  <si>
    <t>TIT-009</t>
  </si>
  <si>
    <t>IVAN OSWALDO LEON LEON</t>
  </si>
  <si>
    <t>471-10</t>
  </si>
  <si>
    <t>Prestar servicios de apoyo a la gestión  a la Dirección de Urbanizaciones y Titulación,  para la ejecución de las actividades necesarias para lograr el saneamiento predial de los inmuebles  identificados por la Caja de la Vivienda Popular.</t>
  </si>
  <si>
    <t>TIT-010</t>
  </si>
  <si>
    <t>FABIO ANDRES FORERO MARTIN</t>
  </si>
  <si>
    <t>471-11</t>
  </si>
  <si>
    <t>Prestación de servicios profesionales a la Dirección de Urbanizaciones y Titulación de apoyo jurídico en los procesos de titulación predial  conforme a los diferentes mecanismos previstos por la ley.</t>
  </si>
  <si>
    <t>TIT-011</t>
  </si>
  <si>
    <t>YULY ALEJANDRA MORALES TREJOS</t>
  </si>
  <si>
    <t>471-12</t>
  </si>
  <si>
    <t>Prestación de servicios profesionales a la Dirección de Urbanizaciones y Titulación,  para la identificación, georreferenciación y análisis de los predios  susceptibles de ser titulados, así como la georreferenciación de los predios que se encuentran en informalidad en el Distrito,  para la ejecución de las actividades técnicas necesarias para lograr el saneamiento predial de los inmuebles  identificados por la Caja de la Vivienda Popular.</t>
  </si>
  <si>
    <t>TIT-012</t>
  </si>
  <si>
    <t>LADY TATIANA PAEZ FONSECA</t>
  </si>
  <si>
    <t>471-13</t>
  </si>
  <si>
    <t>Prestar los servicios profesionales como enlace de la Dirección de Urbanizaciones y titulación en desarrollo de actividades de apoyo jurídico para el saneamiento predial de bienes fideicomitidos de los patrimonios autónomos que requieran ser liquidados por la Entidad; así mismo, brindar apoyo en procesos de gestión inmobiliaria, conceptualización jurídica sobre normas y procedimientos referentes al uso del suelo, plan de ordenamiento territorial, temas de uso de suelo y urbanismo, y demás actuaciones administrativas requeridas en la ejecución propia de la entidad.</t>
  </si>
  <si>
    <t>TIT-091</t>
  </si>
  <si>
    <t>CARLOS ANDRES PELAEZ PRADA</t>
  </si>
  <si>
    <t>471-14</t>
  </si>
  <si>
    <t>Prestar servicios profesionales a la Caja de Vivienda Popular en actividades relacionadas con la depuración, análisis y registro de las operaciones financieras, a partir de  los archivos y bases de datos existentes, para la obtención de soportes idóneos, en el proceso de actualización de información de cartera que sea útil para el proceso de titulación de predios de la Entidad</t>
  </si>
  <si>
    <t>TIT-013</t>
  </si>
  <si>
    <t>LINDA MONICA PEDRAZA CAMACHO</t>
  </si>
  <si>
    <t>471-15</t>
  </si>
  <si>
    <t xml:space="preserve">Prestación de servicios profesionales a la Dirección de Urbanizaciones y Titulación de apoyo jurídico en la ejecución de procesos tendientes a la titulación de predios por los diferentes mecanismos de titulación, así como en el análisis de la situación de predios y realización de trámites requeridos en el proceso. </t>
  </si>
  <si>
    <t>TIT-014</t>
  </si>
  <si>
    <t>JUAN JOSE RODRIGUEZ PALACIOS</t>
  </si>
  <si>
    <t>471-16</t>
  </si>
  <si>
    <t>Prestar servicios profesionales en derecho a la Dirección de Urbanizaciones y Titulación, tendientes efectuar un acompañamiento legal que permita impulsar y gestionar todos aquellos procesos y actuaciones precontractuales, contractuales y pos contractuales, que se requieran para la ejecución y liquidación de los Fideicomisos constituidos para adelantar los desarrollos de vivienda nueva, promovidos en el marco de la Ley 1537 de 2012. De igual forma, efectuar un acompañamiento legal en el proceso de implementación del decreto que permitirá la adquisición de los bienes inmuebles ubicados en el Barrio María Paz de la Localidad de Kennedy para ser titulados mediante los procedimientos establecidos en la Ley 1001 de 2005.</t>
  </si>
  <si>
    <t>TIT-016</t>
  </si>
  <si>
    <t>JOSE ALEJANDRO RAMIREZ CANO</t>
  </si>
  <si>
    <t>471-17</t>
  </si>
  <si>
    <t>Prestación de servicios profesionales a la Dirección de Urbanizaciones y Titulacion de apoyo juridico para adelantar los procesos de saneamiento predial de conformidad con la normatividad vigente en los diferentes mecanismos de titulación.</t>
  </si>
  <si>
    <t>TIT-017</t>
  </si>
  <si>
    <t>DIEGO MAURICIO GALLEGO AMAYA</t>
  </si>
  <si>
    <t>471-18</t>
  </si>
  <si>
    <t>Prestación de servicios profesionales a la Dirección de Urbanizaciones y Titulación en la formulación  y seguimiento a los instrumentos del Sistema Integrado de Calidad como: plan de  mejoramiento del proceso, caracterización , mapas de riesgo, plan anticorrupción, servicio conforme y no conforme, plan de seguimiento y evaluación a la gestión,  de los procesos misionales a cargo de la dependencia.</t>
  </si>
  <si>
    <t>TIT-018</t>
  </si>
  <si>
    <t>ANGELA MARIA VELEZ CORREA</t>
  </si>
  <si>
    <t>471-19</t>
  </si>
  <si>
    <t>Prestación de servicios profesionales de apoyo jurídico a la Dirección de Urbanizaciones y Titulación  en el desarrollo de los procesos adelantados conforme a los mecanismos de titulación previstos por la ley, así como en el análisis de la situación de predios y realización de trámites requeridos para el saneamiento de los bienes susceptibles de ser titulados por la CVP.</t>
  </si>
  <si>
    <t>TIT-019</t>
  </si>
  <si>
    <t>RUTH MERY CANIZALES OVALLE</t>
  </si>
  <si>
    <t>471-20</t>
  </si>
  <si>
    <t>TIT-020</t>
  </si>
  <si>
    <t>PAOLA ANDREA MAYORGA GOMEZ</t>
  </si>
  <si>
    <t>471-21</t>
  </si>
  <si>
    <t>TIT-021  ANULADA</t>
  </si>
  <si>
    <t>Se Anula la Viabilidad TIT-021 mediante memorendo enviado por la DUT según radicado 2018IE2231 de fecha 16/02/2018 y recibido en la OAP el 19/02/2018</t>
  </si>
  <si>
    <t>471-22</t>
  </si>
  <si>
    <t>Prestación de servicios profesionales a la Dirección de Urbanizaciones y Titulación en el apoyo jurídico para realizar el acompañamiento y seguimiento de los documentos sometidos a registro, con el fin de agilizar el perfeccionamiento de la inscripción de los títulos que garantizan el derecho de propiedad de los beneficiarios de los programas misionales de LA CAJA, en el marco del convenio de interadministrativo suscrito entre la Caja de la Vivienda Popular y la Superintendencia de Notariado y Registro.</t>
  </si>
  <si>
    <t>TIT-022</t>
  </si>
  <si>
    <t>LUZ STELLA CARDENAS LAVERDE</t>
  </si>
  <si>
    <t>471-23</t>
  </si>
  <si>
    <t>Prestar servicios profesionales en derecho, a la Dirección de Urbanizaciones y Titulación, en el desarrollo de actividades administrativas y jurídicas de los contratos y/o convenios asociados al  proyecto de inversión 471.  Los servicios profesionales antes descritos, comprenderán un acompañamiento con profundización en asuntos financieros y comerciales.</t>
  </si>
  <si>
    <t>TIT-023</t>
  </si>
  <si>
    <t>ANDRES  CASTILLO ARELLANO</t>
  </si>
  <si>
    <t>471-24</t>
  </si>
  <si>
    <t>Prestación de  servicios profesionales a la Dirección de Urbanizaciones y Titulación en la identificación y consolidación de los bienes inmuebles de la Caja de la Vivienda popular en sus desarrollos urbanísticos, dentro de los estándares de información implementados por el Distrito Capital y conforme a las necesidades de la Entidad en materia de calidad y seguridad de la información.</t>
  </si>
  <si>
    <t>TIT-024</t>
  </si>
  <si>
    <t>CAROL JULIANA BOLAÑOS SALAMANCA</t>
  </si>
  <si>
    <t>471-25</t>
  </si>
  <si>
    <t>Prestación de servicios de apoyo técnico a la Dirección de Urbanizaciones y Titulación en el proceso de saneamiento de los bienes inmuebles de la Caja de la Vivienda Popular, así como en la identificación, depuración y consolidación del inventario de los mismos.</t>
  </si>
  <si>
    <t>TIT-025</t>
  </si>
  <si>
    <t>LUIS GUILLERMO BARBOSA SANCHEZ</t>
  </si>
  <si>
    <t>471-26</t>
  </si>
  <si>
    <t>Prestacion de servicios</t>
  </si>
  <si>
    <t>TIT-026</t>
  </si>
  <si>
    <t>JOSE DUVAN NUÑEZ MUÑOZ</t>
  </si>
  <si>
    <t>471-27</t>
  </si>
  <si>
    <t>Prestación de servicios profesionales a la Dirección de Urbanizaciones y Titulación  en el seguimiento técnico y administrativo a la ejecución de los proyectos de vivienda adelantados por la entidad.</t>
  </si>
  <si>
    <t>TIT-027</t>
  </si>
  <si>
    <t>JAIME OMAR CAMELO ARDILA</t>
  </si>
  <si>
    <t>471-28</t>
  </si>
  <si>
    <t>TIT-028</t>
  </si>
  <si>
    <t>JEINNY IVONNE GALEANO NIÑO</t>
  </si>
  <si>
    <t>471-29</t>
  </si>
  <si>
    <t xml:space="preserve">Prestación de servicios profesionales a la Dirección de Urbanizaciones y Titulación para apoyar la coordinación de las actividades técnicas necesarias en los procesos de titulación de predios,  tendientes a lograr el saneamiento predial de los bienes identificados en la  Caja de la Vivienda Popular. </t>
  </si>
  <si>
    <t>TIT-029</t>
  </si>
  <si>
    <t>LISETTE  PINEDA GONZALEZ</t>
  </si>
  <si>
    <t>471-30</t>
  </si>
  <si>
    <t>Prestar servicios profesionales a la Dirección de Urbanizaciones y Titulación en la seguimiento, formulacion e implementacion de planeas de mejoramiento que se surtan en virtud de las auditorias de los organismos de control</t>
  </si>
  <si>
    <t>TIT-030</t>
  </si>
  <si>
    <t>BLANCA LILIA TIBOCHA OCHOA</t>
  </si>
  <si>
    <t>471-31</t>
  </si>
  <si>
    <t>Prestación de servicios profesionales a la Dirección de Urbanizaciones y Titulación en la elaboración de avalúos y verificación de linderos de predios  que requiera la Dirección,  así como en el apoyo en los procesos de cartografía que se adelanten.</t>
  </si>
  <si>
    <t>TIT-031</t>
  </si>
  <si>
    <t>JOSE FABIO CORTES PAEZ</t>
  </si>
  <si>
    <t>471-32</t>
  </si>
  <si>
    <t>TIT-032</t>
  </si>
  <si>
    <t>DIEGO ANDRES BAREÑO CAMPOS</t>
  </si>
  <si>
    <t>471-33</t>
  </si>
  <si>
    <t>Prestación de servicios profesionales a la Dirección de Urbanizaciones y Titulación,  para la identificación, georreferenciación y análisis de los predios susceptibles de titular, así como la georreferenciación de los predios que se encuentran en informalidad en el Distrito,  para la ejecución de las actividades técnicas necesarias para lograr el saneamiento predial de los inmuebles  identificados por la Caja de la Vivienda Popular.</t>
  </si>
  <si>
    <t>TIT-033</t>
  </si>
  <si>
    <t>JORGE ENRIQUE GUARIN CASTILLO</t>
  </si>
  <si>
    <t>471-34</t>
  </si>
  <si>
    <t>Prestación de servicios profesionales a la Dirección de Urbanizaciones y Titulación en la articulación, formulación, ejecución y seguimiento de las estrategias y actividades necesarias para el cumplimiento de las metas establecidas en la titulación de predios.</t>
  </si>
  <si>
    <t>TIT-034</t>
  </si>
  <si>
    <t>IVONNE MARITZA GOMEZ CARDONA</t>
  </si>
  <si>
    <t>471-35</t>
  </si>
  <si>
    <t>TIT-035</t>
  </si>
  <si>
    <t>FREDDY HUMBERTO PARADA CUBILLOS</t>
  </si>
  <si>
    <t>471-36</t>
  </si>
  <si>
    <t>Prestación de servicios profesionales a la Dirección de Urbanizaciones y Titulación,  para la identificación, georreferenciación y análisis de los predios susceptibles de ser  titulados, así como las demás actividades técnicas necesarias para lograr el saneamiento predial de los inmuebles  intervenidos por la Caja de la Vivienda Popular.</t>
  </si>
  <si>
    <t>TIT-036</t>
  </si>
  <si>
    <t>ADRIANA PAOLA GARCIA MONTAÑO</t>
  </si>
  <si>
    <t>471-37</t>
  </si>
  <si>
    <t>Prestación de servicios profesionales a la Dirección de Urbanizaciones y Titulación en la  implementación del Sistema Integrado de Gestión de Calidad y en el diseño, actualización e implementación de lineamientos, metodologías, estrategias y procedimientos que le permiten a la Dirección contar con instrumentos adecuados para la planeación, seguimiento y control de sus metas.</t>
  </si>
  <si>
    <t>TIT-037</t>
  </si>
  <si>
    <t>MARISOL  CUADRADO AYALA</t>
  </si>
  <si>
    <t>471-38</t>
  </si>
  <si>
    <t>Prestar servicios técnicos a la Dirección de Urbanizaciones y Titulación para ejecutar las actividades necesarias en el manejo archivístico de los documentos generados por la Dirección, aplicando el control, custodia y depuración  del archivo correspondiente, de conformidad con las normas vigentes y Sistema Integrado de Gestión.</t>
  </si>
  <si>
    <t>TIT-038</t>
  </si>
  <si>
    <t>YEIMI  CASTAÑEDA BERMUDEZ</t>
  </si>
  <si>
    <t>471-39</t>
  </si>
  <si>
    <t>TIT-039</t>
  </si>
  <si>
    <t>FREDY OMAR ALVAREZ ARRIETA</t>
  </si>
  <si>
    <t>471-40</t>
  </si>
  <si>
    <t>TIT-040</t>
  </si>
  <si>
    <t>ELISA AYDEE RAMOS ALDANA</t>
  </si>
  <si>
    <t>471-41</t>
  </si>
  <si>
    <t>Prestar servicios profesionales a la Dirección de Urbanizaciones y Titulación en la programación, organización y realización de planes de trabajo dirigidos a brindar acompañamiento social a las comunidades beneficiarias de los programas a cargo de la Dirección.</t>
  </si>
  <si>
    <t>TIT-041</t>
  </si>
  <si>
    <t>MARTHA ELIZABETH CUMPLIDO VILLADIEGO</t>
  </si>
  <si>
    <t>471-42</t>
  </si>
  <si>
    <t>Prestar servicios técnicos a la Dirección de Urbanizaciones y Titulación en el trámite y control a los documentos enviados a las respectivas Oficinas de la Superintendencia de Notariado y Registro, así como en la aplicación de las normas de gestión documental de la dependencia.</t>
  </si>
  <si>
    <t>TIT-042</t>
  </si>
  <si>
    <t>NELLY YAMILE GOMEZ REYES</t>
  </si>
  <si>
    <t>471-43</t>
  </si>
  <si>
    <t>Prestar servicios de apoyo a la gestión a la Dirección de Urbanizaciones y Titulación en las actividades logísticas necesarias para la ejecución del programa, así como en la  realización de actividades de reparto, radicación y seguimiento a trámites de los mecanismos de titulación y urbanizaciones en las entidades donde se requiera.</t>
  </si>
  <si>
    <t>TIT-043</t>
  </si>
  <si>
    <t>HECTOR ALEXANDER AGUILERA</t>
  </si>
  <si>
    <t>471-44</t>
  </si>
  <si>
    <t>TIT-044</t>
  </si>
  <si>
    <t>DIOGENES AUGUSTO LLANOS PINZON</t>
  </si>
  <si>
    <t>471-45</t>
  </si>
  <si>
    <t>Prestación de servicios profesionales a la Dirección de Urbanizaciones y Titulación en el desarrollo de actividades administrativas y financieras relacionadas con los proyectos vivienda VIP.</t>
  </si>
  <si>
    <t>TIT-045</t>
  </si>
  <si>
    <t>MARIA EDELMIRA RINCON LEON</t>
  </si>
  <si>
    <t>471-46</t>
  </si>
  <si>
    <t xml:space="preserve">Prestación de servicios de apoyo a la gestión a la  Dirección de Urbanizaciones y Titulación  para la ejecución de las actividades tendientes a lograr el saneamiento predial de los bienes identificados en la  CVP, sirviendo de apoyo en los tramites administrativos y  jurídicos que se requieran en la  Dirección en el desarrollo de procesos adelantados en los diferentes mecanismos de titulación. </t>
  </si>
  <si>
    <t>TIT-046</t>
  </si>
  <si>
    <t>CAMILO ADOLFO PINILLOS BOHORQUEZ</t>
  </si>
  <si>
    <t>471-47</t>
  </si>
  <si>
    <t>Prestación de servicios técnicos a la Dirección de Urbanizaciones y Titulación para el registro en el sistema de información documental de la Entidad, haciendo seguimiento y control a los expedientes y documentos generados en el programa de titulación, atendiendo todos las normas y sistema integrado de gestión de la Entidad, así como el apoyo logístico a las actividades de la Dirección.</t>
  </si>
  <si>
    <t>TIT-047</t>
  </si>
  <si>
    <t>DIANA  GUEPENDO MOSCOSO</t>
  </si>
  <si>
    <t>471-48</t>
  </si>
  <si>
    <t>Prestar los servicios profesionales a la Dirección de Urbanizaciones y Titulación como enlace con la Oficina Asesora de Comunicación de la Caja de la Vivienda Popular, garantizando la implementación y desarrollo de estrategias de comunicación institucional, bajo los parámetros contemplados en el plan estratégico de comunicaciones de la entidad</t>
  </si>
  <si>
    <t>TIT-048</t>
  </si>
  <si>
    <t>WILLIAM  CADENA ACOSTA</t>
  </si>
  <si>
    <t>471-49</t>
  </si>
  <si>
    <t>Prestar servicios de apoyo a la gestión a la Dirección de Urbanizaciones y Titulación para ejecutar las actividades necesarias en el manejo archivístico de los documentos generados por la Dirección.</t>
  </si>
  <si>
    <t>TIT-049</t>
  </si>
  <si>
    <t>ANDREA VIVIANA SUAREZ CORREA</t>
  </si>
  <si>
    <t>471-50</t>
  </si>
  <si>
    <t xml:space="preserve">Prestación de servicios profesionales a la Dirección de Urbanizaciones y Titulación en el apoyo a la coordinación del componente social de los procesos de titulación a cargo de la Dirección </t>
  </si>
  <si>
    <t>TIT-050</t>
  </si>
  <si>
    <t>SARA MARIA ROJAS GONZALEZ</t>
  </si>
  <si>
    <t>471-51</t>
  </si>
  <si>
    <t>TIT-051</t>
  </si>
  <si>
    <t>ANGIE STEFANIA CASTRO SANTIESTEBAN</t>
  </si>
  <si>
    <t>471-52</t>
  </si>
  <si>
    <t>TIT-052</t>
  </si>
  <si>
    <t>YENNY ASTRID PARDO CUBIDES</t>
  </si>
  <si>
    <t>471-53</t>
  </si>
  <si>
    <t>TIT-053</t>
  </si>
  <si>
    <t>ADRIANA  MORENO BALLEN</t>
  </si>
  <si>
    <t>471-54</t>
  </si>
  <si>
    <t>TIT-054</t>
  </si>
  <si>
    <t>WILLIAM ANTONIO ZAPATA PAEZ</t>
  </si>
  <si>
    <t>471-55</t>
  </si>
  <si>
    <t>Prestación de servicios profesionales a la Dirección de Urbanizaciones y Titulación de apoyo jurídico para adelantar los procesos de saneamiento predial de conformidad con la normatividad vigente en los diferentes mecanismos de titulación.</t>
  </si>
  <si>
    <t>TIT-055</t>
  </si>
  <si>
    <t>JORGE ALBERTO PARAMO HERNANDEZ</t>
  </si>
  <si>
    <t>471-56</t>
  </si>
  <si>
    <t>TIT-056</t>
  </si>
  <si>
    <t>WILLIAN ALFONSO PINZON FIGUEROA</t>
  </si>
  <si>
    <t>471-57</t>
  </si>
  <si>
    <t>TIT-057</t>
  </si>
  <si>
    <t>MARIANA  OVIEDO HERRERA</t>
  </si>
  <si>
    <t>471-58</t>
  </si>
  <si>
    <t>TIT-058</t>
  </si>
  <si>
    <t>ELSA MARIELA MEDINA HIGUERA</t>
  </si>
  <si>
    <t>471-59</t>
  </si>
  <si>
    <t>Prestación de servicios profesionales a la Dirección de Urbanizaciones y Titulación para apoyar la articulación y coordinación de las estrategias que se  adelanten en materia de  saneamiento predial por parte de la Caja de la Vivienda Popular.</t>
  </si>
  <si>
    <t>TIT-059</t>
  </si>
  <si>
    <t>ANA MONICA MARIA VARGAS SUAREZ</t>
  </si>
  <si>
    <t>471-60</t>
  </si>
  <si>
    <t>Prestar servicios de apoyo a la gestión a la Dirección de Urbanizaciones y Titulación en la ejecución de las actividades logísticas necesarias para el programa de titulación, así como para ejecutar las actividades en el manejo archivístico de los documentos generados por la Dirección.</t>
  </si>
  <si>
    <t>TIT-060</t>
  </si>
  <si>
    <t>CARMEN ASTRID VASCO PIEDRAHITA</t>
  </si>
  <si>
    <t>471-61</t>
  </si>
  <si>
    <t>TIT-061</t>
  </si>
  <si>
    <t>JUAN ARMANDO MOLINA PARRA</t>
  </si>
  <si>
    <t>471-62</t>
  </si>
  <si>
    <t>Prestación de servicios profesionales a la Dirección de Urbanizaciones y Titulación,  para la identificación, georreferenciación y análisis de los predios susceptibles de ser titulados, así como la georreferenciación de los predios que se encuentran en informalidad en el distrito,  para la ejecución de las actividades técnicas necesarias para lograr el saneamiento predial de los inmuebles  identificados por la Caja de la Vivienda Popular.</t>
  </si>
  <si>
    <t>TIT-062</t>
  </si>
  <si>
    <t>CARLOS EMILIANO ROMERO PUENTES</t>
  </si>
  <si>
    <t>471-63</t>
  </si>
  <si>
    <t xml:space="preserve">Prestación de servicios a la  Dirección de Urbanizaciones y Titulación  para la ejecución de las actividades tendientes a lograr el saneamiento predial de los bienes identificados en la  CVP, sirviendo de apoyo en los tramites  jurídicos de la Dirección en el desarrollo de procesos adelantados en los diferentes mecanismos de titulación. </t>
  </si>
  <si>
    <t>TIT-063</t>
  </si>
  <si>
    <t>JOHANA MARCELA RIAÑO DAZA</t>
  </si>
  <si>
    <t>471-64</t>
  </si>
  <si>
    <t>Prestar servicios de apoyo  a la Dirección de Urbanizaciones y Titulación para ejecutar las actividades necesarias en el manejo archivístico de los documentos generados por la Dirección,  de conformidad con las normas vigentes y Sistema Integrado de Gestión.</t>
  </si>
  <si>
    <t>TIT-064</t>
  </si>
  <si>
    <t>ORLANDO  ROA HERNANDEZ</t>
  </si>
  <si>
    <t>471-65</t>
  </si>
  <si>
    <t>Prestar servicios profesionales a la Dirección de Urbanizaciones y Titulación en la definición de una estrategia de relacionamiento y articulación  interinstitucional con las diferentes entidades gubernamentales y privadas que coadyuven en la consecución de las metas propuestas.</t>
  </si>
  <si>
    <t>TIT-065</t>
  </si>
  <si>
    <t>MARIA JOSE LARA ANAYA</t>
  </si>
  <si>
    <t>471-66</t>
  </si>
  <si>
    <t>Prestación de servicios técnicos a la Dirección de Urbanización y Titulación, en el proceso de saneamiento predial de los bienes inmuebles de la Caja de la Vivienda Popular.</t>
  </si>
  <si>
    <t>TIT-066</t>
  </si>
  <si>
    <t>TARCISIO  MOSQUERA RIVAS</t>
  </si>
  <si>
    <t>471-67</t>
  </si>
  <si>
    <t>Prestación de servicios profesionales para el acompañamiento jurídico a la Dirección de Urbanizaciones y Titulación en el seguimiento contractual y post-contractual de los procesos relacionados con el cierre de urbanizaciones, entrega de zonas de cesión y titulación de predios.</t>
  </si>
  <si>
    <t>TIT-067</t>
  </si>
  <si>
    <t>MARTHA ALICIA ROMERO VARGAS</t>
  </si>
  <si>
    <t>471-68</t>
  </si>
  <si>
    <t>Prestar servicios profesionales en la implementación  y seguimiento de la política de responsabilidad social, bajo los tres pilares de sostenibilidad a los procesos de gestión misional de la entidad</t>
  </si>
  <si>
    <t>TIT-068</t>
  </si>
  <si>
    <t>JULY PAOLA TORRES RISCANEVO</t>
  </si>
  <si>
    <t>471-69</t>
  </si>
  <si>
    <t>Prestación de servicios profesionales a la Dirección de Urbanizaciones y Titulación  en el seguimiento técnico a la ejecución de los proyectos de vivienda adelantados por la entidad.</t>
  </si>
  <si>
    <t>TIT-069</t>
  </si>
  <si>
    <t>DIEGO FERNANDO RIVERA PARRA</t>
  </si>
  <si>
    <t>471-70</t>
  </si>
  <si>
    <t>Prestar servicios profesionales a la Subdirección Financiera de la Caja de Vivienda Popular, como enlace de la Dirección de Urbanizaciones y Titulación, en lo relacionado con el apoyo jurídico requerido para la los procesos de depuración de cartera y contable de la entidad.</t>
  </si>
  <si>
    <t>TIT-070</t>
  </si>
  <si>
    <t>ANGELA MARIA PINZON SANTOS</t>
  </si>
  <si>
    <t>471-71</t>
  </si>
  <si>
    <t>Prestación de servicios profesionales a la Dirección de Urbanizaciones y Titulación para el sostenimiento y mejora continua del proceso a cargo de la Dirección, así como en la implementación de los Planes de Mejora a cargo del área.</t>
  </si>
  <si>
    <t>TIT-071</t>
  </si>
  <si>
    <t>JORGE ENRIQUE VERGARA RAMIREZ</t>
  </si>
  <si>
    <t>471-72</t>
  </si>
  <si>
    <t>Prestar servicios de apoyo a la gestión a la Subdirección Financiera de la CVP, como enlace de la Dirección de Urbanizaciones y Titulación para apoyar y revisar  operativamente las actividades de gestión documental que se requieran, con ocasión de la aplicación, actualización y seguimiento de los instrumentos archivísticos de la entidad</t>
  </si>
  <si>
    <t>TIT-072</t>
  </si>
  <si>
    <t>ANGELICA MARIA ROZO BAQUERO</t>
  </si>
  <si>
    <t>471-73</t>
  </si>
  <si>
    <t>Contratar los servicios profesionales de un comunicador social  que desarrolle información periodística de las áreas misionales, para fortalecer los canales de comunicación internos y externos de la entidad, conforme a la Estrategia de Comunicaciones de la Caja de la Vivienda Popular.</t>
  </si>
  <si>
    <t>TIT-073</t>
  </si>
  <si>
    <t>MONICA VIVIANA CEBALLOS CRIOLLO</t>
  </si>
  <si>
    <t>471-74</t>
  </si>
  <si>
    <t>Prestar los servicios profesionales para la planeación, realización y desarrollo de contenidos periodísticos que permitan la difusión y divulgación de la gestión social que adelanta la CVP con las comunidades, a través de sus programas misionales.</t>
  </si>
  <si>
    <t>TIT-074</t>
  </si>
  <si>
    <t>FRANCISCO JOSE ARGUELLO ROJAS</t>
  </si>
  <si>
    <t>471-75</t>
  </si>
  <si>
    <t>TIT-075</t>
  </si>
  <si>
    <t>EDWIN ALBERTO ACEVEDO MORENO</t>
  </si>
  <si>
    <t>471-76</t>
  </si>
  <si>
    <t>Prestar servicios de apoyo a la gestión a la Subdirección Financiera de la CVP, como enlace de la Dirección de Urbanizaciones y Titulación para colaborar en las actividades de gestión archivística.</t>
  </si>
  <si>
    <t>TIT-076</t>
  </si>
  <si>
    <t>MARIBEL  QUEVEDO GONZALEZ</t>
  </si>
  <si>
    <t>471-77</t>
  </si>
  <si>
    <t>TIT-077</t>
  </si>
  <si>
    <t>KAREN ALEJANDRA TORRES MORENO</t>
  </si>
  <si>
    <t>471-78</t>
  </si>
  <si>
    <t>Prestación de servicios profesionales a la Dirección de Urbanizaciones y Titulación, para apoyar el diseño, ejecución y seguimiento a la estrategia de formalización de los barrios asentados en tierras fiscales y privadas, en el componente técnico, así como en los procesos de saneamiento adelantados por la CVP sobre bienes de su propiedad.</t>
  </si>
  <si>
    <t>TIT-078</t>
  </si>
  <si>
    <t>OSCAR JAIRO FLETCHER PRIETO</t>
  </si>
  <si>
    <t>471-79</t>
  </si>
  <si>
    <t>Prestar servicios profesionales a la Dirección de Urbanizaciones y Titulación en el seguimiento técnico y administrativo de los proyectos de vivienda VIP y a la Dirección de Reasentamientos en el apoyo a la estructuración de los procesos de Gestión Inmobiliaria, destinados a la entrega de viviendas desarrolladas por la CVP a las familias vinculadas al Programa de Reasentamientos de la Entidad.</t>
  </si>
  <si>
    <t>TIT-079</t>
  </si>
  <si>
    <t>LUKAS FERNANDO URIBE FRANCO</t>
  </si>
  <si>
    <t>471-80</t>
  </si>
  <si>
    <t>Prestar servicios profesionales a la Dirección de Urbanizaciones y Titulación en la estructuración y revisión jurídica de los documentos, informes y actos administrativos propios de la dependencia.</t>
  </si>
  <si>
    <t>TIT-080</t>
  </si>
  <si>
    <t>SOFIA  MIRANDA BALLESTEROS</t>
  </si>
  <si>
    <t>471-81</t>
  </si>
  <si>
    <t>TIT-081</t>
  </si>
  <si>
    <t>RENE JAVIER BUITRAGO PEDRAZA</t>
  </si>
  <si>
    <t>471-82</t>
  </si>
  <si>
    <t>TIT-082</t>
  </si>
  <si>
    <t>CLAUDIA LILIANA CORTINA FIERRO</t>
  </si>
  <si>
    <t>471-83</t>
  </si>
  <si>
    <t>Prestación de servicios profesionales a la Dirección de Urbanizaciones y Titulación para realizar todas aquellas actividades relacionadas con el control financiero de los contratos de fiducia mercantil mediante los cuales se ejecuten proyectos de vivienda VIP.</t>
  </si>
  <si>
    <t>TIT-083</t>
  </si>
  <si>
    <t>ALDEITH ARVEY QUEVEDO APERADOR</t>
  </si>
  <si>
    <t>471-84</t>
  </si>
  <si>
    <t xml:space="preserve">Prestación de servicios técnicos a la Dirección de Urbanizaciones y Titulación para la implementación en el registro, seguimiento y control de los actos administrativos tendientes a la titulación de predios, así como la logística necesaria para el manejo de gestión documental. </t>
  </si>
  <si>
    <t>TIT-084</t>
  </si>
  <si>
    <t>JUAN CAMILO AGUIRRE ORTIZ</t>
  </si>
  <si>
    <t>471-85</t>
  </si>
  <si>
    <t>Contratar los servicios profesionales de un comunicador social o periodista que apoye la locución de productos audiovisuales y la presentación de actividades con las comunidades beneficiarias de los distintos programas misionales, con el fin de favorecer una comunicación activa de la misionalidad de la entidad.</t>
  </si>
  <si>
    <t>TIT-085</t>
  </si>
  <si>
    <t>JHON CARLOS RINCON AGREDO</t>
  </si>
  <si>
    <t>471-86</t>
  </si>
  <si>
    <t>Entregar 9 Zonas de Cesión</t>
  </si>
  <si>
    <t xml:space="preserve">Prestación de servicios profesionales a la Dirección de Urbanizaciones y Titulación en el apoyo jurídico para el desarrollo de procesos de identificación y saneamiento predial, así como en la gestión de predios fiscales y de cesiones al Distrito. </t>
  </si>
  <si>
    <t>TIT-086</t>
  </si>
  <si>
    <t>ANA MARIA NORIEGA LORA</t>
  </si>
  <si>
    <t>471-87</t>
  </si>
  <si>
    <t>Prestar servicios profesionales de apoyo jurídico a la Dirección de Urbanizaciones y Titulación  en el desarrollo de procesos adelantados en los diferentes mecanismos de titulación, así como en el análisis de la situación de predios y realización de trámites requeridos sobre los predios susceptibles de ser titulados por la CVP.</t>
  </si>
  <si>
    <t>TIT-087</t>
  </si>
  <si>
    <t>MONICA FERNANDA ALVARADO GARCIA</t>
  </si>
  <si>
    <t>471-88</t>
  </si>
  <si>
    <t>TIT-088</t>
  </si>
  <si>
    <t>DEYANIRA  OCHOA MANCHOLA</t>
  </si>
  <si>
    <t>471-89</t>
  </si>
  <si>
    <t>Prestar servicios de apoyo a la gestion a la Dirección de Urbanizaciones y Titulación para ejecutar las actividades necesarias en el manejo archivístico de los documentos generados por la Dirección.</t>
  </si>
  <si>
    <t>TIT-089</t>
  </si>
  <si>
    <t>EDGAR RICARDO BOLAÑOS GIL</t>
  </si>
  <si>
    <t>471-90</t>
  </si>
  <si>
    <t xml:space="preserve">Prestación de servicios profesionales a la Dirección de Urbanizaciones y Titulación en la formulación, seguimiento, revisión y actualización de las políticas y procedimientos administrativos y financieros requeridos para la correcta ejecución de los proyectos urbanísticos asociados al proyecto de inversión 471. </t>
  </si>
  <si>
    <t>TIT-090</t>
  </si>
  <si>
    <t>Se Anula la Viabilidad TIT-090 mediante memorendo enviado por la DUT según radicado 2018IE2231 de fecha 16/02/2018 y recibido en la OAP el 19/02/2018</t>
  </si>
  <si>
    <t>471-91</t>
  </si>
  <si>
    <t>Prestación de servicios profesionales a la Dirección de Urbanizaciones y Titulación para el seguimiento a las zonas verdes y el muro de contención de Sierra Morena</t>
  </si>
  <si>
    <t>ABRIL</t>
  </si>
  <si>
    <t>471-92</t>
  </si>
  <si>
    <t>Prestación de servicios profesionales a la Dirección de Urbanizaciones y Titulación para el seguimiento a los diseños e interventoría de calvo sur la gallera</t>
  </si>
  <si>
    <t>Por lanulación de las viabiliddes y los cdp se traslada los valoires de las lineas 3,21 y 90 a la linea 92</t>
  </si>
  <si>
    <t>471-93</t>
  </si>
  <si>
    <t>Planta Temporal enero diciembre</t>
  </si>
  <si>
    <t>Resolucion</t>
  </si>
  <si>
    <t>TIT-099-1</t>
  </si>
  <si>
    <t xml:space="preserve">1390
1533
1801
1838
1903
1983
2021
2051
2493
2648
2850
</t>
  </si>
  <si>
    <t xml:space="preserve">20/02/2018
6/03/2018
13/04/2018
23/04/2018
15/05/2018
1/06/2018
15/06/2018
20/06/2018
17/07/2018
14/08/2018
12/09/2018
</t>
  </si>
  <si>
    <t>Planta temporal</t>
  </si>
  <si>
    <t>471-94</t>
  </si>
  <si>
    <t>TIT-100</t>
  </si>
  <si>
    <t>471-95</t>
  </si>
  <si>
    <t>02-Dotación</t>
  </si>
  <si>
    <t>01-Adquisicón y/o producción de equipos, materiales, suministros y servicios propios del sector</t>
  </si>
  <si>
    <t>0754-Actividades para el fortalecimiento de estrategias de comunicación.</t>
  </si>
  <si>
    <t>Prestar los servicios de carácter logístico a nivel distrital y/o nacional que cumpla con las necesidades operativas de BTL en la realización de encuentros de participación ciudadana y en la promoción de la gestión de la entidad y de cada una de sus direcciones misionales.</t>
  </si>
  <si>
    <t>Licitacion</t>
  </si>
  <si>
    <t>471-96</t>
  </si>
  <si>
    <t>AGOSTO</t>
  </si>
  <si>
    <t>471-97</t>
  </si>
  <si>
    <t>471-98</t>
  </si>
  <si>
    <t xml:space="preserve">Contratar los servicios de divulgación masiva que optimice la estrategia de comunicación de la Caja de la Vivienda Popular, a través de los diferentes medios de comunicación y promocione la gestión de las direcciones misionales. </t>
  </si>
  <si>
    <t>471-99</t>
  </si>
  <si>
    <t>06- Subsidios y operaciones financieras</t>
  </si>
  <si>
    <t>02- Subsidio Directo</t>
  </si>
  <si>
    <t>0058 - Subsidios En Especie</t>
  </si>
  <si>
    <t>N/A</t>
  </si>
  <si>
    <t>Sufragar los gastos que impliquen la trasferencia de dominio de los bienes fiscales propiedad de la Caja de la Vivienda Popular por concepto de registro, conforme a lo establecido por el Acuerdo N.º 07 de 02 de Junio de 2017 de la Junta Directiva de la Caja e la Vivienda Popular.</t>
  </si>
  <si>
    <t>DICIEMBRE</t>
  </si>
  <si>
    <t>471-100</t>
  </si>
  <si>
    <t>Prestación de servicios técnicos de apoyo a la Dirección de Urbanizaciones y Titulación en el estudio de la información cartográfica y elaboración de avalúos, así como en el apoyo a los procesos de cierre de urbanizaciones que adelante la Dirección</t>
  </si>
  <si>
    <t>Prestación de Servicios</t>
  </si>
  <si>
    <t>Contratación Directa</t>
  </si>
  <si>
    <t>TIT-092</t>
  </si>
  <si>
    <t>OSCAR HUMBERTO PAVA</t>
  </si>
  <si>
    <t>471-101</t>
  </si>
  <si>
    <t>96 - Vivienda - General</t>
  </si>
  <si>
    <t>7019 - Transferencias de carácter general entre diferentes niveles de gobierno</t>
  </si>
  <si>
    <t>A.7.8</t>
  </si>
  <si>
    <t>Prestación de Servicios técnicos de apoyo a la Dirección de Urbanizaciones y Titulación para la ejecución de las actividades tendientes a lograr el saneamiento predial de los bienes identificados en la CVP, sirviendo de apoyo en los trámites jurídicos de la Dirección en el desarrollo de procesos adelantados en los diferentes mecanismos de titulación.</t>
  </si>
  <si>
    <t>TIT-093</t>
  </si>
  <si>
    <t>LESDY MARIA GIRALDO CASTAÑEDA</t>
  </si>
  <si>
    <t>471-102</t>
  </si>
  <si>
    <t>TIT-094</t>
  </si>
  <si>
    <t>471/92</t>
  </si>
  <si>
    <t>471-103</t>
  </si>
  <si>
    <t>Prestar servicios de apoyo a la gestión a la Dirección de Urbanizaciones y Titulación en la ejecución de las actividades necesarias en el manejo archivístico de los documentos generados por la Dirección, aplicando el contro, custodia y depuración del archivo correspondiente, de conformidad con las normas vigentes y Sistema Integrado de Gestión.</t>
  </si>
  <si>
    <t>TIT-095</t>
  </si>
  <si>
    <t>CRISTIAN DAVID OLACHICA SERRANO</t>
  </si>
  <si>
    <t>471-104</t>
  </si>
  <si>
    <t>Prestación de servicios profesionales a la Dirección de Urbanizaciones y Titulación de apoyo jurídico en los procesos de titulación predial conforme a los diferentes mecanismos previstos por la Ley.</t>
  </si>
  <si>
    <t>TIT-096</t>
  </si>
  <si>
    <t>JOSE NAPOLEON STRUSBERG OROZCO</t>
  </si>
  <si>
    <t>471-105</t>
  </si>
  <si>
    <t>Prestación de servicios profesionales a la Dirección de Urbanizaciones y Titulación para realizar todas aquellas actividades relacionadas con la gerencia y estructuración económica y financiera de proyestos de vivienda VIP, asociados al proyecto de inversión 471, al igual prestar acompañamiento financiero en los procesos de adquisicion de suelo ybienes inmuebles para la titulación de predios.</t>
  </si>
  <si>
    <t>TIT-097</t>
  </si>
  <si>
    <t>ANA CECILIA BALLESTEROS URBINA</t>
  </si>
  <si>
    <t>471-106</t>
  </si>
  <si>
    <t>Prestar los servicios profesionales para apoyar a la Dirección de Urbanizaciones y Titulación en la identificación, consolidación, depuración y saneamiento del inventario de bienes inmuebles de la Caja de la Vivienda Popular.</t>
  </si>
  <si>
    <t>TIT-098</t>
  </si>
  <si>
    <t>ANDRES FERNANDO PINTO PATIÑO</t>
  </si>
  <si>
    <t>471-107</t>
  </si>
  <si>
    <t>Sufragar los gastos que impliquen la trasferencia de dominio de los bienes fiscales propiedad de la Caja de la Vivienda Popular por concepto de registro y beneficiencia, conforme a lo establecido por el Acuerdo Nº 07 de 02 de Junio de 2017 de la Junta Directiva de la Caja de la Vivienda Popular.</t>
  </si>
  <si>
    <t>TIT-099</t>
  </si>
  <si>
    <t xml:space="preserve">1028
1029
</t>
  </si>
  <si>
    <t xml:space="preserve">12/02/2018
12/02/2018
</t>
  </si>
  <si>
    <t xml:space="preserve">SUPERINTENDENCIA DE NOTARIADO Y REGISTRO
DEPARTAMENTO DE CUNDINAMARCA - TESORERIA GENERAL
</t>
  </si>
  <si>
    <t>Comparte linea y registros con la linea 107</t>
  </si>
  <si>
    <t>471-108</t>
  </si>
  <si>
    <t>471-109</t>
  </si>
  <si>
    <t>Realizar seguimiento a la liquidacion y pago de los contratos de Sierra Morena y Calvo Sur</t>
  </si>
  <si>
    <t>471-110</t>
  </si>
  <si>
    <t>06-Gastos Operativos</t>
  </si>
  <si>
    <t xml:space="preserve">0268- Otros Gastos Operativos  de Titulación </t>
  </si>
  <si>
    <t>Realizar tramites de escrituracion, gastos de notariado y registro,  polizas, tramites ante curaduria urbana que se requieran para el cierre de los proyectos constructivos ejecutados por la CVP</t>
  </si>
  <si>
    <t>471-111</t>
  </si>
  <si>
    <t>Realizar tramites de escrituracion, gastos de notariado y registro,  polizas, tramites ante curaduria urbana, que se requieran para la transferencia de las zonas de cesion al DADEP por parte de la CVP</t>
  </si>
  <si>
    <t>471-112</t>
  </si>
  <si>
    <t>Adicionar el contrato 434 de 2017 cuyo objeto es "Contratar los seguros que amparen los intereses patrimoniales actuales y futuros, así como los bienes de propiedad de la Caja de la Vivienda Popular, que estén bajo su responsabilidad y custodia y aquellos que sean adquiridos para desarrollar las funciones inherentes a su actividad y cualquier otra póliza que requiera la entidad en el desarrollo de su actividad".</t>
  </si>
  <si>
    <t>Adición</t>
  </si>
  <si>
    <t>FEBRERO</t>
  </si>
  <si>
    <t>TIT-101</t>
  </si>
  <si>
    <t>AXA COLPATRIA SEGUROS SA</t>
  </si>
  <si>
    <t>Comparte CDP y RP con la linea 113 y  112</t>
  </si>
  <si>
    <t>471-113</t>
  </si>
  <si>
    <t>TIT-102</t>
  </si>
  <si>
    <t>Creación linea nueva mediante oficio con radicado 2018IE2798</t>
  </si>
  <si>
    <t>471-114</t>
  </si>
  <si>
    <t>PAGO DE NOMINA DEL MES DE FEBRERO DE 2018 DE LA PLANTA TEMPORAL PROYECTO 471</t>
  </si>
  <si>
    <t>471-115</t>
  </si>
  <si>
    <t>471-116</t>
  </si>
  <si>
    <t>Solicitud de copias de escritura pública 1453 de 2017, ante la Notaria 74 del Circulo de Bogotá, para finiquitar el proceso de transferencia a título gratuito que la Caja de la Vivienda Popular adelanta frente algunos predios ubicados en la Localidad de San Cristobal Sur, Ciudadela Santa Rosa, anombre del Departamento Administrativo de la Defensoría del Espacio Público -DADEP.</t>
  </si>
  <si>
    <t>Resolución</t>
  </si>
  <si>
    <t>TIT-103</t>
  </si>
  <si>
    <t>HENRY EUGENIO LIZARAZO GONZALEZ</t>
  </si>
  <si>
    <t>471-117</t>
  </si>
  <si>
    <t>Pago de cotización del sistema general de riesgos laborales de las pèrsonas vinculadas a través de un contrato de prestación de servicios con la Caja de la Vivienda Popular que laboran en actividades de alto riesgo, según en el artículo 13 del Decreto 723 de 2013,</t>
  </si>
  <si>
    <t>TIT-104</t>
  </si>
  <si>
    <t xml:space="preserve">1537
1723
1889
2008
2479
2619
1708
</t>
  </si>
  <si>
    <t xml:space="preserve">6/03/2018
5/04/2018
9/05/2018
7/06/2018
11/07/2018
10/08/2018
5/04/2018
</t>
  </si>
  <si>
    <t>POSITIVA COMPAÑIA DE SEGUROS SA</t>
  </si>
  <si>
    <t xml:space="preserve">3
4
5
6
7
8
4
</t>
  </si>
  <si>
    <t>471-118</t>
  </si>
  <si>
    <t>PAGO DE MI PLANILLA SEGURIDAD SOCIAL Y PARAFISCALES DE LA PLANTA TEMPORAL DE LA ENTIDAD DEL MES DE FEBRERO DE 2018 PROYECTO 471</t>
  </si>
  <si>
    <t>471-119</t>
  </si>
  <si>
    <t>PAGO DE COTIZACIÓN AL SISTEMA GENERAL DE RIESGOS LABORALES DE LAS PERSONAS VINCULADAS A TRAVÉS DE UN CONTRATO DE PRESTACIÓN DE SERVICIOS CON LA CAJA DE LA VIVIENDA POPULAR QUE LABORAN EN ACTIVIDADES DE ALTO RIESGO, SEGÚN EN EL ARTÍCULO 13 DEL DECRETO 723 DE 2013. MES DE FEBRERO DE 2018</t>
  </si>
  <si>
    <t>471-120</t>
  </si>
  <si>
    <t>PAGO DE NOMINA A FUNCIONARIOS DE PLANTA TEMPORAL DE LA DIRECCIÓN DE URBANIZACIONES Y TITULACIÓN MES DE MARZO DE 2018</t>
  </si>
  <si>
    <t>471-121</t>
  </si>
  <si>
    <t>PAGO DE NOMINA A FUNCIONARIOS DE PLANTA TEMPORAL DE LA DIRECCIÓN DE URBANIZACIONES Y TITULACIÓN MES DE MARZO DE 2019</t>
  </si>
  <si>
    <t>471-122</t>
  </si>
  <si>
    <t>Adición y prorroga al contrato 427 de 2018 cuyo objeto es "prestación de servicios profesionales a la Dirección de Urbanizaciones y Titulación para realizar todas aquellas actividades relacionadas con la gerencia y estructuración económica y financiera de Proyectos de Vivienda VIP, asociados al proyecto de inversión 471, al igual prestar acompañamiento financiero en los procesos de adquisición de suelo y bienes inmuebles para titulación de predios".</t>
  </si>
  <si>
    <t>TIT-105</t>
  </si>
  <si>
    <t>471-123</t>
  </si>
  <si>
    <t>Adición y prorroga al contrato 347 de 2018 cuyo objeto es "Prestación de servicios profesionales a la Dirección de Urbanizaciones y Titulación en el seguimiento a la ejecución del componente eléctrico de los,proyectos de vivienda adelantados por la entidad".}</t>
  </si>
  <si>
    <t>TIT-106</t>
  </si>
  <si>
    <t>471-124</t>
  </si>
  <si>
    <t>Sufragar los costos de liquidación de expensas ante Curaduría Urbana, impuestos de delineación urbana, copias de los planos y demás trámites requeridos ante las Curadurías Urbanas N° 1,3 y 5 de Bogotá, para el proceso de licenciamiento de Demolición y Cerramiento de las Viviendas Transitorias de propiedad de la CVP localizadas en el barrio Los Laches.</t>
  </si>
  <si>
    <t>TIT-107</t>
  </si>
  <si>
    <t xml:space="preserve">1806
1924
2524
</t>
  </si>
  <si>
    <t xml:space="preserve">17/04/2018
21/05/2018
24/07/2018
</t>
  </si>
  <si>
    <t xml:space="preserve">HECTOR CARLOS FERNANDO HERRERA REYES
LEIDY PAOLA FLOREZ GALEANO
LEIDY PAOLA FLOREZ GALEANO
</t>
  </si>
  <si>
    <t xml:space="preserve">1868
2095
2915
</t>
  </si>
  <si>
    <t>471-125</t>
  </si>
  <si>
    <t>Sufragar los costos por concepto de gastos notariales en el proceso de la escritura de la transferencia al DADEP de las zonas de cesión de Atahualpa ante la noratía 24 de Círculo de Bogota D.C.</t>
  </si>
  <si>
    <t>TIT-108</t>
  </si>
  <si>
    <t>471-126</t>
  </si>
  <si>
    <t>Sufragar los costos por concepto de gastos notariales e impuestos de registro en el proceso de la escritura de desemglobe y cesión al DADEP del lote denominado equipamiento de la Urbanización Arboleda Santa Teresita ante la notaría 34 del Circulo de Bogotá D.C.</t>
  </si>
  <si>
    <t>Resulucion</t>
  </si>
  <si>
    <t>TIT-109</t>
  </si>
  <si>
    <t>471-127</t>
  </si>
  <si>
    <t>PAGO DE SEGURIDAD SOCIAL Y PARAFISCALES DE FUNCIONARIOS DE PLANTA TEMPORAL DE LA DIRECCIÓN DE URBANIZACIONES Y TITULACIÓN MES MARZO 2018</t>
  </si>
  <si>
    <t>471-128</t>
  </si>
  <si>
    <t>PAGO DE NOMINA DEL MES DE ABRIL DE 2018 DE LA PLANTA TEMPORAL, PROYECTO 471</t>
  </si>
  <si>
    <t>471-129</t>
  </si>
  <si>
    <t>471-130</t>
  </si>
  <si>
    <t>PAGO DE COTIZACIÓN AL SISTEMA GENERAL DE RIESGOS LABORALES DE LAS PERSONAS VINCULADAS A TRAVÉS DE UN CONTRATO DE PRESTACIÓN DE SERVICIOS CON LA CAJA DE LA VIVIENDA POPULAR QUE LABORAN EN ACTIVIDADES DE ALTO RIESGO, SEGÚN EN EL ARTÍCULO 13 DEL DECRETO 723 DE 2013. MES DE ABRIL</t>
  </si>
  <si>
    <t>471-131</t>
  </si>
  <si>
    <t>Sufragar los gastos que impliquen la trasferencia de dominio de los buienes fiscales propiedad de la  Caja de la Vivienda Popular por concepto de registro y beneficiencia, conforme a los establecido por el Acuerdo N° 07 de 02d e Junio  de 2017 de la Junta Directiva de la caja de la Vivienda Popular.</t>
  </si>
  <si>
    <t>TIT-110</t>
  </si>
  <si>
    <t xml:space="preserve">1895
1896
</t>
  </si>
  <si>
    <t xml:space="preserve">10/05/2018
10/05/2018
</t>
  </si>
  <si>
    <t>471-132</t>
  </si>
  <si>
    <t>Sufragar los costos por concepto de gastos notariales en el proceso de otorgamiento y autorización de la escritura aclaratoria y de ratificación de la EP N° 4364 de 2016, ante la notaría 62 del Circuito de Bogotá, afin de realizar la transferencia al DADEP de la zona de cesión ubicada en el barrio Arborizadora Alta de la Localidad de Ciudad Bolivar.</t>
  </si>
  <si>
    <t>TIT-111</t>
  </si>
  <si>
    <t>471-133</t>
  </si>
  <si>
    <t>Adicionar el contrato 434 de 2017 cuyo objeto es "Contratar los seguros que amparen los intereses patrimoniales actuales y futuros, así como los bienes de propiedad de la Caja de la Vivienda Popular, que estén bajo su responsabilidad y custodia y aquellos que sean adquiridos para desarrollar las funciones inherentes a su actividad y cualquier otra póliza que requiera la entidqd en el desrrollo de su actividad".</t>
  </si>
  <si>
    <t>TIT-112</t>
  </si>
  <si>
    <t>471-134</t>
  </si>
  <si>
    <t>TIT-113</t>
  </si>
  <si>
    <t xml:space="preserve">1938
2119
2120
2523
2676
2678
</t>
  </si>
  <si>
    <t xml:space="preserve">22/05/2018
22/06/2018
22/06/2018
24/07/2018
17/08/2018
17/08/2018
</t>
  </si>
  <si>
    <t xml:space="preserve">YAIR JOSUE LIZARAZO CALDERON
SUPERINTENDENCIA DE NOTARIADO Y REGISTRO
DEPARTAMENTO DE CUNDINAMARCA - TESORERIA GENERAL
YAIR JOSUE LIZARAZO CALDERON
DEPARTAMENTO DE CUNDINAMARCA - TESORERIA GENERAL
SUPERINTENDENCIA DE NOTARIADO Y REGISTRO
</t>
  </si>
  <si>
    <t xml:space="preserve">2099
2572
2572
2903
3146
3146
</t>
  </si>
  <si>
    <t>471-135</t>
  </si>
  <si>
    <t>PAGO DE SEGURIDAD SOCIAL Y PARAFISCALES DE FUNCIONARIOS DE PLANTA TEMPORAL DE LA DIRECCIÓN DE URBANIZACIONES Y TITULACIÓN MES Abril 2018</t>
  </si>
  <si>
    <t>471-136</t>
  </si>
  <si>
    <t>Sufragar los gastos que impliquen la trasferencia de dominio de los bienes fiscales propiedad de la Caja de la Vivienda Popular por concepto de registro y beneficencia, conforme a lo establecido por el Acuerdo N.º 07 de 02 de Junio de 2017 de la Junta Directiva de la Caja e la Vivienda Popular.</t>
  </si>
  <si>
    <t>471-137</t>
  </si>
  <si>
    <t>471-138</t>
  </si>
  <si>
    <t>471-139</t>
  </si>
  <si>
    <t>PAGO DE NOMINA A FUNCIONARIOS DE PLANTA TEMPORAL DE LA DIRECCIÓN DE URBANIZACIONES Y TITULACIÓN MES DE MAYO DE 2018</t>
  </si>
  <si>
    <t>471-140</t>
  </si>
  <si>
    <t>471-141</t>
  </si>
  <si>
    <t>01-Infraestructura</t>
  </si>
  <si>
    <t>01-Construcción, adecuación y ampliación de Infraestructura propia del sector.</t>
  </si>
  <si>
    <t xml:space="preserve">0529-Sentencias Judiciales </t>
  </si>
  <si>
    <t xml:space="preserve">Sufragar los gastos que se incurran para la radicación de la demanda ante el Tribunal de Arbitramento, relacionada con el proceso arbitral que se adelanta por parte de la CVP contra la sociedad comercial CONSTRUCCIONAR Y CIA LTDA, hoy DESARROLLOS INMOBILIARIOS ATAHUALPA II LTDA y la entonces Fiduciaria Tequendama, hoy Servitrust Sudameris, vocera del Patrimonio Autónomo Parques de Atahualpa. </t>
  </si>
  <si>
    <t>TIT-114</t>
  </si>
  <si>
    <t>YAIR JOSUE LIZARAZO CALDERON</t>
  </si>
  <si>
    <t>471-142</t>
  </si>
  <si>
    <t>Sufragar los costos por concepto impuesto de registro en el proceso de escritura de desenglobe y cesión al DADEP del lote denominado equipamiento de la urbanización Arboleda Santa Teresita ante la Notaría 34 del Circulo de Bogotá D.C.</t>
  </si>
  <si>
    <t>TITI-115</t>
  </si>
  <si>
    <t>471-143</t>
  </si>
  <si>
    <t>Prestar servicios técnicos a nivel operativo apoyando transversalmente en la atención a las comunidades a cargo de la Dirección de Urbanizaciones y Titulación para el cumplimiento de sus metas, asi como adelantar actividades de clasificación, registro y archivo de la información generada en la Dirección.</t>
  </si>
  <si>
    <t>TIT-116</t>
  </si>
  <si>
    <t>471-144</t>
  </si>
  <si>
    <t>Prestación de servicios profesionales para realizar el acompañamiento y seguimiento jurídico a las actividades de titulación predial, urbanizaciones y saneamiento predial  que adelanta la Dirección de Urbanizacione y Titulación.</t>
  </si>
  <si>
    <t>TIT-117</t>
  </si>
  <si>
    <t>ENRIQUE JOSE NATES GUERRA</t>
  </si>
  <si>
    <t>471-145</t>
  </si>
  <si>
    <t>PAGO DE LA PRIMA SE SERVICIOS 2018 FUNCIONARIOS DE PLANTA TEMPORAL DE LA DIRECCIÓN DE URBANIZACIONES Y TITULACIÓN</t>
  </si>
  <si>
    <t>471-146</t>
  </si>
  <si>
    <t>471-147</t>
  </si>
  <si>
    <t>PAGO DE SEGURIDAD SOCIAL Y PARAFISCALES DE FUNCIONARIOS DE PLANTA TEMPORAL DE LA DIRECCIÓN DE URBANIZACIONES Y TITULACIÓN MES MAYO 2018</t>
  </si>
  <si>
    <t>471-148</t>
  </si>
  <si>
    <t>PAGO DE NOMINA A FUNCIONARIOS DE PLANTA TEMPORAL DE LA DIRECCIÓN DE URBANIZACIONES Y TITULACIÓN MES DE JUNIOO DE 2018</t>
  </si>
  <si>
    <t>471-149</t>
  </si>
  <si>
    <t>095- Vivienda - General</t>
  </si>
  <si>
    <t>PAGO DE NOMINA A FUNCIONARIOS DE PLANTA TEMPORAL DE LA DIRECCIÓN DE URBANIZACIONES Y TITULACIÓN MES DE JUNIOO DE 2019</t>
  </si>
  <si>
    <t>471-150</t>
  </si>
  <si>
    <t>471-151</t>
  </si>
  <si>
    <t>471-152</t>
  </si>
  <si>
    <t>06- Subsidio Directo</t>
  </si>
  <si>
    <t>471-153</t>
  </si>
  <si>
    <t>01- Construcción, adecuación y ampliacion de infraestructura propia del sector</t>
  </si>
  <si>
    <t>0526-Desarrollo de proyectos de vivienda</t>
  </si>
  <si>
    <t>095-Viviends general</t>
  </si>
  <si>
    <t>A7.7</t>
  </si>
  <si>
    <t>Adición N° al contrato N° 694 de 2017, cuyo objeto es:"reparaciones locativas de acabados y lineas vitales que requieran en las unidades de vifenda y zonas comunes de los proyectos de vivienda de interés prioritario VIP de Bosa El Porvenir, Arborizadora Baja (MZ65) y Candelaria La Nueva (MZ67)".</t>
  </si>
  <si>
    <t>Contrato de Obra</t>
  </si>
  <si>
    <t>Selección abrevidad de menor cuantía</t>
  </si>
  <si>
    <t>TIT-118</t>
  </si>
  <si>
    <t>WILVER FRANCINY RUSSY LADINO</t>
  </si>
  <si>
    <t>471-154</t>
  </si>
  <si>
    <t>A7.8</t>
  </si>
  <si>
    <t>Sufragar los gastos que se incurran en la adición al contrato de Fiducia Mercantil suscrito con la Fiduciaria Tequendama S.A hoy Fiduciaria GNB Sudameris S.A -Pagrimonio Autónomo Atahualpa II en liquidación, de acuerdo con lo aprobado en el Acta de Junta Ordinaria N° 1/2018 del 28 de junio de 2018,</t>
  </si>
  <si>
    <t>TIT-119</t>
  </si>
  <si>
    <t>FIDEICOMISOS SERVITRUST GNB SUDAMERIS S.A.</t>
  </si>
  <si>
    <t>471-155</t>
  </si>
  <si>
    <t>Prestación de servicios profesionales a la Dirección de Urbanizaciones y Titulación en el diseño, orientación y ejecución de estratégias técnicas encamindas a realizar el cierre y entrega de los proyectos de vivienda VIP, obras de urbanismo y equipamientos en los proyectos constructivos desarrollados por la Caja de la Viviend Popular.</t>
  </si>
  <si>
    <t>TIT-120</t>
  </si>
  <si>
    <t>Anulada</t>
  </si>
  <si>
    <t>Se anula la viabilidad TIT-120 de Julio 18 de 2018 mediante solicitud enviada por la DUT con número de radicado 2018IE10442 de Agosto de 2018</t>
  </si>
  <si>
    <t>471-156</t>
  </si>
  <si>
    <t>Prestar servicios profesionales a la Dirección Jurídica como enlace y apoyo de la Dirección de Urbanizaciones y Titulación, en temas relacionados con el desarrollo de las actividades de apoyo jurídico en titulación predial, derecho inmobiliario, actuaciones y trámites en general relacionados con la ejcución de las actividades propias de la CVP.</t>
  </si>
  <si>
    <t>TIT-121</t>
  </si>
  <si>
    <t>IRENE  BERROCAL GARCIA</t>
  </si>
  <si>
    <t>471-157</t>
  </si>
  <si>
    <t>Prestación de servicios profesionales a la Dirección de Urbanizaciones y Titulación en la orientación y ejecución de estratégias técnicas encaminadas a realizar el cierre y entrega de los proyectos de vivienda VIP, obras de urbanismo y equipamientos en los proyectos constructivos desarrollados por la Caja de la Vivienda Popular.</t>
  </si>
  <si>
    <t>TIT-122</t>
  </si>
  <si>
    <t>CESAR AUGUSTO HENAO TRUJILLO</t>
  </si>
  <si>
    <t>471-158</t>
  </si>
  <si>
    <t>Prestación de servicios profesionales a la Dirección de Urbanizaciones y Titulación para el acompañamiento jurídico en los proyectos Constructivos de Vivienda de Interés Prioritario - VIP  que adelanta la Caja de la Vivienda Popular.</t>
  </si>
  <si>
    <t>TIT-123</t>
  </si>
  <si>
    <t>ROCIO STELLA VIVEROS AGUILAR</t>
  </si>
  <si>
    <t>471-159</t>
  </si>
  <si>
    <r>
      <t>Sufragar los costos de radicación y expedición de s</t>
    </r>
    <r>
      <rPr>
        <sz val="11"/>
        <color rgb="FF222222"/>
        <rFont val="Arial"/>
        <family val="2"/>
      </rPr>
      <t>olicitud concepto de norma urbanística - Reglamento Colombiano de Construcción Sismo Resistente norma NSR – 10, título k - numeral k.3.8.3 – escaleras interiores k.3.8.3.3 (k.3.8.3.3 – ancho mínimo).</t>
    </r>
    <r>
      <rPr>
        <sz val="11"/>
        <color rgb="FF000000"/>
        <rFont val="Arial"/>
        <family val="2"/>
      </rPr>
      <t> Para las Licencias de construcción números: LC 15-2-0901, LC 15-2-0902 del 2 de junio de 2015 para los proyectos (Arborizadora Baja Manzana 54 y manzana 55). y LC 16-2-0884 del 11 de julio de 2016 (Proyecto </t>
    </r>
    <r>
      <rPr>
        <sz val="11"/>
        <color rgb="FF222222"/>
        <rFont val="Arial"/>
        <family val="2"/>
      </rPr>
      <t>Urbanización Arboleda Santa Teresita</t>
    </r>
    <r>
      <rPr>
        <sz val="11"/>
        <color rgb="FF000000"/>
        <rFont val="Arial"/>
        <family val="2"/>
      </rPr>
      <t>), de propiedad de la Caja de la Vivienda Popular</t>
    </r>
  </si>
  <si>
    <t>TIT-124</t>
  </si>
  <si>
    <t>471-160</t>
  </si>
  <si>
    <t>PAGO DE MI PLANILLA Y PARAFISCALES DE LA PLANTA TEMPORAL DE LA ENTIDAD DEL MES DE JUNIO DE 2018. PROYECTO 471</t>
  </si>
  <si>
    <t>471-161</t>
  </si>
  <si>
    <t>PAGO DE NÓMINA A FUNCIONARIOS DE PLANTA TEMPORAL DE LA DIRECCIÓN DE URBANIZACIONES Y TITULACIÓN MES DE JULIO DE 2018</t>
  </si>
  <si>
    <t>471-162</t>
  </si>
  <si>
    <t>471-163</t>
  </si>
  <si>
    <t>PAGO DE COTIZACIÓN AL SISTEMA GENERAL DE RIESGOS LABORALES DE LAS PERSONAS VINCULADAS A TRAVÉS DE UN CONTRATO DE PRESTACIÓN DE SERVICIOS CON LA CAJA DE LA VIVIENDA POPULAR QUE LABORAN EN ACTIVIDADES DE ALTO RIESGO, SEGÚN EN EL ARTÍCULO 13 DEL DECRETO 723 DE 2013. MES DE JULIO DE 2018</t>
  </si>
  <si>
    <t>471-164</t>
  </si>
  <si>
    <t>471-165</t>
  </si>
  <si>
    <t>Sufragar los costos de liquidación de expensas ante Curaduría Urbana, impuesto de delineación urbana, copias de los planos y demás trámites requeridos ante las Curadurías Urbanas Nos: 1, 3 y 5 de Bogotá, para el proceso de licenciamiento de Demolición y Cerramiento de las Viviendas Transitorias de propiedad de la CVP localizadas en el barrio Los Laches.</t>
  </si>
  <si>
    <t>471-166</t>
  </si>
  <si>
    <t>Contratar los servicios de un operador logístico para que lleve a cabo la organización, administración y realización de actividades y estrategiás necesarios para la promoción de los programas y servicios prestados por la Caja de la Vivienda Popular, así como el cumplimiento y socialización de las metas misionales de la entidad.</t>
  </si>
  <si>
    <t>Licitación</t>
  </si>
  <si>
    <t>TIT-125</t>
  </si>
  <si>
    <t>471-97 Y 471-98</t>
  </si>
  <si>
    <t>471-167</t>
  </si>
  <si>
    <t>TIT-126</t>
  </si>
  <si>
    <t>471-95- Y 471-96</t>
  </si>
  <si>
    <t>471-168</t>
  </si>
  <si>
    <t>Prestación de serviciosprofesionales a la Dirección de Urbanizaciones y Titulación.</t>
  </si>
  <si>
    <t>471-169</t>
  </si>
  <si>
    <t>Prestación de servicios profesionales a la Dirección de Urbanizaciones y Titulación en el apoyo jurídico a la comunidad sobre los procesos de titulación predial conforme a los diferentes mecanismos previstos por la ley.</t>
  </si>
  <si>
    <t>Prestción de Servicios</t>
  </si>
  <si>
    <t>TIT-127</t>
  </si>
  <si>
    <t>YINA IMELDA ARIAS SALAZAR</t>
  </si>
  <si>
    <t>471-170</t>
  </si>
  <si>
    <t>TIT-128</t>
  </si>
  <si>
    <t>DIEGO HERNAN DAZA HURTADO</t>
  </si>
  <si>
    <t>471-171</t>
  </si>
  <si>
    <t>TIT-129</t>
  </si>
  <si>
    <t>ANDRES GUILLERMO MAESTRE ARAUJO</t>
  </si>
  <si>
    <t>471-172</t>
  </si>
  <si>
    <t>TIT-130</t>
  </si>
  <si>
    <t>471-173</t>
  </si>
  <si>
    <t>TIT-131</t>
  </si>
  <si>
    <t>471-174</t>
  </si>
  <si>
    <t>TIT-132</t>
  </si>
  <si>
    <t>471-175</t>
  </si>
  <si>
    <t>TIT-133</t>
  </si>
  <si>
    <t>471-176</t>
  </si>
  <si>
    <t>Prestar servicios profesionales a la Dirección de Urbanizaciones y Titulación en el seguimiento, estructuración y revisión jurídica de los documentos, informes y actos administrativos propios de la dependencia.</t>
  </si>
  <si>
    <t>TIT-134 - ANULADA nueva viabilidad TIT-139</t>
  </si>
  <si>
    <t>471-168 Y 471-176</t>
  </si>
  <si>
    <t>LINDA GISSELLE SUAREZ VILLAMIZAR</t>
  </si>
  <si>
    <t>471-177</t>
  </si>
  <si>
    <t>Prestación de servicios profesionales, apoyando la valoración económica, financiera y técnica en los procesos de titulación, cierre de proyectos constructivos de vivienda VIP, y entrega de zonas de cesión, adelantados por la Dirección de Urbanizaciones y Titulación.</t>
  </si>
  <si>
    <t>TIT-135</t>
  </si>
  <si>
    <t>471-178</t>
  </si>
  <si>
    <t>97 - Vivienda - General</t>
  </si>
  <si>
    <t>7020 - Transferencias de carácter general entre diferentes niveles de gobierno</t>
  </si>
  <si>
    <t>A.7.9</t>
  </si>
  <si>
    <t>Prestación de servicios profesionales de apoyo jurídico a la Dirección de Urbanizaciones y Titulación  en el desarrollo de los procesos de titulación adelantados conforme a los mecanismos previstos por la ley, así como en el análisis de la situación de predios y realización de trámites requeridos para el saneamiento de los bienes de la CVP.</t>
  </si>
  <si>
    <t>TIT-136</t>
  </si>
  <si>
    <t>471-179</t>
  </si>
  <si>
    <t>98 - Vivienda - General</t>
  </si>
  <si>
    <t>7021 - Transferencias de carácter general entre diferentes niveles de gobierno</t>
  </si>
  <si>
    <t>A.7.10</t>
  </si>
  <si>
    <t>TIT-137</t>
  </si>
  <si>
    <t>471-180</t>
  </si>
  <si>
    <t>99 - Vivienda - General</t>
  </si>
  <si>
    <t>7022 - Transferencias de carácter general entre diferentes niveles de gobierno</t>
  </si>
  <si>
    <t>A.7.11</t>
  </si>
  <si>
    <t>Prestar servicios de apoyo a la gestion a la Dirección de Urbanizaciones y Titulación en la ejecucion de actividades en el manejo, clasificacion, asignacion, seguimiento, a los documentos generados por la Dirección,  de conformidad con las normas vigentes y Sistema Integrado de Gestión.</t>
  </si>
  <si>
    <t>TIT-138</t>
  </si>
  <si>
    <t>471-181</t>
  </si>
  <si>
    <t>471-182</t>
  </si>
  <si>
    <t>02-Adquisición de Infraestructura propia del Sector</t>
  </si>
  <si>
    <t>0027-Adquisición de predios</t>
  </si>
  <si>
    <t>03-Recursos Administrados</t>
  </si>
  <si>
    <t>20-Administrados de destinación específica</t>
  </si>
  <si>
    <t>Convenio Interadministrativo No. 000618 cuyo objeto es aunar esfuerzos técnicos, administrativos y financieros con el fin de adelantar las acciones necesarias para el desarrollo del proyecto “Mirador de Illimani”,</t>
  </si>
  <si>
    <t>208-Mejoramiento de Barrios</t>
  </si>
  <si>
    <t>Desarrollar el 100% de las intervenciones priorizadas de mejoramiento</t>
  </si>
  <si>
    <t>15- Contribuir 100% al Mejoramiento de Barrios en los Territorios Priorizados por la SDHT a través de Procesos Estudios y Diseños de Infraestructura en Espacios Públicos a escala barrial para la accesibilidad de los ciudadanos a un Hábitat.</t>
  </si>
  <si>
    <t>01-Construcción, Adecuación y ampliación de infraestructura propia del sector</t>
  </si>
  <si>
    <t>0108-Obras de Urbanismo</t>
  </si>
  <si>
    <t xml:space="preserve">03-Recursos Administrados </t>
  </si>
  <si>
    <t xml:space="preserve">146 Recursos del balance de libre destinación </t>
  </si>
  <si>
    <t>2.1.03.01.05.03.01.01.98 - A Otras Entidades No Financieras Municipales y/o Distritales no consideradas Empresas</t>
  </si>
  <si>
    <t>A.7.5 - PLANES Y PROYECTOS PARA LA ADQUISICIÓN Y/O CONSTRUCCIÓN DE VIVIENDA</t>
  </si>
  <si>
    <t>Estudios y Diseños de Infraestructura en espacio público a escala barrial</t>
  </si>
  <si>
    <t>Licitación Pública</t>
  </si>
  <si>
    <t>MARZO</t>
  </si>
  <si>
    <t>16- Contribuir 100% al Mejoramiento de Barrios en los Territorios Priorizados por la SDHT a través de Procesos Obras de Infraestructura en Espacios Públicos a escala barrial para la accesibilidad de los ciudadanos a un Hábitat.</t>
  </si>
  <si>
    <t>Obras de Infraestructura en espacio público a escala barrial</t>
  </si>
  <si>
    <t>01- Adquisición y/o producción de equipo, materiales, suministros y servicios propios del sector.</t>
  </si>
  <si>
    <t>A.7.3 - PLANES Y PROYECTOS DE MEJORAMIENTO DE VIVIENDA Y SANEAMIENTO BÁSICO</t>
  </si>
  <si>
    <t>Prestar los servicios de carácter logistico a nivel distrital y/o nacional que cumpla con las necesidades operativas de BTL en la realización de encuentros de participación ciudadana y en la promoción de la gestión de la entidad y de cada una de sus direcciones misionales.</t>
  </si>
  <si>
    <t>Concurso de Meritos</t>
  </si>
  <si>
    <t>A.17.1 - PROCESOS INTEGRALES DE EVALUACIÓN INSTITUCIONAL Y REORGANIZACIÓN ADMINISTRATIVA</t>
  </si>
  <si>
    <t xml:space="preserve">Contratar los servicios de divulgación masiva que optimice la estrategia de comunicación de la Caja de la Vovienda Popular, a traves de los diferentes medios de comunicación y promocione la gestión de las direcciones misionales. </t>
  </si>
  <si>
    <t>0312-Personal Contratado para Apoyar las Actividades Propias de los Proyectos de Inversión Misionales de la Entidad</t>
  </si>
  <si>
    <t>Pago de nómina y aportes patronales de funcionarios de planta temporal de la dirección de mejoramiento de barrios</t>
  </si>
  <si>
    <t>Orden de Prestacion de Servicios</t>
  </si>
  <si>
    <t>1608-1800-1837-1902-1946-1978-2020-2050-2492-2526</t>
  </si>
  <si>
    <t>CAJA DE VIVIENDA POPULAR</t>
  </si>
  <si>
    <t>25-28-31-34-37-40-43-46-49</t>
  </si>
  <si>
    <t>Viabilización</t>
  </si>
  <si>
    <t>Contratacion Recurso Humano</t>
  </si>
  <si>
    <t>2644-2734-2849-2908</t>
  </si>
  <si>
    <t>Pago de cotización al sistema General de Riesgos Laborales de las personas vinculadas a través de un contrato de prestación de servicios con la Caja de la Vivienda Popular que laboran en actividades de alto riesgo, según en el artículo 13 del Decreto 723 de 2013</t>
  </si>
  <si>
    <t>1541 - 1542 - 1717 - 1720 - 1911 - 2007 - 2457 - 2593</t>
  </si>
  <si>
    <t>3-4-5-6-7</t>
  </si>
  <si>
    <t>Pago ARL</t>
  </si>
  <si>
    <t xml:space="preserve">Prestación de servicios profesionales para apoyar a la gestión administrativa de los procedimientos operativos, de información y documentales que se desarrollen al interior de la Dirección de Mejoramiento de Barrios de la Caja de Vivienda Popular en los proyectos de intervención física a escala barrial. </t>
  </si>
  <si>
    <t>Prestacion de Servicios</t>
  </si>
  <si>
    <t>MARIA ALEXANDRA TORO CHARRY</t>
  </si>
  <si>
    <t xml:space="preserve">Prestación de Servicios profesionales para apoyar a la Dirección de Mejoramiento de Barrios de la Caja de la Vivienda Popular en los procesos y procedimientos de carácter administrativo, financiero y presupuestal que se requieran. </t>
  </si>
  <si>
    <t>JUAN SEBASTIAN CARDENAS LOZANO</t>
  </si>
  <si>
    <t xml:space="preserve">Prestación de Servicios profesionales para apoyar a la Dirección de Mejoramiento de Barrios de la Caja de la Vivienda Popular en los procesos y procedimientos de carácter administrativo, financiero y presupuestal que se requieran en la etapa pos contractual. </t>
  </si>
  <si>
    <t>OSCAR ABIMELEC BALLESTEROS CARRILLO</t>
  </si>
  <si>
    <t xml:space="preserve">Prestar los servicios profesionales a la dirección de mejoramiento de barrios como enlace con la oficina asesora de comunicación de la caja de la vivienda popular, garantizando la implementación y desarrollo de estrategias de comunicación institucional, bajo los parámetros contemplados en el plan estratégico de comunicaciones de la entidad. </t>
  </si>
  <si>
    <t>LUIS ALEXANDER PEÑA CADENA</t>
  </si>
  <si>
    <t>GRETEL STELLA MEDRANO MORA</t>
  </si>
  <si>
    <t xml:space="preserve">Prestación de servicios para apoyar a la Dirección de Mejoramiento de Barrios de la Caja de la Vivienda Popular en las actividades operativas de los proyectos de intervención física a escala barrial que en materia de planeación, administrativa, financiera y presupuestal se requieran en el desarrollo de las actividades del componente administrativo. </t>
  </si>
  <si>
    <t>JOAQUIN EDUARDO PERDOMO ARTUNDUAGA</t>
  </si>
  <si>
    <t xml:space="preserve">Prestación de servicios para apoyar a la Dirección de Mejoramiento de Barrios de la Caja de la Vivienda Popular en las actividades documentales y operativas de los proyectos de intervención física a escala barrial. </t>
  </si>
  <si>
    <t>CHRISTIAN ALEXIS VALDERRAMA TORRES</t>
  </si>
  <si>
    <t>Prestar servicios profesionales en la Dirección de Mejoramiento de Barrios para el acompañamiento jurídico requerido, sirviendo además de enlace con la Dirección de Gestión Corporativa y CID para el adelantamiento de las diferentes etapas de los procesos de contratación.</t>
  </si>
  <si>
    <t>86 (Anuladada) - 113</t>
  </si>
  <si>
    <t>LAURA FERNANDA GOMEZ RAMIREZ</t>
  </si>
  <si>
    <t>85 (Anulada) - 114</t>
  </si>
  <si>
    <t>Prestación de Servicios profesionales de carácter jurídico para apoyar a la Dirección de Mejoramiento de Barrios de la Caja de la Vivienda Popular.</t>
  </si>
  <si>
    <t>84 (Anulada)</t>
  </si>
  <si>
    <t>83 (Anulada)</t>
  </si>
  <si>
    <t>DIANA CAROLINA ESQUIVEL ROMERO</t>
  </si>
  <si>
    <t>80 (Anulada)</t>
  </si>
  <si>
    <t>79 (Anulada)</t>
  </si>
  <si>
    <t xml:space="preserve">Prestación de Servicios profesionales de carácter jurídico para apoyar a la Dirección de Mejoramiento de Barrios de la Caja de la Vivienda Popular. </t>
  </si>
  <si>
    <t>LAURA DIOCITA ALEJANDRA SANCHEZ FORERO</t>
  </si>
  <si>
    <t>Prestación de servicios de apoyo a la gestión para el desarrollo de los procedimientos operativos; así como realizar el seguimiento, alimentación y actualización de la gestión documental, inventario y administración del archivo de gestión en medio físico y digital acorde a la normatividad vigente de los proyectos de intervención física a escala barrial que se encuentren a cargo de la Dirección de Mejoramiento de Barrios de la Caja de la Vivienda Popular.</t>
  </si>
  <si>
    <t>INGRID PAOLA MARTIN CASTILLO</t>
  </si>
  <si>
    <t>Prestación de servicios para apoyar las actividades documentales y operativas que se requieran acorde a la normatividad vigente de los proyectos de intervención física a escala barrial que se encuentren a cargo de la Dirección de Mejoramiento de Barrios de la Caja de la Vivienda Popular.</t>
  </si>
  <si>
    <t>JEIMY TATIANA CRUZ BEJARANO</t>
  </si>
  <si>
    <t>LUISA LORENA BECERRA BENAVIDES</t>
  </si>
  <si>
    <t>ANA YAMILE QUINTERO BERNAL</t>
  </si>
  <si>
    <t>JUAN JOSE SALAMANCA GONZALEZ</t>
  </si>
  <si>
    <t>26/01/208</t>
  </si>
  <si>
    <t>JUAN SEBASTIAN BEJARANO CASTAÑEDA</t>
  </si>
  <si>
    <t>RUBEN DARIO AGUILERA DIAZ</t>
  </si>
  <si>
    <t>Prestación de Servicios profesionales para apoyar a la Dirección de Mejoramiento de Barrios de la Caja de Vivienda Popular en los proyectos de intervención física a escala barrial que, en materia de Seguridad Industrial, Salud Ocupacional y Medio Ambiente se requieran.</t>
  </si>
  <si>
    <t>ANA MARIA BERMUDEZ ANDRADE</t>
  </si>
  <si>
    <t>JHON HAROLD PEÑA COMETTA</t>
  </si>
  <si>
    <t>DANIEL FELIPE OROZCO ROA</t>
  </si>
  <si>
    <t>KEVIN STICK POSADA GUARACA</t>
  </si>
  <si>
    <t>54 (Anulada)</t>
  </si>
  <si>
    <t>53 (Anulada)</t>
  </si>
  <si>
    <t>Prestación de Servicios profesionales para apoyar a la Dirección de Mejoramiento de Barrios de la Caja de Vivienda Popular en los proyectos de intervención física a escala barrial que en materia social se requiera.</t>
  </si>
  <si>
    <t>ANA MARIA LUNA TRUJILLO</t>
  </si>
  <si>
    <t>MARIA ALEJANDRA CERQUERA SANCHEZ</t>
  </si>
  <si>
    <t>MAYRA ALEJANDRA BAUTISTA ROJAS</t>
  </si>
  <si>
    <t>KAREN NATHALY MUÑOZ SANCHEZ</t>
  </si>
  <si>
    <t>ALBA MARIA CAMACHO RINCON</t>
  </si>
  <si>
    <t>Prestación de Servicios profesionales para apoyar a la Dirección de Mejoramiento de Barrios de la Caja de Vivienda Popular en los proyectos de intervención física a escala barrial que en materia técnica se requiera.</t>
  </si>
  <si>
    <t>ANA YANET LEGUIZAMON FANDIÑO</t>
  </si>
  <si>
    <t>Prestación de servicios de profesionales para apoyar a la Dirección de Mejoramiento de Barrios y a la Dirección de Titulaciones y Urbanizaciones de la Caja de la Vivienda Popular en las actividades precontractuales y contractuales que en materia Técnica se requieran.</t>
  </si>
  <si>
    <t>JACQUELINE  CACHAYA SANCHEZ</t>
  </si>
  <si>
    <t>34 (Anulada)</t>
  </si>
  <si>
    <t>33 (Anulada)</t>
  </si>
  <si>
    <t>HECTOR JAVIER VARGAS NAVARRO</t>
  </si>
  <si>
    <t>JOHN JAIRO SALINAS PIÑEROS</t>
  </si>
  <si>
    <t>Prestación de servicios profesionales en apoyo al equipo técnico de la Dirección de Mejoramiento de Barrios de la Caja de Vivienda Popular en los proyectos de intervención física a escala barrial.</t>
  </si>
  <si>
    <t>028 (Anulada) - 117</t>
  </si>
  <si>
    <t>OSCAR LEONARDO HERNANDEZ VELASQUEZ</t>
  </si>
  <si>
    <t>027 (Anulada) - 118</t>
  </si>
  <si>
    <t>Prestación de servicios para apoyar a la Dirección de Mejoramiento de Barrios de la Caja de la Vivienda Popular, en las actividades técnicas y administrativas requeridas en el desarrollo de los proyectos de intervención física a escala barrial.</t>
  </si>
  <si>
    <t>026 (Anulada) - 111</t>
  </si>
  <si>
    <t>JORGE ALBERTO ACEVEDO TALERO</t>
  </si>
  <si>
    <t>025 (Anulada) - 112</t>
  </si>
  <si>
    <t>ANDRES  LIZARRALDE MARTINEZ</t>
  </si>
  <si>
    <t>DENIS STICK CALCETO</t>
  </si>
  <si>
    <t>20 (Anulada)</t>
  </si>
  <si>
    <t>19 (Anulada)</t>
  </si>
  <si>
    <t>Prestación de servicios profesionales para brindar asesoría jurídica y acompañamiento externo en la gestión contractual y demás trámites administrativos que sean requeridos.</t>
  </si>
  <si>
    <t>LOTERO ZULUAGA ABOGADOS S A S</t>
  </si>
  <si>
    <t>Prestar sus servicios profesionales a la Dirección Jurídica como enlace de la Dirección de Mejoramiento de Barrios en el desarrollo de actividades jurídicas relacionadas con los procedimientos, actuaciones, competencias y trámites en general que se encuentren a cargo de aquella Dirección.</t>
  </si>
  <si>
    <t>WILSON  GUALTEROS AGUILLON</t>
  </si>
  <si>
    <t>Prestación de Servicios profesionales para apoyar a la gestión operativa de la Dirección de Mejoramiento de Barrios de la Caja de Vivienda Popular en los proyectos de intervención física a escala barrial.</t>
  </si>
  <si>
    <t>LUIS ROLANDO RIAÑO ORTIZ</t>
  </si>
  <si>
    <t>SANDRA VIVIANA ACOSTA RODRIGUEZ</t>
  </si>
  <si>
    <t>Prestar Servicios de Apoyo a la Gestión a la Dirección de Mejoramiento de Barrios de la Caja de Vivienda Popular en los proyectos de intervención física a escala barrial requeridos desde el componente Técnico.</t>
  </si>
  <si>
    <t>NICOLAS MAURICIO BAUTE CABARCAS</t>
  </si>
  <si>
    <t>Prestar los servicios profesionales para la planeación, realización y desarrollo de contenidos periodísticos que permitan la difusión y divulgación de la gestión de cada una de las áreas misionales de la Caja de la Vivienda Popular.</t>
  </si>
  <si>
    <t>006 (Anulada) - 109</t>
  </si>
  <si>
    <t xml:space="preserve"> 15/01/2018</t>
  </si>
  <si>
    <t>005 (Anulado) - 110</t>
  </si>
  <si>
    <t>Prestar servicios profesionales en la implementacion y seguimiento de la politica de responsabilidad social, bajo los tres pilares de sostenibilidad a los procesos de gestion misional de la entidad.</t>
  </si>
  <si>
    <t>Prestación de Servicios profesionales para apoyar a la Dirección de Mejoramiento de Barrios de la Caja de la Vivienda Popular.</t>
  </si>
  <si>
    <t>NOVIEMBRE</t>
  </si>
  <si>
    <t>115 (Anulada)</t>
  </si>
  <si>
    <t>116 (Anulada)</t>
  </si>
  <si>
    <t>Adición al contrato de obra número 597 de 2016 cuyo objeto es "Elaborar los estudios, diseños y la construcción de los códigos de identificación vial-CIV priorizados, ubicados en el sector de Caracolí en la localidad de Ciudad Bolivar y en el sector de Compostela en la Localidad de Usme en Bogotá D.C".</t>
  </si>
  <si>
    <t>208-2</t>
  </si>
  <si>
    <t>UNION TEMPORAL INTERVENCION VIAL CIV</t>
  </si>
  <si>
    <t>Traslado para pagos pasivos exigibles</t>
  </si>
  <si>
    <t>121 (Anulada)</t>
  </si>
  <si>
    <t>Contrato de Consultoria</t>
  </si>
  <si>
    <t xml:space="preserve">Adición al contrato de obra número 584 de 2016 cuyo objeto es "REALIZAR LA REVISIÓN, AJUSTE, ACTUALIZACIÓN, COMPLEMENTACIÓN Y APROPIACIÓN DE LOS ESTUDIOS Y DISEÑOS, Y LA CONSTRUCCIÓN DE LOS CÓDIGOS DE IDENTIFICACIÓN VIAL - CIV PRIORIZADOS, UBICADOS EN LA LOCALIDAD DE SAN CRISTÓBAL EN LA CIUDAD DE BOGOTÁ D.C."
</t>
  </si>
  <si>
    <t>CONSTRUSOCIAL  S A S</t>
  </si>
  <si>
    <t xml:space="preserve">Adición al contrato de interventoría número 593 de 2016 cuyo objeto es "REALIZAR LA INTERVENTORÍA TÉCNICA, ADMINISTRATIVA, FINANCIERA, CONTABLE, AMBIENTAL, SISO, SOCIAL Y JURÍDICA, A LA REVISIÓN, AJUSTE, ACTUALIZACIÓN, COMPLEMENTACIÓN Y APROPIACIÓN DE LOS ESTUDIOS Y DISEÑOS, Y LA CONSTRUCCIÓN DE LOS CÓDIGOS DE IDENTIFICACIÓN VIAL - CIV PRIORIZADOS, UBICADOS EN LA LOCALIDAD DE SAN CRISTÓBAL EN LA CIUDAD DE BOGOTÁ D.C."
</t>
  </si>
  <si>
    <t>MIRS LATINOAMERICA S A S</t>
  </si>
  <si>
    <t>Realizar las obras de intervención física a escala barrial consistentes en la construcción de  los tramos viales con los códigos de identificación vial - CIV priorizados, ubicados en las localidades de Bogotá D.C.</t>
  </si>
  <si>
    <t>JULIO</t>
  </si>
  <si>
    <t>LUIS FELIPE HERRERA GUZMAN</t>
  </si>
  <si>
    <t>HR INGENIERIA SAS</t>
  </si>
  <si>
    <t>GRUPO METRO COLOMBIA</t>
  </si>
  <si>
    <t>Realizar la interventoría técnica, administrativa, financiera, social, jurídica, ambiental y SSTMA para las obras de intervención física a escala barrial consistentes en la construcción de los tramos viales (códigos de identificación vial – civ), ubicados en la ciudad de Bogotá D.C., de conformidad con los pliegos de condiciones, anexo técnico y demás documentos del proceso.</t>
  </si>
  <si>
    <t>Contrato de Interventoria</t>
  </si>
  <si>
    <t>MONICA JOHANNA CHIPATECUA QUEVEDO</t>
  </si>
  <si>
    <t>LUIS ALFONSO DIAZ MARTIN</t>
  </si>
  <si>
    <t>NATALIA MERCEDES BOCANEGRA MONTALVO</t>
  </si>
  <si>
    <t>NATALY ANGELICA NOGALES VARGAS</t>
  </si>
  <si>
    <t>Adición y prorroga al contrato 226 de 2018 cuyo objeto es "Prestar sus servicios profesionales en la Dirección Jurídica como enlace de la Dirección de Mejoramiento de Barrios en el desarrollo de actividades jurídicas relacionadas con los procedimientos, actuaciones, competencias y trámites en general que se encuentren a cargo de aquella Dirección"</t>
  </si>
  <si>
    <t>AGUSTIN  LOBATON CORTES</t>
  </si>
  <si>
    <t xml:space="preserve"> Prestar sus servicios profesionales en la Dirección Jurídica como enlace de la Dirección de Mejoramiento de Barrios en el desarrollo de actividades jurídicas relacionadas con los procedimientos, actuaciones, competencias y trámites en general que se encuentren a cargo de aquella Dirección</t>
  </si>
  <si>
    <t>ALEJANDRA MARIA MUSKUS CARRIAZO</t>
  </si>
  <si>
    <t>JUAN PABLO GARCIA LIZARAZO</t>
  </si>
  <si>
    <t>VALENTINA  ESTEBAN BERNAL</t>
  </si>
  <si>
    <t xml:space="preserve"> Prestación de Servicios profesionales de carácter jurídico para apoyar a la Dirección de Mejoramiento de Barrios de la Caja de la Vivienda Popular.</t>
  </si>
  <si>
    <t>GINA MARCELA ALVARADO GONZALEZ</t>
  </si>
  <si>
    <t>Realizar las obras de intervención física a escala barrial consistentes en la construcción de los tramos viales con los códigos de identificación vial - CIV priorizados, ubicados en las localidades de Bogotá D.C.</t>
  </si>
  <si>
    <t>Adición y prorroga al contrato 690 de 2017 con objeto "EJECUTAR LAS OBRAS DE INTERVENCIÓN FÍSICA A ESCALA BARRIAL CONSISTENTES EN LA CONSTRUCCIÓN DE LOS TRAMOS VIALES (CÓDIGOS DE IDENTIFICACIÓN VIAL – CIV), UBICADOS EN LA CIUDAD DE BOGOTÁ D.C., DE CONFORMIDAD CON LOS PLIEGOS DE CONDICIONES, ANEXO TÉCNICO Y DEMÁS DOCUMENTOS DEL PROCESO."</t>
  </si>
  <si>
    <t>Adicion</t>
  </si>
  <si>
    <t>BELISARIO ALFREDO DE LEON NARVAEZ</t>
  </si>
  <si>
    <t>Adición y prorroga al contrato 700 de 2017 con objeto "EJECUTAR LAS OBRAS DE INTERVENCIÓN FÍSICA A ESCALA BARRIAL CONSISTENTES EN LA CONSTRUCCIÓN DE LOS TRAMOS VIALES (CÓDIGOS DE IDENTIFICACIÓN VIAL – CIV), UBICADOS EN LA CIUDAD DE BOGOTÁ D.C., DE CONFORMIDAD CON LOS PLIEGOS DE CONDICIONES, ANEXO TÉCNICO Y DEMÁS DOCUMENTOS DEL PROCESO."</t>
  </si>
  <si>
    <t>CONSORCIO  VIAL  BOGOTA</t>
  </si>
  <si>
    <t xml:space="preserve"> Adición y prórroga contrato de interventoría 707 de 2017 con objeto "REALIZAR LA INTERVENTORÍA TÉCNICA, ADMINISTRATIVA, FINANCIERA, SOCIAL, JURIDICA, AMBIENTAL Y SSTMA PARA LAS OBRAS DE INTERVENCION FISICA A ESCALA BARRIAL CONSISTENTES EN LA CONSTRUCCIÓN DE LOS TRAMOS VIALES (CÓDIGOS DE IDENTIFICACIÓN VIAL – CIV), UBICADOS EN LA CIUDAD DE BOGOTÁ D.C.."</t>
  </si>
  <si>
    <t>CONSORCIO JS</t>
  </si>
  <si>
    <t>Adición al contrato de obra 629 de 2017 conn objeto "EJECUTAR LAS OBRAS DE INTERVENCIÓN FÍSICA A ESCALA BARRIAL CONSISTENTES EN LA CONSTRUCCIÓN DE LOS TRAMOS VIALES (CÓDIGOS DE IDENTIFICACIÓN VIAL – CIV), UBICADOS EN LA CIUDAD DE BOGOTÁ D.C., DE CONFORMIDAD CON LOS PLIEGOS DE CONDICIONES, ANEXO TÉCNICO Y DEMÁS DOCUMENTOS DEL PROCESO".</t>
  </si>
  <si>
    <t>CONSORCIO CIV BOGOTA</t>
  </si>
  <si>
    <t xml:space="preserve">Contratar los servicios de un operador logístico para que lleve a cabo la organización, administración y realización de actividades y estrategias necesarios para la promoción de los programas y servicios prestados por la caja de la vivienda popular, así como el cumplimiento y socialización de las metas misionales de la entidad.  
</t>
  </si>
  <si>
    <t>Adición y prorroga al contrato 226 de 2018 cuyo objeto es "Prestar sus servicios profesionales en la Dirección Jurídica como enlace de la Dirección de Mejoramiento de Barrios en el desarrollo de actividades jurídicas relacionadas con los procedimientos, actuaciones, competencias y trámites en general que se encuentren a cargo de aquella Dirección"</t>
  </si>
  <si>
    <t xml:space="preserve"> Realizar la interventoría técnica, administrativa, financiera, social, jurídica, ambiental y SSTMA a los estudios técnicos, diseños y construcción para las obras de intervención física a escala barrial, de los tramos viales (códigos de identificación vial – civ), ubicados en la ciudad de Bogotá D.C., de conformidad con los pliegos de condiciones, anexo técnico y demás documentos del proceso</t>
  </si>
  <si>
    <t>SEPTIEMBRE</t>
  </si>
  <si>
    <t>Adelantar los estudios, diseños y construcción de las obras de intervención física a escala barrial consistentes en la construcción de los tramos viales con los códigos de identificación vial - CIV priorizados, ubicados en la localidad de Usaquén en la ciudad de Bogotá D.C.</t>
  </si>
  <si>
    <t>Realizar la interventoría técnica, administrativa, financiera, social, jurídica, ambiental y SSTMA a los estudios técnicos, diseños y construcción para las obras de intervención física a escala barrial, de los tramos viales (códigos de identificación vial – civ), ubicados en la ciudad de Bogotá D.C., de conformidad con los pliegos de condiciones, anexo técnico y demás documentos del proceso</t>
  </si>
  <si>
    <t>Prestar servicios profesionales a la Dirección de Mejoramiento de Barrios en la orientación y ejecución de estrategias técnicas para el desarrollo de los proyectos de intervención física a escala barrial.</t>
  </si>
  <si>
    <t>NESTOR FABIAN MORENO ORTIZ</t>
  </si>
  <si>
    <t>943-1</t>
  </si>
  <si>
    <t>943-Fortalecimiento institucional para la transparencia, participación ciudadana, control y responsabilidad social y anticorrupción</t>
  </si>
  <si>
    <t xml:space="preserve">Llevar a un 100% la implementación de las leyes 1712 de 2014 (Ley de Transparencia y del Derecho de Acceso a la Información Pública) y 1474 de 2011 </t>
  </si>
  <si>
    <t>Implementar el 100% de plan de acción para la transparencia y las comunicaciones.</t>
  </si>
  <si>
    <t>0311-Personal Contratado para Apoyar y Fortalecer las Labores Administrativas de la Entidad</t>
  </si>
  <si>
    <t>2.1.03.01.05.03.01.01.98 A Otras Entidades No Financieras Municipales y/o Distritales no consideradas Empresas</t>
  </si>
  <si>
    <t>A.17.1</t>
  </si>
  <si>
    <t>Prestación de servicios profesionales en la Oficina Asesora de Comunicaciones en la estructuración y seguimiento de las relaciones institucionales, conforme al Decreto 190 de 2010, Decreto 006 de 2009 y Decreto 197 de 2014,  garantizando el fortalecimiento de la entidad con los diversos grupos de interés.</t>
  </si>
  <si>
    <t>CONTRATO DE PRESTACION DE SERVICIOS PROFESIONALES</t>
  </si>
  <si>
    <t>TRA-001</t>
  </si>
  <si>
    <t>IVAN RODRIGO ROJAS ARBOLEDA</t>
  </si>
  <si>
    <t>943-2</t>
  </si>
  <si>
    <t xml:space="preserve">Prestación de servicios profesionales en la Oficina Asesora de Comunicaciones en la pre produccion, produccion y post producción de contenidos audivisuales (Audio y Video), realización fotográfica y demás necesidades de caracter visual para multiples plataformas, conforme al plan estratégico de la Caja de la Vivienda Popular. </t>
  </si>
  <si>
    <t>TRA-002</t>
  </si>
  <si>
    <t>JUAN FERNANDO BETANCOURT FRANCO</t>
  </si>
  <si>
    <t>Juan fernando betacour</t>
  </si>
  <si>
    <t>943-3</t>
  </si>
  <si>
    <t>Prestación de servicios profesionales en la Oficina Asesora de Comunicaciones en la planeación, creación y presentación de contenidos institucionales para los canales de comunicación interna, conforme al plan estratégico de comunicaciones de la Caja de la Vivienda Popular, cumpliendo con los parámetros de Ley 1712 de 2014 y el manual de imagen de "Bogotá mejor para todos"</t>
  </si>
  <si>
    <t>TRA-003</t>
  </si>
  <si>
    <t>ROBERT  URREGO RAMOS</t>
  </si>
  <si>
    <t>Robert Urrego</t>
  </si>
  <si>
    <t>943-4</t>
  </si>
  <si>
    <t>Implementar el 100%  del plan de acción de Servicio  a la Ciudadanía</t>
  </si>
  <si>
    <t>Prestación de servicios profesionales para la elaboración de Diseño Gráfico,  visualizaciones urbanísticas y arquitectónicas en video (Render), y demás requeridas para la promoción de los proyectos de la Caja de la Vivienda Popular, con el fin de documentar la Estrategia de comunicaciones, bajo la guía de imagen distrital.</t>
  </si>
  <si>
    <t>TRA-004</t>
  </si>
  <si>
    <t>JULIO ANDRES CENDALES MORA</t>
  </si>
  <si>
    <t>Julio Cendales</t>
  </si>
  <si>
    <t>943-5</t>
  </si>
  <si>
    <t>Prestación de servicios profesionales en la Oficina Asesora de Comunicaciones de la Caja de la Vivienda Popular en el seguimiento y puesta en marcha de las estrategias que permitan el cumplimiento de la Ley 1712 de 2014, conforme a los planes de acción y bajo los principios de  divulgación proactiva y rendición de cuentas permanente</t>
  </si>
  <si>
    <t>TRA-005</t>
  </si>
  <si>
    <t>JOHANA PATRICIA REYES MARCIALES</t>
  </si>
  <si>
    <t>Johana Reyes</t>
  </si>
  <si>
    <t>943-6</t>
  </si>
  <si>
    <t>Prestación de servicios profesionales en la Oficina Asesora de Comunicaciones para la  creación  de contenidos de divulgación en medios digitales sobre la gestión de la Caja de la Vivienda Popular, garantizando la  efectividad en los canales de información, redes sociales y otros mecanismos de interacción con la ciudadanía.</t>
  </si>
  <si>
    <t>TRA-006</t>
  </si>
  <si>
    <t>JUAN PABLO BOTERO ARAGON</t>
  </si>
  <si>
    <t>Juan Botero</t>
  </si>
  <si>
    <t>943-7</t>
  </si>
  <si>
    <t xml:space="preserve">Prestación de servicios profesionales para el apoyo de  la estrategia de comunicación externa, relaciones públicas y gestión de medios - Free Press de la Caja de la Vivienda Popular, garantizando la efectividad en medios masivos locales, regionales y nacionales. </t>
  </si>
  <si>
    <t>TRA-007</t>
  </si>
  <si>
    <t>EDNA MARGARITA GONZALEZ ARANA</t>
  </si>
  <si>
    <t>Edna Gonzalez</t>
  </si>
  <si>
    <t>943-8</t>
  </si>
  <si>
    <t>Prestación de servicios profesionales para apoyar el fortalecimiento de las plataformas tecnológicas de administración web e intranet de la Caja de la Vivienda Popular, en el desarrollo de componentes que permitan crear soluciones con nuevas funcionalidades, cumpliendo con los estándares establecidos por Gobierno en Línea y la ley 1712 de 2014.
Prestación de servicios profesionales para apoyar el fortalecimiento de las plataformas tecnológicas de administración web e intranet de la Caja de la Vivienda Popular, en el desarrollo de componentes que permitan crear soluciones con nuevas funcionalidades, cumpliendo con los estándares establecidos por Gobierno en Línea y la ley 1712 de 2014.</t>
  </si>
  <si>
    <t>TRA-008</t>
  </si>
  <si>
    <t>DIEGO ALEJANDRO RINCON PEREZ</t>
  </si>
  <si>
    <t>943-9</t>
  </si>
  <si>
    <t>Prestación de servicios de apoyo a la gestión, en la atención al servicio al ciudadano, teniendo en cuenta los protocolos, procedimientos y lineamientos establecidos por la CVP.</t>
  </si>
  <si>
    <t>CONTRATO DE PRESTACION DE SERVICIOS DE APOYO A LA GESTION</t>
  </si>
  <si>
    <t>TRA-009</t>
  </si>
  <si>
    <t>ALVARO  DAVILA REMOLINA</t>
  </si>
  <si>
    <t>943-10</t>
  </si>
  <si>
    <t>01-Gastos Operativos</t>
  </si>
  <si>
    <t>0754-Actividades para el fortalecimiento de estratégias de comunicación.</t>
  </si>
  <si>
    <t>Contratar los servicios de un operador logístico para que lleve a cabo la organización, administración y realización de actividades y estrategias necesarios para la promoción de los programas y servicios prestados por la Caja de la Vivienda Popular, así como el cimplimiento y socialización de las metas misionales de la entidad.</t>
  </si>
  <si>
    <t xml:space="preserve">CONTRATO DE PRESTACION DE SERVICIOS </t>
  </si>
  <si>
    <t>Licitacion pública</t>
  </si>
  <si>
    <t>TRA-012</t>
  </si>
  <si>
    <t>943-11</t>
  </si>
  <si>
    <t>Prestar los servicios de divulgación y ejecución de una estrategia de comunicación en los diferentes canales de información masiva, que realice la promoción de cada una de las direcciones misionales de la Caja de la Vivienda Popular, con el fin de dar a conocer los proyectos de la entidad con los sectores objeto de intervención.</t>
  </si>
  <si>
    <t>TRA-013</t>
  </si>
  <si>
    <t>17//09/2018</t>
  </si>
  <si>
    <t>943-12</t>
  </si>
  <si>
    <t>Prestar los servicios profesionales a la Oficina Asesora de Comunicaciones como apoyo en la conceptualización y desarrollo de campañas de comunicación conforme al Plan Estratégico de Comunicaciones de la entidad.</t>
  </si>
  <si>
    <t>TRA-010</t>
  </si>
  <si>
    <t>JOHNNY ALEXANDER RADA ESTEBAN</t>
  </si>
  <si>
    <t>disponible DGC</t>
  </si>
  <si>
    <t>943-13</t>
  </si>
  <si>
    <t>TRA-011</t>
  </si>
  <si>
    <t>MORENO FLOREZ MARIA ANDREA</t>
  </si>
  <si>
    <t>1174-1</t>
  </si>
  <si>
    <t>1174-Fortalecimiento de las tecnologías de información y la comunicación.</t>
  </si>
  <si>
    <t>Optimizar Sistemas de información para optimizar la gestión (hadware y software)</t>
  </si>
  <si>
    <t xml:space="preserve">Implementar el 100% del plan de acción para el mejoramiento de los sistemas de información . </t>
  </si>
  <si>
    <t>2.1.03.01.05.03.01.01.98 
A Otras Entidades No Financieras Municipales y/o Distritales no consideradas Empresas</t>
  </si>
  <si>
    <t xml:space="preserve">Prestar los servicios profesionales para la construcción y soporte sobre procesos de sistemas de información de la Caja de la Vivienda Popular </t>
  </si>
  <si>
    <t>TIC-001</t>
  </si>
  <si>
    <t>JORGE HUMBERTO PINILLA RAMIREZ</t>
  </si>
  <si>
    <t>1174-2</t>
  </si>
  <si>
    <t>Prestar los servicios profesionales para realizar el soporte, mantenimiento y desarrollo de los aplicativos PERNO de Si-Capital y Desprendibles de Pago para la Caja de la Vivienda Popular</t>
  </si>
  <si>
    <t>TIC-002</t>
  </si>
  <si>
    <t>ESTHER LIGIA VILLARRAGA CIFUENTES</t>
  </si>
  <si>
    <t>1174-3</t>
  </si>
  <si>
    <t>Prestar los servicios profesionales para realizar el soporte, mantenimiento y desarrollo de los aplicativos LIMAY, PAC, OPGET, PREDIS Y CORDIS de Si-Capital para la Caja de la Vivienda Popular.</t>
  </si>
  <si>
    <t>TIC-003</t>
  </si>
  <si>
    <t>LUZ MARINA CHARRY LARA</t>
  </si>
  <si>
    <t>1174-4</t>
  </si>
  <si>
    <t>Prestar los servicios profesionales en la ejecución de actividades de apoyo en la administración de los servicios tecnológicos y  en la implementación del proceso de gestión de TIC en el sistema integrado de gestión, para la oficina TIC de la caja de la vivienda popular</t>
  </si>
  <si>
    <t>TIC-004</t>
  </si>
  <si>
    <t>OSCAR JAVIER ORDUZ GALVIS</t>
  </si>
  <si>
    <t>1174-5</t>
  </si>
  <si>
    <t>Prestar los servicios de apoyo técnico para el soporte y mantenimiento tanto preventivo como correctivo de hardware, software y redes, así como soporte técnico presencial de requerimientos tecnológicos para la Caja de la Vivienda Popular.</t>
  </si>
  <si>
    <t>CONTRATO PRESTACION DE SERVICIOS DE APOYO A LA GESTION</t>
  </si>
  <si>
    <t>TIC-013</t>
  </si>
  <si>
    <t xml:space="preserve"> Se traslada por solictud mediante Ofi. IE353 la suma de $18.297.950 </t>
  </si>
  <si>
    <t>CESAR IVAN QUINTERO GARZON</t>
  </si>
  <si>
    <t>1174-6</t>
  </si>
  <si>
    <t>Prestar los servicios profesionales en el proceso de desarrollo del software utilizado por la entidad, implementando herramientas para optimizar los tiempos, recursos y suministros de información oportuna y veraz a las distintas dependencias, como apoyo a la Oficina TIC de la Caja de la Vivienda Popular.</t>
  </si>
  <si>
    <t>TIC-006</t>
  </si>
  <si>
    <t>HERNAN MAURICIO RINCON BEDOYA</t>
  </si>
  <si>
    <t>1174-7</t>
  </si>
  <si>
    <t>Prestar los servicios profesionales especializados de apoyo en actividades de Administración de bases de datos institucionales y de gestión de la información misional de la entidad, para la Oficina TIC de la Caja de la Vivienda Popular</t>
  </si>
  <si>
    <t>TIC-007</t>
  </si>
  <si>
    <t>LUIS ALEXANDER JIMENEZ ALVARADO</t>
  </si>
  <si>
    <t>1174-8</t>
  </si>
  <si>
    <t>Prestar los servicios profesionales en la ejecución de actividades de apoyo en procesos contractuales, gestión de soluciones y trámites en general que se encuentran a cargo de la Oficina TIC para la Caja de la Vivienda Popular</t>
  </si>
  <si>
    <t>TIC-008</t>
  </si>
  <si>
    <t>JAIRO  REMOLINA PEÑALOSA</t>
  </si>
  <si>
    <t>1174-9</t>
  </si>
  <si>
    <t>Prestar los servicios de apoyo técnico para la administración de servidores de aplicación, servidores de información misional y de gestión de la entidad, así como soporte en las redes de comunicación para la Caja de la Vivienda Popular</t>
  </si>
  <si>
    <t>TIC-014</t>
  </si>
  <si>
    <t xml:space="preserve"> Se traslada por solictud mediante Ofi. IE353 la suma de $15.858.223</t>
  </si>
  <si>
    <t>NEPHI ESTEBAN OLIVEROS DEDERLE</t>
  </si>
  <si>
    <t>1174-10</t>
  </si>
  <si>
    <t>Prestar los servicios especializados para la coordinación técnica, identificación, depuración, actualización y unificación de la información de los sistemas misionales de la entidad, así como la definición de lineamientos de arquitectura de software para la Caja de la Vivienda Popular</t>
  </si>
  <si>
    <t>TIC-010</t>
  </si>
  <si>
    <t>WILSON  MOLANO FERNANDEZ</t>
  </si>
  <si>
    <t>1174-11</t>
  </si>
  <si>
    <t>TIC-011</t>
  </si>
  <si>
    <t>1174-12</t>
  </si>
  <si>
    <t>Prestar los servicios profesionales para apoyar a la oficina TIC en el desarrollo de actividades de administración de la infraestructura tecnológica, seguridad de la información y redes de comunicación para la Caja de la Vivienda Popular</t>
  </si>
  <si>
    <t>1174-13</t>
  </si>
  <si>
    <t>05-Administración, control y organización institucional</t>
  </si>
  <si>
    <t>02- Administración, control y organización institucional para apoyo a la gestión del distrito</t>
  </si>
  <si>
    <t>0141-Otros gastos Administración, control y organización institucional para apoyo de gestión del estado</t>
  </si>
  <si>
    <t>81112000                                                81112100</t>
  </si>
  <si>
    <t>A.7.3</t>
  </si>
  <si>
    <t>Adición y prorroga al contrato 589 de 2017 cuyo objeto es "Contratar servicios de DataCenter externo para alojar sistemas de información institucional, así como canales de comunicación de datos e Internet para la sede principal y para las oficinas externas de la Caja de la Vivienda Popular."</t>
  </si>
  <si>
    <t>Contrato Interadministrativo</t>
  </si>
  <si>
    <t>TIC-030</t>
  </si>
  <si>
    <t xml:space="preserve"> Se traslada por solictud mediante Ofi. IE353 la suma de $177.905.000  de la linea No. 13 y se crea linea nueva</t>
  </si>
  <si>
    <t>1174-14</t>
  </si>
  <si>
    <t xml:space="preserve">Fortalecimiento de los Sistemas de información misional  y  de gestión documental de la Caja de Vivienda Popular. </t>
  </si>
  <si>
    <t>Contrato de prestación de servicios</t>
  </si>
  <si>
    <t>1174-15</t>
  </si>
  <si>
    <t xml:space="preserve">Prestar los servicios informáticos y de telecomunicación a través de la línea 195, con el fin de realizar convocatorias a la ciudadanía de conformidad con los requerimientos señalados por la Caja de la Vivienda Popular, en desarrollo de sus programas y proyectos. </t>
  </si>
  <si>
    <t>1174-16</t>
  </si>
  <si>
    <t>01-Adquisición y/o Producción de Equipos, Materiales, Suministros y Servicios Propios del Sector</t>
  </si>
  <si>
    <t>0366-Adquisición de Equipos, Materiales y Suministros, Software y Otros Servicios para el Fortalecimiento Institucional</t>
  </si>
  <si>
    <t>Adición al contrato 532 de 2017 cuyo objeto es "Prestar el servicio de mantenimiento preventivo y correctivo del sistema de aire  acondicionado tipo mini-Split ubicado en el centro de cómputo de la Caja de la Vivienda Popular"</t>
  </si>
  <si>
    <t>Selección de Minima cuantía</t>
  </si>
  <si>
    <t>1174-17</t>
  </si>
  <si>
    <t>Soporte Mantenimiento y Actualización de Licenciamiento. (Antivirus,  Autocad, 3D Max, Etabs, Adobe Cloude, Carteleras Digitales, ArcGis, CellyCript, Microsoft Office, Windows Server)</t>
  </si>
  <si>
    <t>MAYO</t>
  </si>
  <si>
    <t>1174-18</t>
  </si>
  <si>
    <t>Contratar el servicio de mantenimiento preventivo y correctivo para los equipos de cómputo, servidores, impresoras y escaner de propiedad de la Caja de la Vivienda Popular.</t>
  </si>
  <si>
    <t xml:space="preserve">Selección Abreviada </t>
  </si>
  <si>
    <t>1174-19</t>
  </si>
  <si>
    <t>Contratar la prestación de los servicios de instalación, montaje, desmontaje y mantenimiento de cableado estructurado, de acuerdo con las necesidades establecidas por la Caja de Vivienda Popular.</t>
  </si>
  <si>
    <t>Suministro</t>
  </si>
  <si>
    <t>Selección Abreviada Subasta Inversa</t>
  </si>
  <si>
    <t>TIC-029</t>
  </si>
  <si>
    <t>Traslado de lineas  25,26,27,33,36,38,39,40,41</t>
  </si>
  <si>
    <t>1174-20</t>
  </si>
  <si>
    <t>Contratar el servicio de extensión de garantia con repuestos y soporte técnico para el sistema de telefonia corporativa voz/IP de la CVP conforme a las especificaciones ténicas definidas.</t>
  </si>
  <si>
    <t>1174-21</t>
  </si>
  <si>
    <t>Arrendar Equipos Tecnológicos y Periféricos - ETP, de acuerdo a las especificaciones técnicas del Anexo Técnico establecidos conforme a las necesidades de la Caja de la Vivienda Popular.</t>
  </si>
  <si>
    <t> Selección abreviada para la adquisición de bienes y servicio de características técnicas uniformes por compra por catálogo derivado de la celebración de acuerdos marco de precios.</t>
  </si>
  <si>
    <t>TIC-017</t>
  </si>
  <si>
    <t xml:space="preserve">Mediante Ofi. 2018IE1126 solictan que se disminuya la linea 21 y se cree nueva linea , crea la linea 29 por valor de $ 62.302.353,  Se traslada por solictud mediante Ofi. IE6226 la suma de $92,303,874  de la linea No. 21 a la linea No. 26 y se expide viabilidad.
  </t>
  </si>
  <si>
    <t>COMPUTEL SYSTEM SAS</t>
  </si>
  <si>
    <t>1174-22</t>
  </si>
  <si>
    <t>03-Recursos Administrados 490-Rendimientos Financieros de Libre Destinación</t>
  </si>
  <si>
    <t>490-Rendimientos
Financieros de Libre
Destinación</t>
  </si>
  <si>
    <t>1174-23</t>
  </si>
  <si>
    <t>03-Recursos Administrados 21-Administrados de Libre Destinación</t>
  </si>
  <si>
    <t>21-Administrados de Libre Destinación</t>
  </si>
  <si>
    <t>1174-24</t>
  </si>
  <si>
    <t>Contratar el servicio de mantenimiento preventivo y correctivo para los UPS de propiedad de la Caja de la Vivienda Popular.</t>
  </si>
  <si>
    <t>1174-25</t>
  </si>
  <si>
    <t>Adquirir a Titulo de compra-venta, equipos portátiles para la Caja de la Vivienda Popular, de acuerdo a caracteríticas y  cantidades descritas en el documento Anexo Técnico.</t>
  </si>
  <si>
    <t>compra venta</t>
  </si>
  <si>
    <t>TIC-023</t>
  </si>
  <si>
    <t>UT   CCE   TECNOLOGICO</t>
  </si>
  <si>
    <t>1174-26</t>
  </si>
  <si>
    <t>Adquisición de buzones de correo electrónico y herramientas de colaboración sobre la plataforma Google por medio del Licenciamiento G Suite para la Caja de la Vivienda Popular</t>
  </si>
  <si>
    <t>TIC-022</t>
  </si>
  <si>
    <t xml:space="preserve"> Se traslada por solictud mediante Ofi. IE6226 la suma de $92,303,874  de la linea No. 21 a la linea No. 26 y se expide viabilidad por $ 25.1903.874 millones .</t>
  </si>
  <si>
    <t>EFORCERS S.A.</t>
  </si>
  <si>
    <t>1174-27</t>
  </si>
  <si>
    <t>SUMINISTRO DE TONNER, CINTAS Y DEMÁS ELEMENTOS REQUERIDOS PARA EQUIPOS DE IMPRESIÓN DE LA CAJA DE LA VIVIENDA POPULAR</t>
  </si>
  <si>
    <t>TIC-026</t>
  </si>
  <si>
    <t>1174-28</t>
  </si>
  <si>
    <t xml:space="preserve">Prestar los servicios profesionales especializados para la oficina de las Tecnologías de la Información y las Comunicaciones de la Caja de la Vivienda Popular, para realizar el acompañamiento, seguimiento, monitoreo y control a la actualización, soporte y mantenimiento de un sistema ERP, permitiendo con ello la integración y unificación de procesos y procedimientos desarrollados por las diferentes áreas de la Entidad. 
</t>
  </si>
  <si>
    <t>Contratacion Directa</t>
  </si>
  <si>
    <t>TIC-015</t>
  </si>
  <si>
    <t>IVAN DARIO CORTES WILCHES</t>
  </si>
  <si>
    <t>1174-29</t>
  </si>
  <si>
    <t>Adición al contrato 327 de 2017, cuyo objeto es: Contratar el arrendamiento de equipos tecnológicos y periféricos con destino a las diferentes dependencias de la Caja de la Vivienda Popular. </t>
  </si>
  <si>
    <t>TIC-016</t>
  </si>
  <si>
    <t xml:space="preserve">Mediante Ofi. 2018IE1126 solictan que se disminuya la linea 21 y se cree nueva linea , crea la linea 29 por valor de $ 62.302.353  </t>
  </si>
  <si>
    <t>PC COM S A</t>
  </si>
  <si>
    <t>1174-30</t>
  </si>
  <si>
    <t xml:space="preserve">Adquirir a Titulo de compra-venta, Equipos de Escritorios, de acuerdo a las especificaciones técnicas del Anexo Técnico establecidos conforme a las necesidades de la Caja de la Vivienda Popular
</t>
  </si>
  <si>
    <t>TIC-018</t>
  </si>
  <si>
    <t>Solicitud de viabilidad mediante oficio 2018IE3509 de marzo 6 de 2018</t>
  </si>
  <si>
    <t>COLOMBIANA DE SOFTWARE Y HARDWARE COLSOF S A</t>
  </si>
  <si>
    <t>1174-31</t>
  </si>
  <si>
    <t>TIC-019 anulada</t>
  </si>
  <si>
    <t xml:space="preserve">Solicitud de viabilidad mediante oficio 2018IE3989 </t>
  </si>
  <si>
    <t>1174-32</t>
  </si>
  <si>
    <t>Adición y prorroga al contrato 562 de 2017 cuyo objeto es "Entregar en calidad de arrendamiento una (1) unidad de un Sistema de Alimentación Ininterrumpida (UPS), para la Caja de la Vivienda Popular, de conformidad con las especificaciones definidas en los documentos de estudios previos y anexo técnico."</t>
  </si>
  <si>
    <t>Arrendamiento</t>
  </si>
  <si>
    <t>2,5</t>
  </si>
  <si>
    <t>TIC-020</t>
  </si>
  <si>
    <t xml:space="preserve">Mediante Ofi. 2018IE5064 solictan que se disminuya la linea 24 y se cree nueva linea , crea la linea 32 por valor de $ 2.511.218  </t>
  </si>
  <si>
    <t>SISELCOM SISTEMAS ELECTRICOS Y DE COMUNICACIONES SAS</t>
  </si>
  <si>
    <t>1174-33</t>
  </si>
  <si>
    <t>Adquirir el licenciamiento de Microsoft Office Profesional para uso de la Caja de la Vivienda Popular.</t>
  </si>
  <si>
    <t>mayo</t>
  </si>
  <si>
    <t>TIC-021</t>
  </si>
  <si>
    <t>UT SOFT  IG</t>
  </si>
  <si>
    <t>1174-34</t>
  </si>
  <si>
    <t>TRASLADO A PASIVOS EXIGIBLES</t>
  </si>
  <si>
    <t>1174-35</t>
  </si>
  <si>
    <t>Adición al contrato 666 de 2017 cuyo objeto es "Adquisición de la suscripción de licenciamiento para el software autodesk (autocad, autocad civil 3d y 3ds max) última versión, para uso de la caja de vivienda popular, según especificaciones y cantidades descritas en el anexo técnico."</t>
  </si>
  <si>
    <t xml:space="preserve">ADQUISICIÓN </t>
  </si>
  <si>
    <t>TIC-024 - ANULADA</t>
  </si>
  <si>
    <t>1174-36</t>
  </si>
  <si>
    <t>Adquirir licenciamiento del software ETABS PLUS - NETWORK ULTIMA VERSION, para diseño estructural para uso de la Dirección de Mejoramiento de Vivienda de la Caja de la Vivienda Popular</t>
  </si>
  <si>
    <t>1174-37</t>
  </si>
  <si>
    <t>Adquisición de licenciamiento de Adove Creative Cloud para la generación de piezas comunicativas para uso de la Caja de la Vivienda Popular</t>
  </si>
  <si>
    <t>1174-38</t>
  </si>
  <si>
    <t>Adquisición de licenciamiento cellcrypt enterprise mobile app para la Caja de la Vivienda Popular</t>
  </si>
  <si>
    <t>1174-39</t>
  </si>
  <si>
    <t>Renovación y actualización de licenciamiento para windows server</t>
  </si>
  <si>
    <t>1174-40</t>
  </si>
  <si>
    <t>Renovar el licenciamiento de software Arcview Gis (ARCGIS) para la Caja de la Vivienda Popular</t>
  </si>
  <si>
    <t>Traslado a linea 41 $ 376590</t>
  </si>
  <si>
    <t>1174-41</t>
  </si>
  <si>
    <t>Adición y prorroga al contrato 651 de 2017 cuyo objeto es "Adquirir la renovación del licenciamiento Antivirus ESET ENDPOINT PROTECTION ADVANCED, incluyendo el componente de Seguridad Informatica para prevención de fuga de información, con las condiciones descritas en el documento de estudios previos y anexo técnico."</t>
  </si>
  <si>
    <t>TIC-028</t>
  </si>
  <si>
    <t>Traslado de linea 41 $ 376590</t>
  </si>
  <si>
    <t>1174-42</t>
  </si>
  <si>
    <t>Prestar los servicios de apoyo técnico para la gestión de la oficina tic, en la solución de requerimientos de servicios tecnológicos y soporte técnico presencial para la caja de la vivienda popular</t>
  </si>
  <si>
    <t>TIC-025</t>
  </si>
  <si>
    <t>LUIS GABRIEL BAREÑO ROMERO</t>
  </si>
  <si>
    <t>1174-43</t>
  </si>
  <si>
    <t>Adicción y prórroga al contrato 419 de 2018 cuyo objeto es: “Prestar los servicios profesionales para realizar el soporte, mantenimiento y desarrollo de los aplicativos PERNO de Si-Capital y desprendibles de pago para la Caja de la Vivienda Popular”</t>
  </si>
  <si>
    <t>TIC-031</t>
  </si>
  <si>
    <t>1174-44</t>
  </si>
  <si>
    <t>Adición y prorroga al contrato 714 de 2017 cuyo objeto es "Adquisición del servicio, instalación y puesta en funcionamiento de un Canal de Internet alterno para la Caja de la Vivienda Popular, de conformidad con las características del anexo técnico"</t>
  </si>
  <si>
    <t xml:space="preserve">Minima cuantia  </t>
  </si>
  <si>
    <t>TIC-032</t>
  </si>
  <si>
    <t>Traslado de linea 40 $ 11.666.801</t>
  </si>
  <si>
    <t>1174-45</t>
  </si>
  <si>
    <t>Adición y prorroga al contrato 579 de 2017 cuyo objeto es "Renovar el licenciamiento del sofware Arcview GIS (ArcGIS) para la Caja de la Vivienda Popular"</t>
  </si>
  <si>
    <t>ORDEN DE COMPRA</t>
  </si>
  <si>
    <t>Selección abreviada para la adquisición de bienes y servicio de características técnicas uniformes por compra por catálogo derivado de la celebración de acuerdos marco de precios.</t>
  </si>
  <si>
    <t>TIC-033</t>
  </si>
  <si>
    <t>Traslado de linea 40 $ 47.678.275</t>
  </si>
  <si>
    <t>ESRI COLOMBIA SAS</t>
  </si>
  <si>
    <t>1174-46</t>
  </si>
  <si>
    <t>ENTREGAR EN CALIDAD DE ARRENDAMIENTO UNA (1) UNIDAD DE UN SISTEMA DE ALIMENTACIÓN ININTERRUMPIDA (UPS), PARA LA CAJA DE LA VIVIENDA
POPULAR, DE CONFORMIDAD CON LAS ESPECIFICACIONES DEFINIDAS EN LOS DOCUMENTOS DE ESTUDIOS PREVIOS Y ANEXO TÉCNICO.</t>
  </si>
  <si>
    <t>arrendamiento</t>
  </si>
  <si>
    <t>TIC-034</t>
  </si>
  <si>
    <t>Traslado a linea 40 $ 8339121</t>
  </si>
  <si>
    <t>1174-47</t>
  </si>
  <si>
    <t xml:space="preserve">Adición al contrato 430 de 2018 cuyo objeto es “ Arrendar Equipos Tecnológicos y Periféricos  - ETP, de acuerdo a las especificaciones técnicas del Anexo técnico establecido conforme a las necesidades de la caja de la Vivienda Popular”. </t>
  </si>
  <si>
    <t>TIC-035</t>
  </si>
  <si>
    <t>Traslado a linea 40 $ 12,737,773</t>
  </si>
  <si>
    <t>3075-Reasentamiento de hogares localizados en zonas de alto riesgo no mitigable</t>
  </si>
  <si>
    <t>Reasentar a 4000 familias localizadas en zonas de riesgo no mitigable</t>
  </si>
  <si>
    <t>01 - Reasentar 4000 hogares localizados en zonas de alto riesgo no mitigable</t>
  </si>
  <si>
    <t>02 - Dotación</t>
  </si>
  <si>
    <t>01 - Adquisición y/o produccion de equipos, materiales, suministros y servicios propios del sector</t>
  </si>
  <si>
    <t>0754 - Actividades para el fortalecimiento de estrategias de comunicación</t>
  </si>
  <si>
    <t>01 - Recursos del Distrito</t>
  </si>
  <si>
    <t>12 - Otros distrito</t>
  </si>
  <si>
    <t>2.1.03.01.05.03.01.01.98
A Otras Entidades No Financieras Municipales y/o Distritales no consideradas Empresas</t>
  </si>
  <si>
    <t>A.17.1 - Procesos integrales de evaluación institucional y reorganización administrativa</t>
  </si>
  <si>
    <t>Contratar los servicios de un operador logístico para que lleve a cabo la organización, administración y realización de actividades y estratégias necesarios para la promoción de los programas y servicios prestados por la Caja de la Vivienda Popular, así como el cumplimiento y socialización de las metas misionales de la entidad.</t>
  </si>
  <si>
    <t>LICITACION PUBLICA</t>
  </si>
  <si>
    <t>REAS-469</t>
  </si>
  <si>
    <t>3075-2</t>
  </si>
  <si>
    <t>DIRECCION DE REASENTAMIENTOS</t>
  </si>
  <si>
    <t>02 Modificación de la Linea</t>
  </si>
  <si>
    <t>03 Eliminación de la Linea</t>
  </si>
  <si>
    <t xml:space="preserve">03 - Recurso Humano </t>
  </si>
  <si>
    <t>04 - Gastos de personal operativo</t>
  </si>
  <si>
    <t>0312 - Personal contratado para apoyar las actividades propias de los proyectos de inversión misionales de la entidad</t>
  </si>
  <si>
    <t>A.7.3 - 
planes y proyectos de mejoramiento de vivienda y saneamiento básico</t>
  </si>
  <si>
    <t>Contratación de Personal</t>
  </si>
  <si>
    <t>CONTRATACION DIRECTA</t>
  </si>
  <si>
    <t>OCTUBRE</t>
  </si>
  <si>
    <t>05 - Adquirir 370 Predios en Alto Riesgo</t>
  </si>
  <si>
    <t>01 - Infraestructura</t>
  </si>
  <si>
    <t>02 - Adquisición de Infrasestructura Propia del sector</t>
  </si>
  <si>
    <t>0027 - Aquisición de predios</t>
  </si>
  <si>
    <t>A.7.6 - 
subsidios para reubicación de viviendas asentadas en zonas alto riesgo</t>
  </si>
  <si>
    <t>Adquisición predial por Decreto 511 de 2010. LOCALIDAD: CIUDAD BOLIVAR; BARRIO: PARAISO QUIBA; ID:2013-Q04-00540</t>
  </si>
  <si>
    <t>RESOLUCION</t>
  </si>
  <si>
    <t>REAS-378</t>
  </si>
  <si>
    <t>SANTIAGO ELIAS CARDONA LOMDOÑO</t>
  </si>
  <si>
    <t>02 - Asignar 1428 Valor Único de Reconocimiento -VUR</t>
  </si>
  <si>
    <t>06 - Subsidios y Operaciones Financieras</t>
  </si>
  <si>
    <t>02 - Subsidios Directos</t>
  </si>
  <si>
    <t>0029 - VUR para reasentamientos de Hogares Localizados en zonas de alto riesgo no mitigable</t>
  </si>
  <si>
    <t>265 - Recursos de Balance Plusvalía</t>
  </si>
  <si>
    <t>VUR de la actual vigencia. Decreto 255 de 2013. LOCALIDAD: CIUDAD BOLIVAR; BARRIO: PARAISO QUIBA; ID: 2015-Q04-03677</t>
  </si>
  <si>
    <t>REAS-352</t>
  </si>
  <si>
    <t>MARIA CECILIA BERNAL</t>
  </si>
  <si>
    <t>41 - Plusvalia</t>
  </si>
  <si>
    <t>VUR de la actual vigencia. Decreto 255 de 2013. LOCALIDAD: SAN CRISTOBAL; BARRIO: LOS LIBERTADORES; ID: 2017-04-14979</t>
  </si>
  <si>
    <t>REAS-362</t>
  </si>
  <si>
    <t>3075-339</t>
  </si>
  <si>
    <t>MIGUEL AUGUSTO BOBADILLA</t>
  </si>
  <si>
    <t>Reajuste de VUR por avalúo comercial. Decreto 255 de 2013. LOCALIDAD: CIUDAD BOLIVAR; BARRIO: SAN REAFAEL; ID: 2013-Q21-00569</t>
  </si>
  <si>
    <t>REAS-422</t>
  </si>
  <si>
    <t>LUIS ERNESTO CURREA BRAVO</t>
  </si>
  <si>
    <t>Se reintegra saldo por disminución de valor en viabilidad de la linea 3075-411 (CORDIS 2018IE5467)
Se reintegra saldo por anulación de viabilidad REAS-183 de la linea 3075-221 (CORDIS 2018IE8529)</t>
  </si>
  <si>
    <t>03 - Recursos Administrados</t>
  </si>
  <si>
    <t>146 - Recursos del Balance de Libre Destinacion</t>
  </si>
  <si>
    <t>VUR de la actual vigencia. Decreto 255 de 2013. LOCALIDAD: CIUDAD BOLIVAR; BARRIO: SAN FRANCISCO; ID: 2018-Q03-15550</t>
  </si>
  <si>
    <t>REAS-415</t>
  </si>
  <si>
    <t>3075-348</t>
  </si>
  <si>
    <t>ANGIE MARCELA GONZALEZ SASTOQUE</t>
  </si>
  <si>
    <t>04 - Atender el 100% de las familias que se encuentran en relocalización transitoria</t>
  </si>
  <si>
    <t>0030 - Relocalización de hogares localizados en zonas de alto riesgo no mitigable</t>
  </si>
  <si>
    <t>A.12.4.2 - 
Reubicación de asentamientos humanos clasificados en condición de alto riesgo de desastre</t>
  </si>
  <si>
    <t>Ayuda temporal a las familias de varias localidades, para la relocalización de hogares localizados en zonas de alto riesgo no mitigable.</t>
  </si>
  <si>
    <t>REAS-162</t>
  </si>
  <si>
    <t>REGISTROS ADICIONALES</t>
  </si>
  <si>
    <t>04 - Investigacion y Estudios</t>
  </si>
  <si>
    <t>03 - Levantamiento y/o actualización de información</t>
  </si>
  <si>
    <t>0040 - Avalúo de Predios</t>
  </si>
  <si>
    <t>Realizar los avalúos comerciales y las tasaciones de daño emergente y lucro cesante de los predios que hacen parte de la acción popular 2009-0036 Sector “Perpetuo Socorro” Localidad 08-Kennedy.</t>
  </si>
  <si>
    <t>CONTRATOS INTERADMINISTRATIVOS</t>
  </si>
  <si>
    <t>JUNIO</t>
  </si>
  <si>
    <t>REAS-421</t>
  </si>
  <si>
    <t>3075-357
 3075-358
 3075-359
 3075-360
3075-361</t>
  </si>
  <si>
    <t>UNIDAD ADMINISTRATIVA ESPECIAL DE CATASTRO DISTRITAL</t>
  </si>
  <si>
    <t>TRASLADO ENTRE CONCEPTOS DE GASTO 0271 A 0040</t>
  </si>
  <si>
    <t xml:space="preserve">A.7.5 - Planes y proyectos para la adquisicón y/o construcción de vivienda
</t>
  </si>
  <si>
    <t xml:space="preserve">Pago de Nómina y Aportes Patronales de Funcionarios de Planta Temporal de la Dirección de Reasentamientos de la Caja de la Vivienda Popular </t>
  </si>
  <si>
    <t>RELACION DE AUTORIZACION</t>
  </si>
  <si>
    <t xml:space="preserve"> SEPTIEMBRE ($158.525.370)
 OCTUBRE ($158.525.370)
NOVIEMBRE ($158.525.370)
 DICIEMBRE ($647.526.163)</t>
  </si>
  <si>
    <t>REAS-181</t>
  </si>
  <si>
    <t>SOLICITUD PARA LIBERACION DE $ 200.000.000 (CORDIS 2018IE11632)</t>
  </si>
  <si>
    <t>Prestación de servicios de apoyo a la gestión en lo relacionado con los trámites requeridos para el manejo de archivo y gestión documental generado desde la Dirección de Reasentamientos de la Caja de la Vivienda Popular.</t>
  </si>
  <si>
    <t>REAS-023</t>
  </si>
  <si>
    <t>MIGUEL ANGEL GONZALEZ CAÑON</t>
  </si>
  <si>
    <t>Prestación de servicios profesionales para asesorar a la Dirección de Reasentamientos en la revisión y ajustes de procesos y procedimientos, que permitan la ejecución de los programas misionales en aplicación de los diferentes instrumentos establecidos en materia de Reasentamientos Humanos.</t>
  </si>
  <si>
    <t>REAS-006</t>
  </si>
  <si>
    <t>JORGE RENE MORA DIAZ</t>
  </si>
  <si>
    <t>Prestación de servicios profesionales para asesorar a la Dirección de Reasentamientos, en el desarrollo estratégico y de ejecución de acciones tendientes al cumplimiento de los objetivos del área misional, de conformidad con los procesos y procedimientos internos e institucionales</t>
  </si>
  <si>
    <t>REAS-095</t>
  </si>
  <si>
    <t>MARTHA HELENA CORREAL ISAZA</t>
  </si>
  <si>
    <t>"Prestación de servicios profesionales para apoyar la planificación, seguimiento y evaluación de los procesos y procedimientos de la Dirección de Reasentamientos, a través de las herramientas de seguimiento y gestión que posee la Caja de la Vivienda Popular</t>
  </si>
  <si>
    <t>REAS-094</t>
  </si>
  <si>
    <t>MARIAN GHERALDINE BERMUDEZ SOLANO</t>
  </si>
  <si>
    <t>Prestación de servicios profesionales en las actividades relacionadas con Planeación institucional y Sistema Integrado de Gestión de la Dirección de Reasentamientos, a través de las herramientas de seguimiento y gestión que posee la Caja de la Vivienda Popular</t>
  </si>
  <si>
    <t>REAS-073</t>
  </si>
  <si>
    <t>INGRID CATALINA GOMEZ OSSA</t>
  </si>
  <si>
    <t>Prestación de servicios profesionales, para asesorar a la Dirección de Reasentamientos de la Caja de la Vivienda Popular, desde el componente jurídico en la ejecución de las actuaciones propias del área misional, de conformidad con la normatividad vigente, así como los procesos y procedimientos internos e institucionales.</t>
  </si>
  <si>
    <t>REAS-008</t>
  </si>
  <si>
    <t>3075-60</t>
  </si>
  <si>
    <t>MADDY ANDREA ARIAS ROJAS</t>
  </si>
  <si>
    <t>Prestación de servicios profesionales brindando apoyo en los procedimientos a cargo de la Dirección de Reasentamiento para el cumplimiento de sus objetivos.</t>
  </si>
  <si>
    <t>REAS-058</t>
  </si>
  <si>
    <t>WILLIAM FERNANDO HURTADO FERNANDEZ</t>
  </si>
  <si>
    <t>Prestación de servicios profesionales en la Dirección de Reasentamientos de la Caja de la Vivienda Popular, apoyando la ejecución de las diferentes actividades relacionadas con el componente técnico del área misional.</t>
  </si>
  <si>
    <t>REAS-017</t>
  </si>
  <si>
    <t>CRISTIAM CAMILO MOLINA CESPEDES</t>
  </si>
  <si>
    <t>Prestación de servicios profesionales para apoyar la ejecución de actividades asociadas a los trámites requeridos para los pagos a realizar por la Dirección de Reasentamientos en ejecución de los contratos suscritos, y demás actividades que en materia contractual requiera el área misional.</t>
  </si>
  <si>
    <t>REAS-004</t>
  </si>
  <si>
    <t>EDNA MARGARITA SANCHEZ CARO</t>
  </si>
  <si>
    <t>Prestación de servicios de apoyo a la gestión para la ejecución de actividades a cargo del componente social y en especial lo relativo a la estrategia de Resiliencia y Sostenibilidad de la comunidad, en la Dirección de Reasentamientos de la caja de la Vivienda Popular</t>
  </si>
  <si>
    <t>REAS-049</t>
  </si>
  <si>
    <t>MARIA CLAUDIA MONTOYA SOTO</t>
  </si>
  <si>
    <t>Prestación de servicios de apoyo a la gestión en los procedimientos relacionados con el componente técnico del programa de Reasentamientos para el cumplimiento de sus metas</t>
  </si>
  <si>
    <t>REAS-043</t>
  </si>
  <si>
    <t>JUAN JAIRO HERRERA GUERRERO</t>
  </si>
  <si>
    <t>Prestación de servicios profesionales, en temas jurídicos relacionados con asuntos precontractuales, así como en los procesos y procedimientos establecidos frente a la ejecución del programa misional de la dirección de reasentamientos de la Caja de la vivienda popular.</t>
  </si>
  <si>
    <t>REAS-005</t>
  </si>
  <si>
    <t>ERICA KATHERINE GALLO HERNANDEZ</t>
  </si>
  <si>
    <t>Prestación de servicios profesionales, como apoyo jurídico en las actuaciones propias que requiera la Dirección de Reasentamientos de la Caja de la Vivienda Popular en la ejecución del programa de Reasentamientos</t>
  </si>
  <si>
    <t>REAS-063</t>
  </si>
  <si>
    <t>SANDRA JOHANA PAI GOMEZ</t>
  </si>
  <si>
    <t>Prestar sus servicios profesionales para apoyar los asuntos presupuestales, herramientas de gestión, seguimiento administrativo y financiero  a cargo de la Dirección de Reasentamientos.</t>
  </si>
  <si>
    <t>Prestar sus servicios profesionales brindando apoyo al seguimiento administrativo y financiero de los procedimientos de la Dirección de Reasentamientos de la Caja de la Vivienda Popular.</t>
  </si>
  <si>
    <t>REAS-083</t>
  </si>
  <si>
    <t>LINA MARIA SILVA CABRERA</t>
  </si>
  <si>
    <t>Prestación de servicios profesionales brindando apoyo contable frente al control presupuestal, cierre financiero de la vigencia 2018 y la programación presupuestal 2019 que coordina la Dirección de Reasentamientos de la Caja de la Vivienda Popular</t>
  </si>
  <si>
    <t>REAS-064</t>
  </si>
  <si>
    <t>CESAR AUGUSTO SABOGAL TARAZONA</t>
  </si>
  <si>
    <t>Prestación de servicios de apoyo a la gestión, para el acompañamiento técnico y operativo en los procedimientos a cargo de la Dirección de Reasentamiento en el cumplimiento de sus objetivos.</t>
  </si>
  <si>
    <t>REAS-046</t>
  </si>
  <si>
    <t>YONATHAN  APONTE GUTIERREZ</t>
  </si>
  <si>
    <t>Prestación de servicios profesionales en el componente social de la Dirección de Reasentamientos de la Caja de la Vivienda Popular para la ejecución de planes y programas agenciados por el área misional.</t>
  </si>
  <si>
    <t>REAS-170</t>
  </si>
  <si>
    <t>ESPERANZA  CAJIAO MOSQUERA</t>
  </si>
  <si>
    <t>Prestación de servicios de apoyo a la gestión en lo relacionado con los trámites requeridos para el manejo de archivo y gestión documental generado desde la Dirección de Reasentamientos de la Caja de la Vivienda Popular</t>
  </si>
  <si>
    <t>Prestar sus servicios de apoyo a la gestión en la Dirección de Reasentamientos, brindando acompañamiento al componente social desarrollado en el marco de las acciones misionales a cargo de la entidad.</t>
  </si>
  <si>
    <t>REAS-034</t>
  </si>
  <si>
    <t>NIXA ZAIRANDRHY VILLAMIZAR MESA</t>
  </si>
  <si>
    <t>Prestación de servicios de apoyo a la gestión en lo relacionado con el manejo de archivo y gestión documental generado desde la Dirección de Reasentamientos de la Caja de la Vivienda Popular.</t>
  </si>
  <si>
    <t>Prestación de servicios de apoyo a la gestión en los procedimientos relacionados con el componente técnico del programa de Reasentamientos para el cumplimiento de sus metas.</t>
  </si>
  <si>
    <t>REAS-041</t>
  </si>
  <si>
    <t>CRISTOPHER GIOVANNI CEBALLOS MEDINA</t>
  </si>
  <si>
    <t>REAS-009</t>
  </si>
  <si>
    <t>MARIA XIMENA AVILA ACOSTA</t>
  </si>
  <si>
    <t>REAS-022</t>
  </si>
  <si>
    <t>LUIS EDUARDO RODRIGUEZ RAMIREZ</t>
  </si>
  <si>
    <t>Prestación de servicios profesionales, para el apoyo al Subsistema Interno de Gestión Documental y Archivo (SIGA) de la Dirección de Reasentamientos, en lo relacionado con la gestión documental de conformidad con la normatividad establecida por el Archivo General de La Nación y el Archivo de Bogotá</t>
  </si>
  <si>
    <t>REAS-076</t>
  </si>
  <si>
    <t>JESUS EDUARDO RESTREPO CASTELLANOS</t>
  </si>
  <si>
    <t>Prestación de servicios profesionales en el componente social de la Dirección de Reasentamientos de la Caja de la Vivienda Popular, para la ejecución de planes y programas agenciados por el área misional.</t>
  </si>
  <si>
    <t>REAS-171</t>
  </si>
  <si>
    <t>EDNA GISELA GARCIA ROMERO</t>
  </si>
  <si>
    <t>Prestación de servicios profesionales, para el acompañamiento jurídico, en los procesos y procedimientos establecidos frente a la ejecución del programa misional de la Dirección de reasentamientos de la Caja de la Vivienda Popular y en especial frente al beneficio de relocalización transitoria</t>
  </si>
  <si>
    <t>REAS-002</t>
  </si>
  <si>
    <t>ANGELICA MARIA BARREIRO GARRIDO</t>
  </si>
  <si>
    <t>Prestar sus servicios profesionales de apoyo tecnico en la Dirección de Reasentamientos en lo relacionado con Gestión Inmobiliaria de proyectos</t>
  </si>
  <si>
    <t xml:space="preserve">Prestación de servicios profesionales, en materia jurídica a la Dirección de Reasentamientos de la Caja de la Vivienda Popular, para el adelantamiento de los procedimientos en virtud de los intereses de la entidad, de conformidad con las normas más elevadas de competencia, idoneidad e integridad ética y profesional. </t>
  </si>
  <si>
    <t>Prestación de servicios profesionales, en los componentes técnico y administrativo de los procedimientos de selección de vivienda y del proceso de Gestión Inmobiliaria, de la Dirección de Reasentamientos de la Caja de la Vivienda Popular</t>
  </si>
  <si>
    <t>REAS-098</t>
  </si>
  <si>
    <t>MONICA ANDREA ALVAREZ FERNANDEZ</t>
  </si>
  <si>
    <t>Prestación de servicios profesionales desde el componente jurídico, para realizar el seguimiento y control al cumplimiento de requisitos legales y reglamentarios, de las familias beneficiarias del programa de Reasentamientos de la Caja de la Vivienda Popular</t>
  </si>
  <si>
    <t>REAS-103</t>
  </si>
  <si>
    <t>YASMIN VIVIANA BELTRAN MARTINEZ</t>
  </si>
  <si>
    <t>Prestar sus servicios profesionales de apoyo a la gestión en la Dirección de Reasentamientos, en temas relacionados con el componente social apoyando procesos y procedimientos propios de la Dirección.</t>
  </si>
  <si>
    <t>Prestación de servicios profesionales, para el acompañamiento jurídico, en los procesos y procedimientos establecidos frente a la ejecución del programa misional de la Dirección de reasentamientos de la Caja de la Vivienda Popular.</t>
  </si>
  <si>
    <t>REAS-088</t>
  </si>
  <si>
    <t>MARCO ANTONIO AMADO VEGA</t>
  </si>
  <si>
    <t>03 - Lograr que 2012 hogares seleccionen vivienda</t>
  </si>
  <si>
    <t>Prestación de servicios profesionales desde el componente técnico en la Dirección de Reasentamientos de la Caja de la Vivienda Popular apoyando la definición, control y seguimiento de los procesos relacionados con Gestión Inmobiliaria</t>
  </si>
  <si>
    <t>REAS-092</t>
  </si>
  <si>
    <t>MARIA LORETA COIA BAENA</t>
  </si>
  <si>
    <t>Prestación de servicios profesionales en la Dirección de Reasentamientos de la Caja de la Vivienda Popular, apoyando la ejecución de las diferentes actividades relacionadas con el componente técnico del área misional</t>
  </si>
  <si>
    <t>REAS-097</t>
  </si>
  <si>
    <t>MIGUEL ANDRES ALFONSO ACOSTA</t>
  </si>
  <si>
    <t>Prestación de servicios profesionales para el acompañamiento y apoyo financiero respecto a la programación, control presupuestal y acciones a ejecutar en la implementación de una metodología tendiente al desarrollo integral de comunidades sostenibles de conformidad con la misionalidad de la Dirección de Reasentamientos de la Caja de la Vivienda Popular</t>
  </si>
  <si>
    <t>REAS-173</t>
  </si>
  <si>
    <t>3075-167</t>
  </si>
  <si>
    <t>ALEJANDRO  URIBE JIMENEZ</t>
  </si>
  <si>
    <t>Se retorna valor por anulación de la viabilidad 062 (CORDIS 2018IE279)</t>
  </si>
  <si>
    <t>Prestación de servicios profesionales para brindar apoyo en la implementación de la metodología de Desarrollo Integral de Comunidades Sostenibles de conformidad con la misionalidad de la Dirección de Reasentamientos de la Caja de la Vivienda Popular.</t>
  </si>
  <si>
    <t>REAS-087</t>
  </si>
  <si>
    <t>LUPIEN ROSENBERG ET ASSOCIES SAS</t>
  </si>
  <si>
    <t>Prestacion de servicios profesionales para apoyar a la Dirección de Reasentamientos en los procesos y procedimientos que se requieran para el cumplimiento de sus metas</t>
  </si>
  <si>
    <t>REAS-211</t>
  </si>
  <si>
    <t>JENNY CATALINA VILLARREAL OREJUELA</t>
  </si>
  <si>
    <t>REAS-101  ANULADA</t>
  </si>
  <si>
    <t>Prestar sus servicios profesionales como enlace entre la Dirección Técnica de Reasentamientos y La Dirección Jurídica, para el desarrollo de actividades jurídicas relacionadas con los procedimientos, actuaciones, competencias y trámites en general que se encuentren a cargo de Reasentamientos.</t>
  </si>
  <si>
    <t>REAS-167</t>
  </si>
  <si>
    <t>JHOANA MARITZA MEDINA RAMIREZ</t>
  </si>
  <si>
    <t>REAS-149</t>
  </si>
  <si>
    <t>JUAN CAMILO MEJIA URIBE</t>
  </si>
  <si>
    <t>Prestación de servicios profesionales a la Dirección de Reasentamientos como enlace ante la Oficina Asesora de Comunicaciones de la Caja de la Vivienda Popular, para la implementación e interlocución del Plan Estratégico de Comunicaciones de la Entidad</t>
  </si>
  <si>
    <t>REAS-086</t>
  </si>
  <si>
    <t>LUISA DEL ROSARIO ALARIO SOLANO</t>
  </si>
  <si>
    <t xml:space="preserve">Prestar servicios profesionales en la implementacion y seguimiento de la politica de responsabilidad social, bajo los tres pilares de sostenibilidad a los procesos de gestion misional de la entidad. </t>
  </si>
  <si>
    <t>REAS-150</t>
  </si>
  <si>
    <t xml:space="preserve">Prestar sus servicios profesionales en la Dirección Jurídica en el desarrollo de actividades jurídicas relacionadas con los procedimientos, actuaciones, competencias y tramites en general que guarden relación con la Dirección Técnica de Reasentamientos de la CVP </t>
  </si>
  <si>
    <t>REAS-148</t>
  </si>
  <si>
    <t>Prestar servicios profesionales a la Dirección de Urbanizaciones y Titulación en el seguimiento técnico y administrativo de los proyectos de vivienda VIP y a la Dirección de Reasentamientos en el apoyo a la estructuración de los procesos de Gestión Inmobiliaria, destinados a la entrega de viviendas desarrolladas por la CVP a las familias vinculadas al Programa de Reasentamientos de Entidad.</t>
  </si>
  <si>
    <t>REAS-164</t>
  </si>
  <si>
    <t>Prestacion de servicios profesionales para realizar el seguimiento, monitoreo y articulación de los diferentes proyectos misionales de la entidad, con énfasis en el control de los procesos y actividades de obra, para su correspondiente reporte ante la Dirección General de la Caja de la Vivienda Popular</t>
  </si>
  <si>
    <t>REAS-203</t>
  </si>
  <si>
    <t>MANUEL LEONARDO TELLEZ BELTRAN</t>
  </si>
  <si>
    <t>REAS-151 ANULADA
9/01/2018</t>
  </si>
  <si>
    <t>Prestación de servicios profesionales, en materia jurídica a la Dirección de Reasentamientos de la Caja de la Vivienda Popular, para el adelantamiento de los procedimientos en virtud de los intereses de la entidad, de conformidad con las normas más elevadas de competencia, idoneidad e integridad ética y profesional</t>
  </si>
  <si>
    <t>REAS-168</t>
  </si>
  <si>
    <t>3075-13
3075-23
3075-51
3075-52
3075-59
3075-60</t>
  </si>
  <si>
    <t>LINA MARCELA RINCON ANDRADE</t>
  </si>
  <si>
    <t>Se retorna valor de viabilidad 082 Anulada (CORDIS 2018IE278)</t>
  </si>
  <si>
    <t>Prestar sus servicios profesionales en la Dirección de Reasentamientos de la Caja de la Vivienda Popular, apoyando procesos y procedimientos que en materia jurídica se requieran.</t>
  </si>
  <si>
    <t>Prestación de servicios profesionales de apoyo financiero respecto a la programación, control presupuestal y acciones de soporte en la Dirección de Reasentamientos de la Caja de la Vivienda Popular</t>
  </si>
  <si>
    <t>REAS-071</t>
  </si>
  <si>
    <t>GERLEY  AMAYA CULMA</t>
  </si>
  <si>
    <t>REAS-172</t>
  </si>
  <si>
    <t>3075-38
3075-52</t>
  </si>
  <si>
    <t>LORENA  GOMEZ ANGEL</t>
  </si>
  <si>
    <t>Prestación de servicios de apoyo a la gestión, en los componentes operativo y asistencial para la ejecución de los procesos y procedimientos internos de la Dirección de Reasentamientos frente al cumplimiento de sus metas.</t>
  </si>
  <si>
    <t>REAS-096</t>
  </si>
  <si>
    <t>MARTHA TERESA ORTIZ BARAHONA</t>
  </si>
  <si>
    <t>REAS-090</t>
  </si>
  <si>
    <t>MARIA CRISTINA ALVAREZ ESPINOSA</t>
  </si>
  <si>
    <t>Prestación de servicios profesionales, en materia jurídica a la Dirección de Reasentamientos de la Caja de la Vivienda Popular, para el adelantamiento de los procedimientos en virtud de los intereses de la entidad, de conformidad con las normas más elevadas de competencia, idoneidad e integridad ética y profesional.</t>
  </si>
  <si>
    <t>REAS-065</t>
  </si>
  <si>
    <t>CLARA ROSARIO VILLAMIZAR BERNAL</t>
  </si>
  <si>
    <t>REAS-077</t>
  </si>
  <si>
    <t>CLAUDIA VIVIANA VANEGAS BELTRAN</t>
  </si>
  <si>
    <t>Prestación de servicios profesionales de apoyo financiero y administrativo, respecto a la verificación requisitos, control presupuestal y reporte de información a la Dirección de Reasentamientos de la Caja de la Vivienda Popular</t>
  </si>
  <si>
    <t>REAS-078</t>
  </si>
  <si>
    <t>JORGE EDUARDO RAMIREZ ALVIRA</t>
  </si>
  <si>
    <t>Prestación de servicios profesionales, para el acompañamiento jurídico, en los procesos y procedimientos establecidos frente a la ejecución del programa misional de la Dirección de reasentamientos de la Caja de la Vivienda Popular y en especial frente al beneficio de relocalización transitoria.</t>
  </si>
  <si>
    <t>REAS-068</t>
  </si>
  <si>
    <t>ERIKA PAOLA GALLEGO CAMARGO</t>
  </si>
  <si>
    <t>Prestar sus servicios profesionales en la Dirección de Reasentamientos apoyando la ejecución de las diferentes actividades de la Dirección, en especial temas relacionados con relocalización transitoria.</t>
  </si>
  <si>
    <t>REAS-039</t>
  </si>
  <si>
    <t>MANUEL JULIAN FIERRO GARZON</t>
  </si>
  <si>
    <t>REAS-010</t>
  </si>
  <si>
    <t>SEBASTIAN  GOMEZ LIEVANO</t>
  </si>
  <si>
    <t>Prestar sus servicios de apoyo técnico a nivel operativo y asistencial en el marco de Sistema de Informacion Geográfico en los procedimientos a cargo de la Dirección de Reasentamiento para el cumplimiento de sus metas.</t>
  </si>
  <si>
    <t>Prestación de servicios profesionales a la Dirección de Reasentamientos para la puesta en marcha del Sistema de Información Geográfica, el uso y adopción de tecnologías para la gestión de Información Georeferenciada del área misonal.</t>
  </si>
  <si>
    <t>REAS-100</t>
  </si>
  <si>
    <t>OSCAR FELIPE MARLES MONJE</t>
  </si>
  <si>
    <t>REAS-070</t>
  </si>
  <si>
    <t>FABIAN RICARDO MEJIA OSPINA</t>
  </si>
  <si>
    <t>Prestación de servicios profesionales en la implementación de módulos alfanuméricos y geográficos para el Sistema de Información Geográfica  de la Dirección de Reasentamientos de la Caja de la Vivienda Popular.</t>
  </si>
  <si>
    <t>REAS-053</t>
  </si>
  <si>
    <t>IVAN DARIO CARRILLO DURAN</t>
  </si>
  <si>
    <t>Prestar sus servicios profesionales en el componente social de la Dirección de Reasentamientos de la Caja de la Vivienda Popular, para la ejecución de planes y programas agenciados por el área misional</t>
  </si>
  <si>
    <t>REAS-169</t>
  </si>
  <si>
    <t>3075-23
3075-30</t>
  </si>
  <si>
    <t>DARLY PATRICIA CAICEDO CAMILO</t>
  </si>
  <si>
    <t>REAS-074</t>
  </si>
  <si>
    <t>IVAN EDUARDO CASSIANI GUTIERREZ</t>
  </si>
  <si>
    <t>REAS-089</t>
  </si>
  <si>
    <t>MARIA CAMILA GARCIA RAMOS</t>
  </si>
  <si>
    <t>REAS-067</t>
  </si>
  <si>
    <t>DORALBA  RESTREPO MEJIA</t>
  </si>
  <si>
    <t>Prestación de servicios profesionales, como apoyo jurídico en las actuaciones propias que requiera la Dirección de Reasentamientos de la Caja de la Vivienda Popular en la ejecución del programa de Reasentamientos.</t>
  </si>
  <si>
    <t>REAS-080</t>
  </si>
  <si>
    <t>JOVITA IDALBA SANABRIA CHARRY</t>
  </si>
  <si>
    <t>REAS-072</t>
  </si>
  <si>
    <t>GINNA CATALINA CRUZ RODRIGUEZ</t>
  </si>
  <si>
    <t>Prestación de servicios profesionales, brindando apoyo al componente social para fortalecer la capacidad en la ejecución de actividades tendientes a lograr el desarrollo integral de comunidades sostenibles, de conformidad con la misionalidad de la Dirección de Reasentamientos de la Caja de la Vivienda Popular</t>
  </si>
  <si>
    <t>REAS-066</t>
  </si>
  <si>
    <t>DAMIAN LEONARDO QUIROGA DIAZ</t>
  </si>
  <si>
    <t xml:space="preserve"> Prestación de servicios profesionales para la ejecución de actividades a cargo del componente social y en especial lo relativo a la estrategia de Resiliencia y Sostenibilidad de la comunidad, en la Dirección de Reasentamientos de la caja de la Vivienda Popular.</t>
  </si>
  <si>
    <t>REAS-091</t>
  </si>
  <si>
    <t>MARIA ELSA SICHACA CASTELBLANCO</t>
  </si>
  <si>
    <t xml:space="preserve">Prestación de  servicios profesionales de apoyo y conceptualización jurídica en los asuntos relacionados con los procesos de la Dirección de Reasentamientos de la Caja de la Vivienda Popular,  de conformidad con las normas más elevadas de competencia, idoneidad e integridad ética y profesional. </t>
  </si>
  <si>
    <t>REAS-105</t>
  </si>
  <si>
    <t>FLORANGELA  OLEA ARRIETA</t>
  </si>
  <si>
    <t>REAS-061</t>
  </si>
  <si>
    <t>ALDEMAR  GALVIS SILVA</t>
  </si>
  <si>
    <t>REAS-069</t>
  </si>
  <si>
    <t>ESTEBAN  PINZON OSPINA</t>
  </si>
  <si>
    <t>Prestación de servicios profesionales de seguimiento y soporte financiero respecto a la programación, control presupuestal y demás acciones en la Dirección de Reasentamientos de la Caja de la Vivienda Popular, de conformidad con los procesos y procedimientos establecidos.</t>
  </si>
  <si>
    <t>REAS-102</t>
  </si>
  <si>
    <t>YAMILET  OROZCO DIAZ</t>
  </si>
  <si>
    <t>Contratar los servicios profesionales de un comunicador social o periodista que apoye la locucion de productos audiovisuales y la presentacion de actividades con las comunidades beneficiarias de los distintos programas misionales con el fin de favorecer una comunicación activa de la misionalidad de la entidad.</t>
  </si>
  <si>
    <t>REAS-163</t>
  </si>
  <si>
    <t>Prestar los servicios profesionales para la planeacion, realizacion, y desarrollo de contenidos periodísticos que permitan la difusion y divulgacion de la gestion social que adelanta la CVP con las comunidades, a través de sus programas misionales</t>
  </si>
  <si>
    <t>REAS-165</t>
  </si>
  <si>
    <t>Contratar los servicios profesionales de un comunicador social que desarrolle la informacion periodistica de las areas misionales, para fortalecer los canales de comunicación internos y externos de la entidad conforme a la estrategia de comunicaciones de la CVP</t>
  </si>
  <si>
    <t>REAS-166</t>
  </si>
  <si>
    <t>Prestación de servicios de apoyo a la gestión en la Dirección de Reasentamientos de la Caja de Vivienda Popular, para asistencia técnica en aspectos administrativos, logísticos y operativos.</t>
  </si>
  <si>
    <t>REAS-147</t>
  </si>
  <si>
    <t>YOLIMA  OROZCO SUAREZ</t>
  </si>
  <si>
    <t>06 - Atención al 100% de las familias localizadas en el predio Vereditas en la localidad de Kennedy en el marco del Decreto 457 de 2017, que cumplan los requisitos de ingresos al programa.</t>
  </si>
  <si>
    <t>0068 - Decreto Vereditas</t>
  </si>
  <si>
    <t>Asignacion del instrumento financiero a las familias ocupantes del predio que hayan superado la fase de verificacion dentro del marco del Decreto 457 de 2017 el cual equivaldrá a setenta (70) Salarios Mínimos
Legales Mensuales Vigentes al momento de su reconocimiento</t>
  </si>
  <si>
    <t>Asignación del Instrumento financiero a las familias ocupantes del predio que hayan superado la fase de verificación dentro del marco del Decreto 457 de 2017. LOCALIDAD: KENNEDY; BARRIO: VEREDITAS; ID: 2018-8-384316</t>
  </si>
  <si>
    <t>REAS-394</t>
  </si>
  <si>
    <t>3075-93</t>
  </si>
  <si>
    <t>MARIA MARILI ZEA GUTIERREZ</t>
  </si>
  <si>
    <t>Asignación del Instrumento financiero a las familias ocupantes del predio que hayan superado la fase de verificación dentro del marco del Decreto 457 de 2017. LOCALIDAD: KENNEDY; BARRIO: VEREDITAS; ID: 2018-8-384318</t>
  </si>
  <si>
    <t>REAS-390</t>
  </si>
  <si>
    <t>NIDIA BIBIANA LESMES SANCHEZ</t>
  </si>
  <si>
    <t>Asignación del Instrumento financiero a las familias ocupantes del predio que hayan superado la fase de verificación dentro del marco del Decreto 457 de 2017. LOCALIDAD: KENNEDY; BARRIO: VEREDITAS; ID: 2018-8-384584</t>
  </si>
  <si>
    <t>REAS-391</t>
  </si>
  <si>
    <t>3075-93
3075-94</t>
  </si>
  <si>
    <t>JHOAN ESNEIDER SAMACA ROSERO</t>
  </si>
  <si>
    <t>Asignación del Instrumento financiero a las familias ocupantes del predio que hayan superado la fase de verificación dentro del marco del Decreto 457 de 2017. LOCALIDAD: KENNEDY; BARRIO: VEREDITAS; ID: 2017-8-383735</t>
  </si>
  <si>
    <t>REAS-404</t>
  </si>
  <si>
    <t>3075-94
3075-108</t>
  </si>
  <si>
    <t>YOLIMA GERTRUDIS AGUILAR VELASQUES</t>
  </si>
  <si>
    <t>Se anula la Viabilidad REAS-392 (CORDIS 2018IE6976)</t>
  </si>
  <si>
    <t>Prestación de servicios profesionales, frente al componente financiero respecto a la programación, control presupuestal y acciones de soporte en la Dirección de Reasentamientos de la Caja de la Vivienda Popular, en el marco de la ejecución del Decreto No 457 de 2017. “Por el cual se crea e implementa el programa de acompañamiento para la mitigación de las acciones derivadas de la recuperación del predio denominado VEREDITAS, ubicado en la localidad de Kennedy”.</t>
  </si>
  <si>
    <t>REAS-124</t>
  </si>
  <si>
    <t>JORGE EDUARDO BARON MENDEZ</t>
  </si>
  <si>
    <t>Prestar sus servicios profesionales apoyando la ejecucion de las diferentes actividades relacionadas con el componente tecnico y  financiero de la direccion de reasentamientos de la CVP en el marco de la ejecución del Decreto No 457 de 2017 “Por el cual se implementa el programa de acompañamiento para la mitigación de las acciones derivadas de la recuperación del predio denominado VEREDITAS, ubicado en la localidad de Kennedy”.</t>
  </si>
  <si>
    <t>REAS-128</t>
  </si>
  <si>
    <t>LAURA MAGOLA RAMIREZ GARCIA</t>
  </si>
  <si>
    <t>Prórroga y Adición al Contrato 548 de 2017 cuyo obejto es: Prestación de servicios profesionales para acompañar la ejecución de diferentes actividades relacionadas con el componente social de la Dirección de Reasentamientos de la Caja de la Vivienda Popular, en el marco de la ejecución del Decreto 457 de 2017 "Por el cual se crea e implementa el programa de acompañamiento para la mitigación de las acciones derivadas de la recuperación del predio denominado VEREDITAS, ubicado en la localidad de Kennedy"</t>
  </si>
  <si>
    <t>REAS-291</t>
  </si>
  <si>
    <t>FRANCY PAOLA CRUZ ARDILA</t>
  </si>
  <si>
    <t>Valor mes: 5.100.000 x 3 meses</t>
  </si>
  <si>
    <t>Garantizar la disponibilidad de personal de apoyo jurídico, técnico, operativo y financiero que adelantará los procesos y acciones en cumplimiento del objeto y obligaciones…</t>
  </si>
  <si>
    <t>REAS-453</t>
  </si>
  <si>
    <t>MARISOL  AMAYA OVIEDO</t>
  </si>
  <si>
    <t>REAS-205</t>
  </si>
  <si>
    <t>WADY JORGE CHICA ORDOÑEZ</t>
  </si>
  <si>
    <t>Prestación de servicios profesionales para el acompañamiento jurídico en las actuaciones propias que requiera la Dirección de Reasentamientos de la Caja de la Vivienda Popular, en el marco de la ejecución del Decreto No 457 de 2017 “Por el cual se crea e implementa el programa de acompañamiento para la mitigación de las acciones derivadas de la recuperación del predio denominado VEREDITAS, ubicado en la localidad de Kennedy”.</t>
  </si>
  <si>
    <t>REAS-132</t>
  </si>
  <si>
    <t>NATALIA JACKELINE MANRIQUE TRUJILLO</t>
  </si>
  <si>
    <t>REAS-115</t>
  </si>
  <si>
    <t>DORIAN DE JESUS COQUIES MAESTRE</t>
  </si>
  <si>
    <t>REAS-114</t>
  </si>
  <si>
    <t>DIANA MILENA OCHOA PARRA</t>
  </si>
  <si>
    <t>Prestación de servicios de apoyo a la gestión para el acompañamiento jurídico de las actividades requeridas, en el marco de la ejecución del Decreto No 457 de 2017. “Por medio del cual se implementa el programa de acompañamiento para la mitigación de las acciones derivadas de la recuperación del predio denominado VEREDITAS, ubicado en la localidad de Kennedy”.</t>
  </si>
  <si>
    <t>REAS-119</t>
  </si>
  <si>
    <t>HARLEY LIZARDO GONZALEZ RODRIGUEZ</t>
  </si>
  <si>
    <t>REAS-143</t>
  </si>
  <si>
    <t>LUIS CAMILO MARTINEZ TORO</t>
  </si>
  <si>
    <t>REAS-146</t>
  </si>
  <si>
    <t>LUZ MARINA MEDINA DURAN</t>
  </si>
  <si>
    <t>Prestación de servicios de apoyo a la gestión en las diferentes actividades relacionadas con digitalización de fichas, gestión documental, archivo y escaneo de los archivos correspondientes, en el marco de la ejecución del Decreto No 457 de 2017. “Por medio del cual se implementa el programa de acompañamiento para la mitigación de las acciones derivadas de la recuperación del predio denominado VEREDITAS, ubicado en la localidad de Kennedy”.</t>
  </si>
  <si>
    <t>REAS-121</t>
  </si>
  <si>
    <t>JANETH VANESSA DIAZ CAMACHO</t>
  </si>
  <si>
    <t>Prestación de servicios profesionals para el acompañamiento jurídico en las actuaciones propias que requiera la Dirección de Reasentamientos de la Caja de la Vivienda Popular</t>
  </si>
  <si>
    <t>REAS-470</t>
  </si>
  <si>
    <t>3075-112
 3075-114
 3075-202</t>
  </si>
  <si>
    <t>MARIENT LORENA PADILLA GARCIA</t>
  </si>
  <si>
    <t>REAS-465</t>
  </si>
  <si>
    <t>NARDA XIMENA HERNANDEZ MARTINEZ</t>
  </si>
  <si>
    <t>Se anula la viabilidad REAS-109 (CORDIS 2018IE11001)</t>
  </si>
  <si>
    <t>Prórroga y adición al contrato No. 569 de 2017 cuyo objeto es: Prestación de servicios de apoyo a la gestión para el acompañamiento en la ejecución de las diferentes actividades relacionadas con el componente técnico de la Dirección de Reasentamientos de la Caja de la Vivienda Popular,  en el marco de la ejecución del Decreto No 457 de 2017 “Por el cual se crea e implementa el programa de acompañamiento para la mitigación de las acciones derivadas de la recuperación del predio denominado VEREDITAS, ubicado en la localidad de Kennedy”.</t>
  </si>
  <si>
    <t>REAS-317</t>
  </si>
  <si>
    <t>MANUEL CAMILO MARTINEZ OSORIO</t>
  </si>
  <si>
    <t>Valor mes: 2.400.000 x 3 meses</t>
  </si>
  <si>
    <t>REAS-463</t>
  </si>
  <si>
    <t>3075-99
 3075-108
 3075-116</t>
  </si>
  <si>
    <t>RICARDO  PARDO PINZON</t>
  </si>
  <si>
    <t>REAS-454</t>
  </si>
  <si>
    <t>VICTOR MANUEL LOPEZ RINCON</t>
  </si>
  <si>
    <t>Prestación de servicios profesionales para acompañar la ejecución de diferentes actividades relacionadas con el componente social de la Dirección de Reasentamientos de la Caja de la Vivienda Popular, en el marco de la ejecución del Decreto No 457 de 2017 “Por el cual se implementa el programa de acompañamiento para la mitigación de las acciones derivadas de la recuperación del predio denominado VEREDITAS, ubicado en la localidad de Kennedy”.</t>
  </si>
  <si>
    <t>REAS-123</t>
  </si>
  <si>
    <t>JOHN STEVE PEÑA CASALLAS</t>
  </si>
  <si>
    <t>REAS-455</t>
  </si>
  <si>
    <t>HEIDY VANESSA PENAGOS SANDOVAL</t>
  </si>
  <si>
    <t>Prestación de servicios profesionales para el acompañamiento jurídico en las actuaciones propias que requiera la Dirección de Reasentamientos de la Caja de la Vivienda Popular.</t>
  </si>
  <si>
    <t>REAS-456</t>
  </si>
  <si>
    <t>JUAN DAVID CUADROS GARZON</t>
  </si>
  <si>
    <t>Prórroga y adición al contrato No. 539 de 2017 cuyo objeto es: Prestación de servicios profesionales para el acompañamiento en la ejecución de las diferentes actividades relacionadas con el componente técnico de la Dirección de Reasentamientos de la Caja de la Vivienda Popular,  en el marco de la ejecución del Decreto No 457 de 2017 “Por el cual se crea e implementa el programa de acompañamiento para la mitigación de las acciones derivadas de la recuperación del predio denominado VEREDITAS, ubicado en la localidad de Kennedy”.</t>
  </si>
  <si>
    <t>REAS-322</t>
  </si>
  <si>
    <t>MARIA CRISTINA FLORIAN RODRIGUEZ</t>
  </si>
  <si>
    <t>Valor mes: 4.890.000 x 3 meses</t>
  </si>
  <si>
    <t>REAS-457</t>
  </si>
  <si>
    <t>MARIA CAROLINA ALVAREZ TECANO</t>
  </si>
  <si>
    <t>Prestación de servicios profesionales de seguimiento y soporte financiero respecto de la asignación de recursos en el marco de los programas y proyectos de la dirección de reasentamientos previa verificación del cumplimiento de requisitos, así como la programación y control presupuestal del área misional</t>
  </si>
  <si>
    <t>REAS-460</t>
  </si>
  <si>
    <t>Prestación de servicios de apoyo a la gestión en el componente social de la Dirección d Reasentamientos de la Caja de la Vivienda Popular, para la ejecución de planes y programas agenciados por el área misional.</t>
  </si>
  <si>
    <t>REAS-472</t>
  </si>
  <si>
    <t>OSCAR CAMILO CASTAÑEDA LEON</t>
  </si>
  <si>
    <t>Prestación de servicios de apoyo a la gestión para el acompañamiento en la ejecución de las diferentes actividades relacionadas con el componente técnico de la Dirección de Reasentamientos de la Caja de la Vivienda Popular, en el marco de la ejecución del Decreto No 457 de 2017. “Por el cual se crea e implementa el programa de acompañamiento para la mitigación de las acciones derivadas de la recuperación del predio denominado Vereditas, ubicado en la localidad de Kennedy"</t>
  </si>
  <si>
    <t>REAS-204</t>
  </si>
  <si>
    <t>JOSE ANDRES CHAVES MEJIA</t>
  </si>
  <si>
    <t>Prestación de servicios profesionales para el acompañamiento en la ejecución de las diferentes actividades relacionadas con el componente técnico de la Dirección de Reasentamientos de la Caja de la Vivienda Popular, en el marco de la ejecución del Decreto No 457 de 2017 “Por el cual se crea e implementa el programa de acompañamiento para la mitigación de las acciones derivadas de la recuperación del predio denominado VEREDITAS, ubicado en la localidad de Kennedy ”.</t>
  </si>
  <si>
    <t>REAS-144</t>
  </si>
  <si>
    <t>MARIELA  GARCIA PINZON</t>
  </si>
  <si>
    <t>Prestación de servicios profesionales para acompañar la ejecución de diferentes actividades relacionadas con el componente social de la Dirección de Reasentamientos de la Caja de la Vivienda Popular, en el marco de la ejecución del Decreto No 457 de 2017 “Por el cual se crea e implementa el programa de acompañamiento para la mitigación de las acciones derivadas de la recuperación del predio denominado VEREDITAS, ubicado en la localidad de Kennedy”.</t>
  </si>
  <si>
    <t>REAS-140</t>
  </si>
  <si>
    <t>DIANA CAROLINA ESPITIA ZAMBRANO</t>
  </si>
  <si>
    <t>Prestación de servicios profesionales para el acompañamiento en la ejecución de las diferentes actividades relacionadas con el componente técnico de la Dirección de Reasentamientos de la Caja de la Vivienda Popular, en el marco de la ejecución del Decreto No 457 de 2017 “Por el cual se crea e implementa el programa de acompañamiento para la mitigación de las acciones derivadas de la recuperación del predio denominado VEREDITAS, ubicado en la localidad de Kennedy".</t>
  </si>
  <si>
    <t>REAS-107</t>
  </si>
  <si>
    <t>ANDRES CAMILO RODRIGUEZ JOYA</t>
  </si>
  <si>
    <t>Prestación de Servicios Profesionales en los procesos misionales y proyectos especiales para apoyar la gestión, planeación, concertación y seguimiento a los planesy cronogramas del componente social</t>
  </si>
  <si>
    <t>REAS-152</t>
  </si>
  <si>
    <t>REAS-001</t>
  </si>
  <si>
    <t>3075-75</t>
  </si>
  <si>
    <t>ANA MARÍA ESCUDERO ORTIZ</t>
  </si>
  <si>
    <t>REAS-003</t>
  </si>
  <si>
    <t>3075-38</t>
  </si>
  <si>
    <t>DENICE ASTRID OLAYA DUARTE</t>
  </si>
  <si>
    <t>REAS-007</t>
  </si>
  <si>
    <t>3075-70</t>
  </si>
  <si>
    <t>LINA ANDREA GARCIA MUÑOZ</t>
  </si>
  <si>
    <t>REAS-011</t>
  </si>
  <si>
    <t>3075-55</t>
  </si>
  <si>
    <t>ALBERTO  RODRIGUEZ GOMEZ</t>
  </si>
  <si>
    <t>REAS-012</t>
  </si>
  <si>
    <t>3075-31</t>
  </si>
  <si>
    <t>ALEXANDER  MARTINEZ</t>
  </si>
  <si>
    <t>Prestación de servicios profesionales, para el acompañamiento y apoyo a la Dirección de Reasentamientos de la Caja de la Vivienda Popular, en la definición, control y seguimiento del programa misional, de conformidad con los procesos y procedimientos internos e institucionales</t>
  </si>
  <si>
    <t>REAS-013</t>
  </si>
  <si>
    <t>3075-44</t>
  </si>
  <si>
    <t>ANGI VIVIANA VELASQUEZ VELASQUEZ</t>
  </si>
  <si>
    <t>REAS-014</t>
  </si>
  <si>
    <t>3075-12</t>
  </si>
  <si>
    <t>CAMILO ANDRES PINZON RODRIGUEZ</t>
  </si>
  <si>
    <t>Prestación de servicios profesionales desde el componente técnico en la Dirección de Reasentamientos de la Caja de la Vivienda Popular apoyando la ejecución de los procesos relacionados con la selección de vivienda de reposición y de la Gestión Inmobiliaria en general</t>
  </si>
  <si>
    <t>REAS-015</t>
  </si>
  <si>
    <t>3075-40</t>
  </si>
  <si>
    <t>CARLOS ARMANDO CRIOLLO LAMILLA</t>
  </si>
  <si>
    <t>Prestación de servicios profesionales en la Dirección de Reasentamientos de la Caja de la Vivienda Popular, apoyando los procesos y procedimientos que en materia jurídica se requieran.</t>
  </si>
  <si>
    <t>REAS-016</t>
  </si>
  <si>
    <t>3075-26</t>
  </si>
  <si>
    <t>CESAR EDUARDO RODRIGUEZ PINZON</t>
  </si>
  <si>
    <t>Prestación de servicios profesionales de apoyo financiero respecto a la programación, control presupuestal y acciones de soporte en la Dirección de Reasentamientos de la Caja de la Vivienda Popular.</t>
  </si>
  <si>
    <t>REAS-018</t>
  </si>
  <si>
    <t>DIEGO FERNANDO CUBIDES REINA</t>
  </si>
  <si>
    <t>REAS-019</t>
  </si>
  <si>
    <t>DINEY YAMILE RODRIGUEZ ZIPACON</t>
  </si>
  <si>
    <t>REAS-020</t>
  </si>
  <si>
    <t>JENNIFER  MALAVER SOLANO</t>
  </si>
  <si>
    <t>REAS-021</t>
  </si>
  <si>
    <t>CAROL ELIANA GONZALEZ GOMEZ</t>
  </si>
  <si>
    <t>Prestación de servicios profesionales desde el componente técnico en la Dirección de Reasentamientos de la Caja de la Vivienda Popular apoyando la ejecución de los procesos relacionados con la selección de vivienda de reposición y de la Gestión Inmobiliaria en general.</t>
  </si>
  <si>
    <t>REAS-024</t>
  </si>
  <si>
    <t>NINA ANDREA HURTADO LIEVANO</t>
  </si>
  <si>
    <t>Prestación de servicios profesionales desde el componente jurídico, para realizar el seguimiento y control al cumplimiento de requisitos legales y reglamentarios, de las familias beneficiarias del programa de Reasentamientos de la Caja de la Vivienda Popular.</t>
  </si>
  <si>
    <t>REAS-025</t>
  </si>
  <si>
    <t>OLGA LUCIA CRUZ GARZON</t>
  </si>
  <si>
    <t>REAS-026</t>
  </si>
  <si>
    <t>3075-33</t>
  </si>
  <si>
    <t>SANDRA MIREYA GUTIERREZ LIEVANO</t>
  </si>
  <si>
    <t>REAS-027</t>
  </si>
  <si>
    <t>3075-41</t>
  </si>
  <si>
    <t>ANGELICA MARIA ACOSTA CUELLAR</t>
  </si>
  <si>
    <t>Prestación de servicios profesionales en el componente social de la dirección de reasentamientos en la caja de vivienda popular, para la ejecución de planes y programas agenciados por el área misional</t>
  </si>
  <si>
    <t>REAS-028</t>
  </si>
  <si>
    <t>3075-30</t>
  </si>
  <si>
    <t>CRISTIAN ALEJANDRO BARRETO ARCOS</t>
  </si>
  <si>
    <t>REAS-029</t>
  </si>
  <si>
    <t>DIANA CAROLINA SANCHEZ ARDILA</t>
  </si>
  <si>
    <t>REAS-030</t>
  </si>
  <si>
    <t>HASBLEIDY  PUENTES MONTAÑA</t>
  </si>
  <si>
    <t>"Prestación de servicios profesionales en el componente social de la Dirección de Reasentamientos de la Caja de la Vivienda Popular, para la ejecución de planes y programas agenciados por el área misional."</t>
  </si>
  <si>
    <t>REAS-031</t>
  </si>
  <si>
    <t>EDGAR FABIAN DEL CASTILLO MURCIA</t>
  </si>
  <si>
    <t>REAS-032</t>
  </si>
  <si>
    <t>JOSE DOMINGO GRACIA BAYUELO</t>
  </si>
  <si>
    <t>REAS-033</t>
  </si>
  <si>
    <t>JUDY  CRUZ PINEDA</t>
  </si>
  <si>
    <t>REAS-035</t>
  </si>
  <si>
    <t>PAULA TATIANA RAMOS DUQUE</t>
  </si>
  <si>
    <t>REAS-036</t>
  </si>
  <si>
    <t>RUBEN DARIO RODAS CHINGATE</t>
  </si>
  <si>
    <t>Prestación de servicios profesionales en el componente social de la Dirección de Reasentamientos de la Caja de la Vivienda Popular, para la ejecución de planes y programas agenciados por el área misional</t>
  </si>
  <si>
    <t>REAS-037</t>
  </si>
  <si>
    <t>SANDRA MILENA GAMBA RUIZ</t>
  </si>
  <si>
    <t>Prestación de servicios profesionales para la ejecución de actividades a cargo del componente social y en especial lo relativo a la estrategia de Resiliencia y Sostenibilidad de la comunidad, en la Dirección de Reasentamientos de la Caja de la Vivienda Popular</t>
  </si>
  <si>
    <t>REAS-038</t>
  </si>
  <si>
    <t>VALENTINA  LOMANTO PERDOMO</t>
  </si>
  <si>
    <t>Prestación de servicios de apoyo a la gestión en los procedimientos a cargo de la Dirección de Reasentamientos de la Caja de la Vivienda Popular, para el cumplimiento de sus metas</t>
  </si>
  <si>
    <t>REAS-040</t>
  </si>
  <si>
    <t>3075-71</t>
  </si>
  <si>
    <t>BLANCA LEIDY PEÑA CALDERON</t>
  </si>
  <si>
    <t>Prestación de servicios de apoyo a la gestión en la implementación de nuevos módulos para el Sistema de Información Geográfica de la Dirección de Reasentamientos de la Caja de la Vivienda Popular</t>
  </si>
  <si>
    <t>REAS-042</t>
  </si>
  <si>
    <t>FABIAN DANILO CAICEDO MOLINA</t>
  </si>
  <si>
    <t>REAS-044</t>
  </si>
  <si>
    <t>MARGARITA MARIA GIRALDO CALDERON</t>
  </si>
  <si>
    <t>Prestación de servicios profesionales brindando apoyo al seguimiento administrativo y financiero de los procedimientos de la Dirección de Reasentamientos de la Caja de la Vivienda Popular</t>
  </si>
  <si>
    <t>REAS-045</t>
  </si>
  <si>
    <t>MICHAEL ALEXANDER LADINO PEÑUELA</t>
  </si>
  <si>
    <t>REAS-047</t>
  </si>
  <si>
    <t>LEIDY JINETH SANABRIA SANABRIA</t>
  </si>
  <si>
    <t>REAS-048</t>
  </si>
  <si>
    <t>MARGARITA LUCIA GOMEZ ECHEVERRY</t>
  </si>
  <si>
    <t>Se solicita liberar saldo por liquidación anticipada del contrato (CORDIS 2018IE11582 de 22 Ago 2018) REVISAR PREDIS</t>
  </si>
  <si>
    <t>REAS-050</t>
  </si>
  <si>
    <t>CAREN MILENA ROMERO FIGUEROA</t>
  </si>
  <si>
    <t>REAS-051</t>
  </si>
  <si>
    <t>CLAUDIA BIBIANA ESPINOSA HORTUA</t>
  </si>
  <si>
    <t>Prestación de serviciosde apoyo a la gestion, para el acompañamiento jurídico, en los procesos y procedimientos establecidos frente a la ejecución del programa misional de la Dirección de Reasentamientos de la Caja de la Vivienda Popular</t>
  </si>
  <si>
    <t>REAS-052</t>
  </si>
  <si>
    <t>3075-62</t>
  </si>
  <si>
    <t>MARIA FERNANDA ANAYA SEDAN</t>
  </si>
  <si>
    <t>Prestación de servicios profesionales para la ejecución de actividades a cargo del componente social y en especial lo relativo a la atención y acompañamiento a las comunidades indígenas beneficiarias del programa de reasentamientos agenciado por la Dirección de Reasentamientos de la caja de la Vivienda Popular</t>
  </si>
  <si>
    <t>REAS-054</t>
  </si>
  <si>
    <t>JESUS ALIRIO CHIRIMIA PERTIAGA</t>
  </si>
  <si>
    <t>REAS-055</t>
  </si>
  <si>
    <t>MARTHA CECILIA DIAZ ROCHA</t>
  </si>
  <si>
    <t>Prestación de servicios profesionales, para el acompañamiento jurídico, en los procesos y procedimientos establecidos frente a la ejecución del programa misional de la Dirección de Reasentamientos de la Caja de la Vivienda Popular</t>
  </si>
  <si>
    <t>REAS-056</t>
  </si>
  <si>
    <t>MIGUEL DAVID PERDOMO DURAN</t>
  </si>
  <si>
    <t>REAS-057</t>
  </si>
  <si>
    <t>MILENA ASTRITH BECERRA TORO</t>
  </si>
  <si>
    <t>REAS-059</t>
  </si>
  <si>
    <t>YURY ANDREA RICO MAHECHA</t>
  </si>
  <si>
    <t>Prestación de servicios profesionales, para el acompañamiento jurídico, en los procesos y procedimientos establecidos frente a la ejecución del programa misional de la Dirección de reasentamientos de la Caja de la Vivienda Popular</t>
  </si>
  <si>
    <t>REAS-060</t>
  </si>
  <si>
    <t>EGNA MARGARITA ROJAS VARGAS</t>
  </si>
  <si>
    <t>Prestación de servicios profesionales para el acompañamiento y apoyo financiero respecto a la programación, control presupuestal y acciones a ejecutar en la implementación una metodología tendiente al desarrollo integral de comunidades sostenibles de conformidad con la misionalidad de la Dirección de Reasentamientos de la Caja de la Vivienda Popular</t>
  </si>
  <si>
    <t>REAS-062
 ANULADA</t>
  </si>
  <si>
    <t>3075-48</t>
  </si>
  <si>
    <t>Prestación de servicios profesionales a la Dirección de Reasentamientos de la Caja de la Vivienda Popular, apoyando la gestión administrativa y financiera en relación con los contratos y convenios suscritos por el área misional</t>
  </si>
  <si>
    <t>REAS-075</t>
  </si>
  <si>
    <t>3075-25</t>
  </si>
  <si>
    <t>JAIME ALONSO CRUZ OLARTE</t>
  </si>
  <si>
    <t>Prestación de servicios profesionales para apoyar los asuntos presupuestales y herramientas de gestión a cargo de la Dirección de Reasentamientos de la Caja de la Vivienda Popular</t>
  </si>
  <si>
    <t>REAS-079</t>
  </si>
  <si>
    <t>JOSE LUIS REYES DELGADO</t>
  </si>
  <si>
    <t>REAS-081</t>
  </si>
  <si>
    <t>JUAN CAMILO MEJIA PAREDES</t>
  </si>
  <si>
    <t>REAS-082
 ANULADA</t>
  </si>
  <si>
    <t>3075-59</t>
  </si>
  <si>
    <t>REAS-084</t>
  </si>
  <si>
    <t>Prestación de servicios profesionales a la Dirección de Reasentamientos de la Caja de la Vivienda Popular, apoyando el seguimiento administrativo y financiero en relación con los procesos y procedimientos del área misional</t>
  </si>
  <si>
    <t>REAS-085</t>
  </si>
  <si>
    <t>LUIS JORGE PATAQUIVA SILVA</t>
  </si>
  <si>
    <t>Prestación de servicios profesionales, en temas relacionados con el componente social apoyando procesos y procedimientos propios de la Dirección de Reasentamientos de la Caja de la Vivienda popular</t>
  </si>
  <si>
    <t>REAS-093</t>
  </si>
  <si>
    <t>MARIA VICTORIA APONTE VALVERDE</t>
  </si>
  <si>
    <t>Prestación de servicios profesionales para el acompañamiento y apoyo jurídico en la implementación una metodología tendiente al desarrollo integral de comunidades sostenibles de conformidad con la misionalidad de la Dirección de Reasentamientos de la Caja de la Vivienda Popular</t>
  </si>
  <si>
    <t>REAS-099</t>
  </si>
  <si>
    <t>NEYVA ABOGADOS ASOCIADOS S A S</t>
  </si>
  <si>
    <t>Prestación de servicios de apoyo a la gestión en lo relacionado con el manejo de archivo y gestión documental generado desde la Dirección de Reasentamientos de la Caja de la Vivienda Popular</t>
  </si>
  <si>
    <t>REAS-104</t>
  </si>
  <si>
    <t>CAMILA ANDREA HUERTAS HUERTAS</t>
  </si>
  <si>
    <t>Prestación de servicios profesionales, frente al componente financiero respecto a la programación, control presupuestal y acciones de soporte en la Dirección de Reasentamientos de la Caja de la Vivienda Popular, en el marco de la ejecución del Decreto No 457 de 2017. “Por el cual se crea e implementa el programa de acompañamiento para la mitigación de las acciones derivadas de la recuperación del predio denominado VEREDITAS, ubicado en la localidad de Kennedy</t>
  </si>
  <si>
    <t>REAS-106</t>
  </si>
  <si>
    <t>3075-118</t>
  </si>
  <si>
    <t>ANDREA MARGARITA BERNAL VERGARA</t>
  </si>
  <si>
    <t>Prestación de servicios profesionales, para el acompañamiento jurídico, en los procesos y procedimientos establecidos frente a la ejecución del programa misional de la Dirección de Reasentamientos de la Caja de la Vivienda Popular.</t>
  </si>
  <si>
    <t>REAS-108</t>
  </si>
  <si>
    <t>DIANA PAOLA MATIZ CASTILLO</t>
  </si>
  <si>
    <t>Prestación de servicios profesionales para el acompañamiento jurídico en las actuaciones propias que requiera la Dirección de Reasentamientos de la Caja de la Vivienda Popular, en el marco de la ejecución del Decreto No 457 de 2017 “Por el cual se implementa el programa de acompañamiento para la mitigación de las acciones derivadas de la recuperación del predio denominado VEREDITAS, ubicado en la localidad de Kennedy”.</t>
  </si>
  <si>
    <t>REAS-110</t>
  </si>
  <si>
    <t>3075-98</t>
  </si>
  <si>
    <t>BLANCA CECILIA QUINTERO CHAVARRO</t>
  </si>
  <si>
    <t>Prestación de servicios de apoyo a la gestión en las diferentes actividades relacionadas con digitalización de fichas, gestión documental, archivo y escaneo de los archivos correspondientes, en el marco de la ejecución del Decreto No 457 de 2017. “Por medio del cual se crea e implementa el programa de acompañamiento para la mitigación de las acciones derivadas de la recuperación del predio denominado VEREDITAS, ubicado en la localidad de Kennedy”</t>
  </si>
  <si>
    <t>REAS-111</t>
  </si>
  <si>
    <t>3075-108</t>
  </si>
  <si>
    <t>YESENIA  MIRANDA PACHECO</t>
  </si>
  <si>
    <t>Prestación de servicios de apoyo a la gestión en las diferentes actividades relacionadas con digitalización de fichas, gestión documental, archivo y escaneo de los archivos correspondientes, en el marco de la ejecución del Decreto No 457 de 2017. “Por medio del cual se implementa el programa de acompañamiento para la mitigación de las acciones derivadas de la recuperación del predio denominado VEREDITAS, ubicado en la localidad de Kennedy".</t>
  </si>
  <si>
    <t>REAS-112</t>
  </si>
  <si>
    <t>CLORIS DEYANIRA MONICA ORTEGA CARDOZO</t>
  </si>
  <si>
    <t>REAS-113</t>
  </si>
  <si>
    <t>DIANA CAROLINA FABRA GUTIERREZ</t>
  </si>
  <si>
    <t>Prestación de servicios profesionales para el acompañamiento jurídico en las actuaciones propias que requiera la Dirección de Reasentamientos de la Caja de la Vivienda Popular, en el marco de la ejecución del Decreto No 457 de 2017 “Por el cual se crea e implementa el programa de acompañamiento para la mitigación de las acciones derivadas de la recuperación del predio denominado VEREDITAS, ubicado en la localidad de Kennedy”</t>
  </si>
  <si>
    <t>REAS-116</t>
  </si>
  <si>
    <t>3075-115</t>
  </si>
  <si>
    <t>DORIS JOHANNA NOVOA LOZANO</t>
  </si>
  <si>
    <t>REAS-466</t>
  </si>
  <si>
    <t>3075-114</t>
  </si>
  <si>
    <t>Se anula la viabilidad REAS-117(CORDIS 2018IE11001)</t>
  </si>
  <si>
    <t>REAS-118</t>
  </si>
  <si>
    <t>3075-107</t>
  </si>
  <si>
    <t>GLORIA ESPERANZA CASTRO RODRIGUEZ</t>
  </si>
  <si>
    <t>REAS-120</t>
  </si>
  <si>
    <t>3075-110</t>
  </si>
  <si>
    <t>INGRID ESTEFANY YAGUE RODRIGUEZ</t>
  </si>
  <si>
    <t>REAS-122</t>
  </si>
  <si>
    <t>JENNY KATHERINE GONZALEZ SANCHEZ</t>
  </si>
  <si>
    <t>REAS-125</t>
  </si>
  <si>
    <t>3075-111</t>
  </si>
  <si>
    <t>JUAN CARLOS ALVARADO SANCHEZ</t>
  </si>
  <si>
    <t>Prestación de servicios de profesionales en las diferentes actividades relacionadas con digitalización de fichas, gestión documental, archivo y escaneo de los archivos correspondientes, en el marco de la ejecución del Decreto No 457 de 2017. “Por el cual se crea e implementa el programa de acompañamiento para la mitigación de las acciones derivadas de la recuperación del predio denominado VEREDITAS, ubicado en la localidad de Kennedy”</t>
  </si>
  <si>
    <t>REAS-126</t>
  </si>
  <si>
    <t>LEYDI JOHANA GONZALEZ URREGO</t>
  </si>
  <si>
    <t>REAS-127</t>
  </si>
  <si>
    <t>KATHIA LILIANA RODRIGUEZ CAMARGO</t>
  </si>
  <si>
    <t>REAS-129</t>
  </si>
  <si>
    <t>JUAN PABLO MOJICA FRIEDE</t>
  </si>
  <si>
    <t>REAS-130</t>
  </si>
  <si>
    <t>3075-99</t>
  </si>
  <si>
    <t>LIZETH YANIRA ARDILA MUÑOZ</t>
  </si>
  <si>
    <t>REAS-131</t>
  </si>
  <si>
    <t>3075-120</t>
  </si>
  <si>
    <t>MARTA ESPERANZA CARDENAS ESTRADA</t>
  </si>
  <si>
    <t>REAS-133</t>
  </si>
  <si>
    <t>MARTHA CAROLINA HERNANDEZ ACEVEDO</t>
  </si>
  <si>
    <t>REAS-134</t>
  </si>
  <si>
    <t>RUTH MIREYA VARGAS FIGUEREDO</t>
  </si>
  <si>
    <t>REAS-135</t>
  </si>
  <si>
    <t>3075-112</t>
  </si>
  <si>
    <t>SONIA MILENA PINZON GARZON</t>
  </si>
  <si>
    <t>REAS-136</t>
  </si>
  <si>
    <t>3075-119</t>
  </si>
  <si>
    <t>REAS-137</t>
  </si>
  <si>
    <t>VLADIMIR  MARTINEZ MARTINEZ</t>
  </si>
  <si>
    <t>REAS-138</t>
  </si>
  <si>
    <t>YALEIDY ANDREA RICO RADA</t>
  </si>
  <si>
    <t>REAS-139</t>
  </si>
  <si>
    <t>3075-105</t>
  </si>
  <si>
    <t>ANGEL EDUARDO TRIANA ROJAS</t>
  </si>
  <si>
    <t>REAS-141</t>
  </si>
  <si>
    <t>ELCIDA  CONTRERAS AYALA</t>
  </si>
  <si>
    <t>REAS-142</t>
  </si>
  <si>
    <t>FRANCISCO EUGENIO SUPELANO SUAREZ</t>
  </si>
  <si>
    <t>REAS-145</t>
  </si>
  <si>
    <t>3075-106</t>
  </si>
  <si>
    <t>Asignacion del instrumento financiero a las familias ocupantes del predio que hayan superado la fase de verificacion dentro del marco del Decreto 457 de 2017. LOCALIDAD: KENNEDY; BARRIO: VEREDITAS; ID:2017-8-383832</t>
  </si>
  <si>
    <t>REAS-153</t>
  </si>
  <si>
    <t>3075-91</t>
  </si>
  <si>
    <t>SARA JOHANNA MONTAÑO PRIETO</t>
  </si>
  <si>
    <t>Asignacion del instrumento financiero a las familias ocupantes del predio que hayan superado la fase de verificacion dentro del marco del Decreto 457 de 2017. LOCALIDAD: KENNEDY; BARRIO: VEREDITAS; ID:2017-8-383652</t>
  </si>
  <si>
    <t>REAS-154</t>
  </si>
  <si>
    <t>FLOR MARINA MAHECHA SANCHEZ</t>
  </si>
  <si>
    <t>Asignacion del instrumento financiero a las familias ocupantes del predio que hayan superado la fase de verificacion dentro del marco del Decreto 457 de 2017. LOCALIDAD: KENNEDY; BARRIO: VEREDITAS; ID:2017-8-383660</t>
  </si>
  <si>
    <t>REAS-155</t>
  </si>
  <si>
    <t>MARLEN  PRIETO QUIROGA</t>
  </si>
  <si>
    <t>Asignacion del instrumento financiero a las familias ocupantes del predio que hayan superado la fase de verificacion dentro del marco del Decreto 457 de 2017. LOCALIDAD: KENNEDY; BARRIO: VEREDITAS; ID:2017-8-383690</t>
  </si>
  <si>
    <t>REAS-156</t>
  </si>
  <si>
    <t>REYES ALFONSO LEYTON</t>
  </si>
  <si>
    <t>Asignacion del instrumento financiero a las familias ocupantes del predio que hayan superado la fase de verificacion dentro del marco del Decreto 457 de 2017. LOCALIDAD: KENNEDY; BARRIO: VEREDITAS; ID:2017-8-383724</t>
  </si>
  <si>
    <t>REAS-157</t>
  </si>
  <si>
    <t>DIANA KATERIN ESTEVEZ USSA</t>
  </si>
  <si>
    <t>Asignacion del instrumento financiero a las familias ocupantes del predio que hayan superado la fase de verificacion dentro del marco del Decreto 457 de 2017. LOCALIDAD: KENNEDY; BARRIO: VEREDITAS; ID:2017-8-383788</t>
  </si>
  <si>
    <t>REAS-158</t>
  </si>
  <si>
    <t>YULI ALEJANDRA RICO GUTIERREZ</t>
  </si>
  <si>
    <t>Asignacion del instrumento financiero a las familias ocupantes del predio que hayan superado la fase de verificacion dentro del marco del Decreto 457 de 2017. LOCALIDAD: KENNEDY; BARRIO: VEREDITAS; ID:2017-8-383725</t>
  </si>
  <si>
    <t>REAS-159</t>
  </si>
  <si>
    <t>ELCIA  MUÑOZ DE JIMENEZ</t>
  </si>
  <si>
    <t>Asignacion del instrumento financiero a las familias ocupantes del predio que hayan superado la fase de verificacion dentro del marco del Decreto 457 de 2017. LOCALIDAD: KENNEDY; BARRIO: VEREDITAS; ID:2017-8-383714</t>
  </si>
  <si>
    <t>REAS-160</t>
  </si>
  <si>
    <t>INES  VALENCIA ORTIZ</t>
  </si>
  <si>
    <t>Asignacion del instrumento financiero a las familias ocupantes del predio que hayan superado la fase de verificacion dentro del marco del Decreto 457 de 2017. LOCALIDAD: KENNEDY; BARRIO: VEREDITAS; ID:2017-8-383707</t>
  </si>
  <si>
    <t>REAS-161</t>
  </si>
  <si>
    <t>RUSMEY  VERGARA CHARA</t>
  </si>
  <si>
    <t>Asignacion del instrumento financiero a las familias ocupantes del predio que hayan superado la fase de verificacion dentro del marco del Decreto 457 de 2017. LOCALIDAD: KENNEDY; BARRIO: VEREDITAS; ID:2017-8-383669</t>
  </si>
  <si>
    <t>REAS-174</t>
  </si>
  <si>
    <t>LILIANA PATRICIA GARCIA DIAZ</t>
  </si>
  <si>
    <t>Asignacion del instrumento financiero a las familias ocupantes del predio que hayan superado la fase de verificacion dentro del marco del Decreto 457 de 2017. LOCALIDAD: KENNEDY; BARRIO: VEREDITAS; ID:2017-8-383661</t>
  </si>
  <si>
    <t>REAS-175</t>
  </si>
  <si>
    <t>OLGA MILENA PRIETO ROJAS</t>
  </si>
  <si>
    <t>Asignacion del instrumento financiero a las familias ocupantes del predio que hayan superado la fase de verificacion dentro del marco del Decreto 457 de 2017. LOCALIDAD: KENNEDY; BARRIO: VEREDITAS; ID:2017-8-383694</t>
  </si>
  <si>
    <t>REAS-176</t>
  </si>
  <si>
    <t>GRACIELA  RODRIGUEZ PINTO</t>
  </si>
  <si>
    <t>Asignacion del instrumento financiero a las familias ocupantes del predio que hayan superado la fase de verificacion dentro del marco del Decreto 457 de 2017. LOCALIDAD: KENNEDY; BARRIO: VEREDITAS; ID:2017-8-383702</t>
  </si>
  <si>
    <t>REAS-177</t>
  </si>
  <si>
    <t>LUIS ALBERTO MURCIA ESCALANTE</t>
  </si>
  <si>
    <t>Adquisición de mejoras y cesión de la posesión por Decreto 511 de 2010. LOCALIDAD: CIUDAD BOLIVAR; BARRIO: SANTA VIVIANA; ID: 2003-19-5176</t>
  </si>
  <si>
    <t>REAS-178</t>
  </si>
  <si>
    <t>3075-4</t>
  </si>
  <si>
    <t>ANDRES  YATE</t>
  </si>
  <si>
    <t>VUR de la actual vigencia de acuerdo con el Decreto 255 de 2013. LOCALIDAD: CIUDAD BOLIVAR; BARRIO: PARAISO QUIBA; ID: 2015-Q04-03692</t>
  </si>
  <si>
    <t>REAS-179</t>
  </si>
  <si>
    <t>3075-7</t>
  </si>
  <si>
    <t>MARIA FANNY PERDOMO AMAYA</t>
  </si>
  <si>
    <t>VUR de la actual vigencia de acuerdo con el Decreto 255 de 2013. LOCALIDAD: USAQUEN; BARRIO: CERRO NORTE; ID: 2006-1-9146</t>
  </si>
  <si>
    <t>REAS-180</t>
  </si>
  <si>
    <t>DOLORES  MUNAR DE LOMBANA</t>
  </si>
  <si>
    <t>Asignación de VUR, coforme al avalúo comercial (asignación primera vez). Decreto 255 de 2013. LOCALIDAD: USAQUEN; BARRIO: ARAUQUITA; ID:2009-1-11282</t>
  </si>
  <si>
    <t>REAS-182</t>
  </si>
  <si>
    <t>EUTIMIO  CHAPARRO HUERFANO</t>
  </si>
  <si>
    <t>Ajuste de VUR por Decreto 249 de 2015 (Altos de la Estancia). LOCALIDAD: CIUDAD BOLIVAR; BARRIO: MIRADOR DE LA ESTANCIA; ID: 2012-ALES-69</t>
  </si>
  <si>
    <t>REAS-183
 ANULADA</t>
  </si>
  <si>
    <t>Excedente de VUR conforme al avalúo comercial (asignación segunda vez). LOCALIDAD: SAN CRISTOBAL; BARRIO: LA BELLEZA; ID: 2013-Q10-00496</t>
  </si>
  <si>
    <t>REAS-184</t>
  </si>
  <si>
    <t>ASCENCION REBECA RODRIGUEZ RODRIGUEZ</t>
  </si>
  <si>
    <t>VUR de la actual vigencia de acuerdo con el Decreto 255 de 2013. LOCALIDAD: CIUDAD BOLIVAR; BARRIO: LA CUMBRE 8 DE DICIEMBRE; ID: 2014-LC-00814</t>
  </si>
  <si>
    <t>REAS-185</t>
  </si>
  <si>
    <t>ROSARIO  JANSASOY AGREDA</t>
  </si>
  <si>
    <t>Excedente de VUR conforme al avalúo comercial (asignación segunda vez). Decreto 255 de 2013. LOCALIDAD: SAN CRISTOBAL; BARRIO: QUINDIO; ID: 2015-Q20-04059</t>
  </si>
  <si>
    <t>REAS-186</t>
  </si>
  <si>
    <t>GIOVANNY  GUASCA RODRIGUEZ</t>
  </si>
  <si>
    <t>VUR de la actual vigencia de acuerdo con el Decreto 255 de 2013. LOCALIDAD: CIUDAD BOLIVAR; BARRIO: EL MIRADOR 3; ID: 2017-19-14960</t>
  </si>
  <si>
    <t>REAS-187</t>
  </si>
  <si>
    <t>PASCUAL ALVEIRO SEMANATE ANACONA</t>
  </si>
  <si>
    <t>VUR de la actual vigencia de acuerdo con el Decreto 255 de 2013. LOCALIDAD: CIUDAD BOLIVAR; BARRIO: EL MIRADOR 3; ID: 2017-19-14976</t>
  </si>
  <si>
    <t>REAS-188</t>
  </si>
  <si>
    <t>JOSE IGNACIO TORRES HORTA</t>
  </si>
  <si>
    <t>VUR de la actual vigencia de acuerdo con el Decreto 255 de 2013. LOCALIDAD: CIUDAD BOLIVAR; BARRIO: EL MIRADOR 3; ID: 2017-19-14978</t>
  </si>
  <si>
    <t>REAS-189</t>
  </si>
  <si>
    <t>ALEXANDER  OYOLA CULMA</t>
  </si>
  <si>
    <t>Adquisición predial Decreto 511 de 2010. LOCALIDAD: USAQUEN; BARRIO: CASA DE TEJA; ID: 2013-Q09-00140</t>
  </si>
  <si>
    <t>REAS-190</t>
  </si>
  <si>
    <t>EGBERTO  URREGO VALBUENA</t>
  </si>
  <si>
    <t>Asignacion del instrumento financiero a las familias ocupantes del predio que hayan superado la fase de verificacion dentro del marco del Decreto 457 de 2017. LOCALIDAD: KENNEDY; BARRIO: VEREDITAS; ID:2017-8-383741</t>
  </si>
  <si>
    <t>REAS-191</t>
  </si>
  <si>
    <t>IVANEIDER  VARGAS COLLAZOS</t>
  </si>
  <si>
    <t>Asignacion del instrumento financiero a las familias ocupantes del predio que hayan superado la fase de verificacion dentro del marco del Decreto 457 de 2017. LOCALIDAD: KENNEDY; BARRIO: VEREDITAS; ID:2017-8-383649</t>
  </si>
  <si>
    <t>REAS-192</t>
  </si>
  <si>
    <t>MIGUEL JOSE DELGADO</t>
  </si>
  <si>
    <t>Asignacion del instrumento financiero a las familias ocupantes del predio que hayan superado la fase de verificacion dentro del marco del Decreto 457 de 2017. LOCALIDAD: KENNEDY; BARRIO: VEREDITAS; ID:2017-8-383663</t>
  </si>
  <si>
    <t>REAS-193</t>
  </si>
  <si>
    <t>CAROLINA  NOPE ARIAS</t>
  </si>
  <si>
    <t>Asignacion del instrumento financiero a las familias ocupantes del predio que hayan superado la fase de verificacion dentro del marco del Decreto 457 de 2017. LOCALIDAD: KENNEDY; BARRIO: VEREDITAS; ID:2017-8-383774</t>
  </si>
  <si>
    <t>REAS-194</t>
  </si>
  <si>
    <t>JOHAN SANTIAGO LOPEZ ROMERO</t>
  </si>
  <si>
    <t>Asignacion del instrumento financiero a las familias ocupantes del predio que hayan superado la fase de verificacion dentro del marco del Decreto 457 de 2017. LOCALIDAD: KENNEDY; BARRIO: VEREDITAS; ID:2017-8-383883</t>
  </si>
  <si>
    <t>REAS-195</t>
  </si>
  <si>
    <t>BERTHA LILIANA VASQUEZ CASTRILLON</t>
  </si>
  <si>
    <t>REAS-196</t>
  </si>
  <si>
    <t>CRISTIAN ALEXIS CAIPA LOPEZ</t>
  </si>
  <si>
    <t>Asignacion del instrumento financiero a las familias ocupantes del predio que hayan superado la fase de verificacion dentro del marco del Decreto 457 de 2017. LOCALIDAD: KENNEDY; BARRIO: VEREDITAS; ID:2017-8-383884</t>
  </si>
  <si>
    <t>REAS-197</t>
  </si>
  <si>
    <t>JOHAN DANIEL WILCHES LOPEZ</t>
  </si>
  <si>
    <t>Asignacion del instrumento financiero a las familias ocupantes del predio que hayan superado la fase de verificacion dentro del marco del Decreto 457 de 2017. LOCALIDAD: KENNEDY; BARRIO: VEREDITAS; ID:2017-8-383885</t>
  </si>
  <si>
    <t>REAS-198</t>
  </si>
  <si>
    <t>TATIANA ASTRID GARZON MONCADA</t>
  </si>
  <si>
    <t>Asignacion del instrumento financiero a las familias ocupantes del predio que hayan superado la fase de verificacion dentro del marco del Decreto 457 de 2017. LOCALIDAD: KENNEDY; BARRIO: VEREDITAS; ID:2017-8-383886</t>
  </si>
  <si>
    <t>REAS-199</t>
  </si>
  <si>
    <t>LINA KATHERINE AYALA SANTANA</t>
  </si>
  <si>
    <t>Asignacion del instrumento financiero a las familias ocupantes del predio que hayan superado la fase de verificacion dentro del marco del Decreto 457 de 2017. LOCALIDAD: KENNEDY; BARRIO: VEREDITAS; ID:2017-8-383887</t>
  </si>
  <si>
    <t>REAS-200</t>
  </si>
  <si>
    <t>JUAN DAVID LOPEZ PENAGOS</t>
  </si>
  <si>
    <t>Asignacion del instrumento financiero a las familias ocupantes del predio que hayan superado la fase de verificacion dentro del marco del Decreto 457 de 2017. LOCALIDAD: KENNEDY; BARRIO: VEREDITAS; ID:2017-8-383888</t>
  </si>
  <si>
    <t>REAS-201</t>
  </si>
  <si>
    <t>YERSON FABIAN LOPEZ PENAGOS</t>
  </si>
  <si>
    <t>Asignacion del instrumento financiero a las familias ocupantes del predio que hayan superado la fase de verificacion dentro del marco del Decreto 457 de 2017. LOCALIDAD: KENNEDY; BARRIO: VEREDITAS; ID:2017-8-383889</t>
  </si>
  <si>
    <t>REAS-202</t>
  </si>
  <si>
    <t>ERIC STEVE LOPEZ PENAGOS</t>
  </si>
  <si>
    <t>Asignación de VUR por nuevo avaluo comercial a fin de resolver recurso de reposición (segunda vez). Decreto 255 de 2013. LOCALIDAD: CIUDAD BOLIVAR; BARRIO: SAN RAFAEL; ID:2013-Q21-00660</t>
  </si>
  <si>
    <t>REAS-206</t>
  </si>
  <si>
    <t>JAIME  TORO VALENCIA</t>
  </si>
  <si>
    <t>Adquisición de mejoras Decreto 511 de 2010. LOCALIDAD: CIUDAD BOLIVAR; BARRIO: SANTA VIVIANA; ID:2003-19-5088</t>
  </si>
  <si>
    <t>REAS-207</t>
  </si>
  <si>
    <t>LUZ ENITH OSORIO GUTIERREZ</t>
  </si>
  <si>
    <t>Adquisición predial Decreto 511 de 2010. LOCALIDAD: USME; BARRIO: SAN JUAN DE USME; ID: 2010-5-11479</t>
  </si>
  <si>
    <t>REAS-208</t>
  </si>
  <si>
    <t>ROSALY  GONZALEZ SAENZ</t>
  </si>
  <si>
    <t>Adquisición predial Decreto 511 de 2010. LOCALIDAD: SAN CRISTOBAL; BARRIO: SAN ISIDRO II SECTOR; ID: 2011-4-13158</t>
  </si>
  <si>
    <t>REAS-209</t>
  </si>
  <si>
    <t>AMANDA  ROMERO ESPAÑA</t>
  </si>
  <si>
    <t>Adquisición predial Decreto 511 de 2010. LOCALIDAD: CIUDAD BOLIVAR; BARRIO: VILLAS DE DIAMANTE; ID: 2016-19-14924</t>
  </si>
  <si>
    <t>REAS-210</t>
  </si>
  <si>
    <t>YOLANDA  TOLEDO GONZALEZ</t>
  </si>
  <si>
    <t>Asignación del instrumento financiero a las familias ocupantes del predio que hayan superado la fase de verificación dentro del marco del Decreto 457 de 2017. LOCALIDAD: KENNEDY; BARRIO: VEREDITAS; ID: 2017-8-383894</t>
  </si>
  <si>
    <t>REAS-212</t>
  </si>
  <si>
    <t>ALFREDO  CASTELLANOS</t>
  </si>
  <si>
    <t>Asignación del instrumento financiero a las familias ocupantes del predio que hayan superado la fase de verificación dentro del marco del Decreto 457 de 2017. LOCALIDAD: KENNEDY; BARRIO: VEREDITAS; ID: 2017-8-383895</t>
  </si>
  <si>
    <t>REAS-213</t>
  </si>
  <si>
    <t>EDINSON  LOPEZ RODRIGUEZ</t>
  </si>
  <si>
    <t>Asignación del instrumento financiero a las familias ocupantes del predio que hayan superado la fase de verificación dentro del marco del Decreto 457 de 2017. LOCALIDAD: KENNEDY; BARRIO: VEREDITAS; ID: 2017-8-383896</t>
  </si>
  <si>
    <t>REAS-214</t>
  </si>
  <si>
    <t>JORGE HERNANDO DIAZ SILVA</t>
  </si>
  <si>
    <t>Asignación del instrumento financiero a las familias ocupantes del predio que hayan superado la fase de verificación dentro del marco del Decreto 457 de 2017. LOCALIDAD: KENNEDY; BARRIO: VEREDITAS; ID: 2017-8-383898</t>
  </si>
  <si>
    <t>REAS-215</t>
  </si>
  <si>
    <t>GERMAN RICARDO DIAZ SILVA</t>
  </si>
  <si>
    <t>Asignación del instrumento financiero a las familias ocupantes del predio que hayan superado la fase de verificación dentro del marco del Decreto 457 de 2017. LOCALIDAD: KENNEDY; BARRIO: VEREDITAS; ID: 2017-8-383736</t>
  </si>
  <si>
    <t>REAS-216</t>
  </si>
  <si>
    <t>NIDIA JOHANA JIMENEZ CASTELLANOS</t>
  </si>
  <si>
    <t>Asignación del instrumento financiero a las familias ocupantes del predio que hayan superado la fase de verificación dentro del marco del Decreto 457 de 2017. LOCALIDAD: KENNEDY; BARRIO: VEREDITAS; ID: 2017-8-383811</t>
  </si>
  <si>
    <t>REAS-217</t>
  </si>
  <si>
    <t>JUAN CARLOS LOPEZ RODRIGUEZ</t>
  </si>
  <si>
    <t>Asignación del instrumento financiero a las familias ocupantes del predio que hayan superado la fase de verificación dentro del marco del Decreto 457 de 2017. LOCALIDAD: KENNEDY; BARRIO: VEREDITAS; ID: 2018-8-15013</t>
  </si>
  <si>
    <t>REAS-218</t>
  </si>
  <si>
    <t>Asignación del instrumento financiero a las familias ocupantes del predio que hayan superado la fase de verificación dentro del marco del Decreto 457 de 2017. LOCALIDAD: KENNEDY; BARRIO: VEREDITAS; ID: 2018-8-15015</t>
  </si>
  <si>
    <t>REAS-219</t>
  </si>
  <si>
    <t>EDWARD ANDRES MARENTE BUSTOS</t>
  </si>
  <si>
    <t>Asignación del instrumento financiero a las familias ocupantes del predio que hayan superado la fase de verificación dentro del marco del Decreto 457 de 2017. LOCALIDAD: KENNEDY; BARRIO: VEREDITAS; ID: 2018-8-15017</t>
  </si>
  <si>
    <t>REAS-220</t>
  </si>
  <si>
    <t>ANGGIE JULIETH MARENTE BUSTOS</t>
  </si>
  <si>
    <t>Asignación del instrumento financiero a las familias ocupantes del predio que hayan superado la fase de verificación dentro del marco del Decreto 457 de 2017. LOCALIDAD: KENNEDY; BARRIO: VEREDITAS; ID: 2017-8-383837</t>
  </si>
  <si>
    <t>REAS-221</t>
  </si>
  <si>
    <t>GUILLERMO  LOPEZ SORA</t>
  </si>
  <si>
    <t>Asignación del instrumento financiero a las familias ocupantes del predio que hayan superado la fase de verificación dentro del marco del Decreto 457 de 2017. LOCALIDAD: KENNEDY; BARRIO: VEREDITAS; ID: 2017-8-383839</t>
  </si>
  <si>
    <t>REAS-222</t>
  </si>
  <si>
    <t>LIZETH PAOLA VILLA YAGUARA</t>
  </si>
  <si>
    <t>Asignación del instrumento financiero a las familias ocupantes del predio que hayan superado la fase de verificación dentro del marco del Decreto 457 de 2017. LOCALIDAD: KENNEDY; BARRIO: VEREDITAS; ID: 2017-8-383840</t>
  </si>
  <si>
    <t>REAS-223</t>
  </si>
  <si>
    <t>YOLIBIA ANGELICA YAGUARA</t>
  </si>
  <si>
    <t>Asignación del instrumento financiero a las familias ocupantes del predio que hayan superado la fase de verificación dentro del marco del Decreto 457 de 2017. LOCALIDAD: KENNEDY; BARRIO: VEREDITAS; ID: 2017-8-383691</t>
  </si>
  <si>
    <t>REAS-224</t>
  </si>
  <si>
    <t>ROSA JULIA CHITIVA PABON</t>
  </si>
  <si>
    <t>Asignación del instrumento financiero a las familias ocupantes del predio que hayan superado la fase de verificación dentro del marco del Decreto 457 de 2017. LOCALIDAD: KENNEDY; BARRIO: VEREDITAS; ID: 2017-8-383717</t>
  </si>
  <si>
    <t>REAS-225</t>
  </si>
  <si>
    <t>OLGA LUCIA MORALES RICO</t>
  </si>
  <si>
    <t>Asignación del instrumento financiero a las familias ocupantes del predio que hayan superado la fase de verificación dentro del marco del Decreto 457 de 2017. LOCALIDAD: KENNEDY; BARRIO: VEREDITAS; ID: 2017-8-383639</t>
  </si>
  <si>
    <t>REAS-226</t>
  </si>
  <si>
    <t>MARIA INES GALINDO CASTEBLANCO</t>
  </si>
  <si>
    <t>Asignación del instrumento financiero a las familias ocupantes del predio que hayan superado la fase de verificación dentro del marco del Decreto 457 de 2017. LOCALIDAD: KENNEDY; BARRIO: VEREDITAS; ID: 2017-8-383893</t>
  </si>
  <si>
    <t>REAS-227</t>
  </si>
  <si>
    <t>KAREN NATHALIA RODRIGUEZ MORALES</t>
  </si>
  <si>
    <t>Asignación del instrumento financiero a las familias ocupantes del predio que hayan superado la fase de verificación dentro del marco del Decreto 457 de 2017. LOCALIDAD: KENNEDY; BARRIO: VEREDITAS; ID: 2017-8-383696</t>
  </si>
  <si>
    <t>REAS-228</t>
  </si>
  <si>
    <t>JESICA ALEJANDRA CERON ESPINOSA</t>
  </si>
  <si>
    <t>Asignación del instrumento financiero a las familias ocupantes del predio que hayan superado la fase de verificación dentro del marco del Decreto 457 de 2017. LOCALIDAD: KENNEDY; BARRIO: VEREDITAS; ID: 2018-8-383899</t>
  </si>
  <si>
    <t>REAS-229</t>
  </si>
  <si>
    <t>ANGELICA  CARO BERMUDEZ</t>
  </si>
  <si>
    <t>Asignación del instrumento financiero a las familias ocupantes del predio que hayan superado la fase de verificación dentro del marco del Decreto 457 de 2017. LOCALIDAD: KENNEDY; BARRIO: VEREDITAS; ID: 2018-8-383901</t>
  </si>
  <si>
    <t>REAS-230</t>
  </si>
  <si>
    <t>JHON ALEXANDER OROZCO CHITIVA</t>
  </si>
  <si>
    <t>Asignación del instrumento financiero a las familias ocupantes del predio que hayan superado la fase de verificación dentro del marco del Decreto 457 de 2017. LOCALIDAD: KENNEDY; BARRIO: VEREDITAS; ID: 2018-8-383900</t>
  </si>
  <si>
    <t>REAS-231</t>
  </si>
  <si>
    <t>MARIA GLADYS OSORIO CASTRO</t>
  </si>
  <si>
    <t>Asignación del instrumento financiero a las familias ocupantes del predio que hayan superado la fase de verificación dentro del marco del Decreto 457 de 2017. LOCALIDAD: KENNEDY; BARRIO: VEREDITAS; ID: 2017-8-383848</t>
  </si>
  <si>
    <t>REAS-232</t>
  </si>
  <si>
    <t>YENNI MAYERLY GARCIA DIAZ</t>
  </si>
  <si>
    <t>Asignación del instrumento financiero a las familias ocupantes del predio que hayan superado la fase de verificación dentro del marco del Decreto 457 de 2017. LOCALIDAD: KENNEDY; BARRIO: VEREDITAS; ID: 2017-8-383671</t>
  </si>
  <si>
    <t>REAS-233</t>
  </si>
  <si>
    <t>YENNY CATERINE ALVAREZ AREVALO</t>
  </si>
  <si>
    <t>Asignación del instrumento financiero a las familias ocupantes del predio que hayan superado la fase de verificación dentro del marco del Decreto 457 de 2017. LOCALIDAD: KENNEDY; BARRIO: VEREDITAS; ID: 2017-8-383767</t>
  </si>
  <si>
    <t>REAS-234</t>
  </si>
  <si>
    <t>OMAIRA  SALCEDO ANGARITA</t>
  </si>
  <si>
    <t>Asignación del instrumento financiero a las familias ocupantes del predio que hayan superado la fase de verificación dentro del marco del Decreto 457 de 2017. LOCALIDAD: KENNEDY; BARRIO: VEREDITAS; ID: 2017-8-383655</t>
  </si>
  <si>
    <t>REAS-235</t>
  </si>
  <si>
    <t>JOSE BRANDON TELLO NARANJO</t>
  </si>
  <si>
    <t>Asignación del instrumento financiero a las familias ocupantes del predio que hayan superado la fase de verificación dentro del marco del Decreto 457 de 2017. LOCALIDAD: KENNEDY; BARRIO: VEREDITAS; ID: 2018-8-383921</t>
  </si>
  <si>
    <t>REAS-236</t>
  </si>
  <si>
    <t>MARIA ALEJANDRA ESPINOSA PASCUAS</t>
  </si>
  <si>
    <t>Asignación del instrumento financiero a las familias ocupantes del predio que hayan superado la fase de verificación dentro del marco del Decreto 457 de 2017. LOCALIDAD: KENNEDY; BARRIO: VEREDITAS; ID: 2017-8-383722</t>
  </si>
  <si>
    <t>REAS-237</t>
  </si>
  <si>
    <t>DEIVY JAIR NAVARRO SARMIENTO</t>
  </si>
  <si>
    <t>Asignación del instrumento financiero a las familias ocupantes del predio que hayan superado la fase de verificación dentro del marco del Decreto 457 de 2017. LOCALIDAD: KENNEDY; BARRIO: VEREDITAS; ID: 2017-8-383704</t>
  </si>
  <si>
    <t>REAS-238</t>
  </si>
  <si>
    <t>MARIA CLEOTILDE CARO TOVAR</t>
  </si>
  <si>
    <t>Asignación del instrumento financiero a las familias ocupantes del predio que hayan superado la fase de verificación dentro del marco del Decreto 457 de 2017. LOCALIDAD: KENNEDY; BARRIO: VEREDITAS; ID: 2018-8-383903</t>
  </si>
  <si>
    <t>REAS-239</t>
  </si>
  <si>
    <t>JAIRO  CASTRO MORA</t>
  </si>
  <si>
    <t>Asignación del instrumento financiero a las familias ocupantes del predio que hayan superado la fase de verificación dentro del marco del Decreto 457 de 2017. LOCALIDAD: KENNEDY; BARRIO: VEREDITAS; ID: 2018-8-383902</t>
  </si>
  <si>
    <t>REAS-240</t>
  </si>
  <si>
    <t>SANDRA MILENA CASTRO MORA</t>
  </si>
  <si>
    <t>Asignación del instrumento financiero a las familias ocupantes del predio que hayan superado la fase de verificación dentro del marco del Decreto 457 de 2017. LOCALIDAD: KENNEDY; BARRIO: VEREDITAS; ID: 2018-8-383904</t>
  </si>
  <si>
    <t>REAS-241</t>
  </si>
  <si>
    <t>LUZ ADRIANA GARCIA DIAZ</t>
  </si>
  <si>
    <t>Asignación del instrumento financiero a las familias ocupantes del predio que hayan superado la fase de verificación dentro del marco del Decreto 457 de 2017. LOCALIDAD: KENNEDY; BARRIO: VEREDITAS; ID: 2018-8-383916</t>
  </si>
  <si>
    <t>REAS-242</t>
  </si>
  <si>
    <t>LEYDI CAROLINA ARIZA CAMACHO</t>
  </si>
  <si>
    <t>Asignación del instrumento financiero a las familias ocupantes del predio que hayan superado la fase de verificación dentro del marco del Decreto 457 de 2017. LOCALIDAD: KENNEDY; BARRIO: VEREDITAS; ID: 2018-8-383913</t>
  </si>
  <si>
    <t>REAS-243</t>
  </si>
  <si>
    <t>JOSE MANUEL TORRES NAIZAQUE</t>
  </si>
  <si>
    <t>Asignación del instrumento financiero a las familias ocupantes del predio que hayan superado la fase de verificación dentro del marco del Decreto 457 de 2017. LOCALIDAD: KENNEDY; BARRIO: VEREDITAS; ID: 2018-8-383909</t>
  </si>
  <si>
    <t>REAS-244</t>
  </si>
  <si>
    <t>JOHAN MANUEL TORRES GALINDO</t>
  </si>
  <si>
    <t>Asignación del instrumento financiero a las familias ocupantes del predio que hayan superado la fase de verificación dentro del marco del Decreto 457 de 2017. LOCALIDAD: KENNEDY; BARRIO: VEREDITAS; ID: 2018-8-383917</t>
  </si>
  <si>
    <t>REAS-245</t>
  </si>
  <si>
    <t>MARTHA JANETH ARIZA CAMACHO</t>
  </si>
  <si>
    <t>Asignación del instrumento financiero a las familias ocupantes del predio que hayan superado la fase de verificación dentro del marco del Decreto 457 de 2017. LOCALIDAD: KENNEDY; BARRIO: VEREDITAS; ID: 2017-8-383615</t>
  </si>
  <si>
    <t>REAS-246</t>
  </si>
  <si>
    <t>EDWIN  PATIÑO LEON</t>
  </si>
  <si>
    <t>Asignación del instrumento financiero a las familias ocupantes del predio que hayan superado la fase de verificación dentro del marco del Decreto 457 de 2017. LOCALIDAD: KENNEDY; BARRIO: VEREDITAS; ID: 2017-8-383752</t>
  </si>
  <si>
    <t>REAS-247</t>
  </si>
  <si>
    <t>MARTHA EDITH VALDEZ CORTES</t>
  </si>
  <si>
    <t>Asignación del instrumento financiero a las familias ocupantes del predio que hayan superado la fase de verificación dentro del marco del Decreto 457 de 2017. LOCALIDAD: KENNEDY; BARRIO: VEREDITAS; ID: 2017-8-383789</t>
  </si>
  <si>
    <t>REAS-248</t>
  </si>
  <si>
    <t>AURORA YANETH VELASQUEZ</t>
  </si>
  <si>
    <t>Asignación del instrumento financiero a las familias ocupantes del predio que hayan superado la fase de verificación dentro del marco del Decreto 457 de 2017. LOCALIDAD: KENNEDY; BARRIO: VEREDITAS; ID: 2018-8-383915</t>
  </si>
  <si>
    <t>REAS-249</t>
  </si>
  <si>
    <t>LEIDY YOHANNA AGUILAR VELASQUEZ</t>
  </si>
  <si>
    <t>Asignación del instrumento financiero a las familias ocupantes del predio que hayan superado la fase de verificación dentro del marco del Decreto 457 de 2017. LOCALIDAD: KENNEDY; BARRIO: VEREDITAS; ID: 2018-8-383905</t>
  </si>
  <si>
    <t>REAS-250</t>
  </si>
  <si>
    <t>LUIS ALBERTO CERON ESPINOSA</t>
  </si>
  <si>
    <t>Asignación del instrumento financiero a las familias ocupantes del predio que hayan superado la fase de verificación dentro del marco del Decreto 457 de 2017. LOCALIDAD: KENNEDY; BARRIO: VEREDITAS; ID: 2017-8-383638</t>
  </si>
  <si>
    <t>REAS-251</t>
  </si>
  <si>
    <t>BEYER BENJAMIN GALINDO CASTELBLANCO</t>
  </si>
  <si>
    <t>Asignación del instrumento financiero a las familias ocupantes del predio que hayan superado la fase de verificación dentro del marco del Decreto 457 de 2017. LOCALIDAD: KENNEDY; BARRIO: VEREDITAS; ID: 2018-8-383906</t>
  </si>
  <si>
    <t>REAS-252</t>
  </si>
  <si>
    <t>BLANCA LEONOR AREVALO CAICEDO</t>
  </si>
  <si>
    <t>Asignación del instrumento financiero a las familias ocupantes del predio que hayan superado la fase de verificación dentro del marco del Decreto 457 de 2017. LOCALIDAD: KENNEDY; BARRIO: VEREDITAS; ID: 2018-8-383911</t>
  </si>
  <si>
    <t>REAS-253</t>
  </si>
  <si>
    <t>DANIEL  BARRERA MORENO</t>
  </si>
  <si>
    <t>Asignación del instrumento financiero a las familias ocupantes del predio que hayan superado la fase de verificación dentro del marco del Decreto 457 de 2017. LOCALIDAD: KENNEDY; BARRIO: VEREDITAS; ID: 2018-8-383910</t>
  </si>
  <si>
    <t>REAS-254</t>
  </si>
  <si>
    <t>CELIA MARIA AGUIRRE MUÑOZ</t>
  </si>
  <si>
    <t>Asignación del instrumento financiero a las familias ocupantes del predio que hayan superado la fase de verificación dentro del marco del Decreto 457 de 2017. LOCALIDAD: KENNEDY; BARRIO: VEREDITAS; ID: 2017-8-383612</t>
  </si>
  <si>
    <t>REAS-255</t>
  </si>
  <si>
    <t>ANYI VANESSA ARIZA CAMACHO</t>
  </si>
  <si>
    <t>Asignación del instrumento financiero a las familias ocupantes del predio que hayan superado la fase de verificación dentro del marco del Decreto 457 de 2017. LOCALIDAD: KENNEDY; BARRIO: VEREDITAS; ID: 2018-8-383914</t>
  </si>
  <si>
    <t>REAS-256</t>
  </si>
  <si>
    <t>MANUEL FERNANDO GAMBA MARTINEZ</t>
  </si>
  <si>
    <t>Asignación del instrumento financiero a las familias ocupantes del predio que hayan superado la fase de verificación dentro del marco del Decreto 457 de 2017. LOCALIDAD: KENNEDY; BARRIO: VEREDITAS; ID: 2018-8-383601</t>
  </si>
  <si>
    <t>REAS-257
 ANULADA</t>
  </si>
  <si>
    <t>Se anula la voabilidad REAS - 257, de acuerdo con memorando 2018IE2222
Se reintegran los recursos a la líena 91</t>
  </si>
  <si>
    <t>Asignación del instrumento financiero a las familias ocupantes del predio que hayan superado la fase de verificación dentro del marco del Decreto 457 de 2017. LOCALIDAD: KENNEDY; BARRIO: VEREDITAS; ID: 2018-8-383918</t>
  </si>
  <si>
    <t>REAS-258</t>
  </si>
  <si>
    <t>PAOLA ANDREA GOMEZ RAMIREZ</t>
  </si>
  <si>
    <t>Asignación del instrumento financiero a las familias ocupantes del predio que hayan superado la fase de verificación dentro del marco del Decreto 457 de 2017. LOCALIDAD: KENNEDY; BARRIO: VEREDITAS; ID: 2018-8-383919</t>
  </si>
  <si>
    <t>REAS-259</t>
  </si>
  <si>
    <t>IVAN RIVERA CESPEDES</t>
  </si>
  <si>
    <t>Adquisición de mejoras Decreto 511 de 2010. LOCALIDAD: CIUDAD BOLIVAR; BARRIO: PARAISO QUIBA; ID:2013-Q04-00402</t>
  </si>
  <si>
    <t>REAS-260</t>
  </si>
  <si>
    <t>LUIS ALBERTO FAJARDO</t>
  </si>
  <si>
    <t>Adquisición predial Decreto 511 de 2010. LOCALIDAD: USME; BARRIO: MOCHUELO; ID: 2013-Q09-00437</t>
  </si>
  <si>
    <t>REAS-261</t>
  </si>
  <si>
    <t>EDNA MARGARITA JIMENEZ VEGA</t>
  </si>
  <si>
    <t>Adquisición predial Decreto 511 de 2010. LOCALIDAD: SAN CRISTOBAL; BARRIO: NUEVA GLORIA; ID: 2015-Q20-01311</t>
  </si>
  <si>
    <t>REAS-262</t>
  </si>
  <si>
    <t>MARISOL  AGREDO CLARO</t>
  </si>
  <si>
    <t>Adquisición predial Decreto 511 de 2010. LOCALIDAD: CIUDAD BOLIVAR; BARRIO: BUENOS AIRES; ID: 2014-Q06-00865</t>
  </si>
  <si>
    <t>REAS-263</t>
  </si>
  <si>
    <t>ARMANDO  LOPERA SANCHEZ</t>
  </si>
  <si>
    <t>Reajuste de VUR por avalúo comercial (Segunda vez). Decreto 255 de 2013. LOCALIDAD: CIUDAD BOLIVAR; BARRIO: POTOSI; ID: 2013000474</t>
  </si>
  <si>
    <t>REAS-264</t>
  </si>
  <si>
    <t>3075-5</t>
  </si>
  <si>
    <t>PABLO ALFONSO LEON ORTIZ</t>
  </si>
  <si>
    <t>Asignación del instrumento financiero a las familias ocupantes del predio que hayan superado la fase de verificación dentro del marco del Decreto 457 de 2017. LOCALIDAD: KENNEDY; BARRIO: VEREDITAS; ID: 2018-8-383925</t>
  </si>
  <si>
    <t>REAS-265</t>
  </si>
  <si>
    <t>CAROLINA  RAMIREZ PEÑA</t>
  </si>
  <si>
    <t>Asignación del instrumento financiero a las familias ocupantes del predio que hayan superado la fase de verificación dentro del marco del Decreto 457 de 2017. LOCALIDAD: KENNEDY; BARRIO: VEREDITAS; ID: 2017-8-383758</t>
  </si>
  <si>
    <t>REAS-266</t>
  </si>
  <si>
    <t>ANGELICA MARIA MONSALVE MALAGON</t>
  </si>
  <si>
    <t>Asignación del instrumento financiero a las familias ocupantes del predio que hayan superado la fase de verificación dentro del marco del Decreto 457 de 2017. LOCALIDAD: KENNEDY; BARRIO: VEREDITAS; ID: 2018-8-383912</t>
  </si>
  <si>
    <t>REAS-267</t>
  </si>
  <si>
    <t>JOSE DAVID RODRIGUEZ VALDES</t>
  </si>
  <si>
    <t>Asignación del instrumento financiero a las familias ocupantes del predio que hayan superado la fase de verificación dentro del marco del Decreto 457 de 2017. LOCALIDAD: KENNEDY; BARRIO: VEREDITAS; ID: 2018-8-383920</t>
  </si>
  <si>
    <t>REAS-268</t>
  </si>
  <si>
    <t>VICTOR LEONARDO CERON ESPINOSA</t>
  </si>
  <si>
    <t>Asignación del instrumento financiero a las familias ocupantes del predio que hayan superado la fase de verificación dentro del marco del Decreto 457 de 2017. LOCALIDAD: KENNEDY; BARRIO: VEREDITAS; ID: 2018-8-383924</t>
  </si>
  <si>
    <t>REAS-269</t>
  </si>
  <si>
    <t>NIKOL KAROLAY RUIZ SANCHEZ</t>
  </si>
  <si>
    <t>Asignación del instrumento financiero a las familias ocupantes del predio que hayan superado la fase de verificación dentro del marco del Decreto 457 de 2017. LOCALIDAD: KENNEDY; BARRIO: VEREDITAS; ID: 2017-8-383607</t>
  </si>
  <si>
    <t>REAS-270</t>
  </si>
  <si>
    <t>RUBIELA  LEON OBANDO</t>
  </si>
  <si>
    <t>Asignación del instrumento financiero a las familias ocupantes del predio que hayan superado la fase de verificación dentro del marco del Decreto 457 de 2017. LOCALIDAD: KENNEDY; BARRIO: VEREDITAS; ID: 2018-8-383930</t>
  </si>
  <si>
    <t>REAS-271</t>
  </si>
  <si>
    <t>LUISA FERNANDA MAHECHA MORENO</t>
  </si>
  <si>
    <t>Asignación del instrumento financiero a las familias ocupantes del predio que hayan superado la fase de verificación dentro del marco del Decreto 457 de 2017. LOCALIDAD: KENNEDY; BARRIO: VEREDITAS; ID: 2018-8-383927</t>
  </si>
  <si>
    <t>REAS-272</t>
  </si>
  <si>
    <t>WILLIAM  GALINDO CASTEBLANCO</t>
  </si>
  <si>
    <t>Asignación del instrumento financiero a las familias ocupantes del predio que hayan superado la fase de verificación dentro del marco del Decreto 457 de 2017. LOCALIDAD: KENNEDY; BARRIO: VEREDITAS; ID: 2018-8-383926</t>
  </si>
  <si>
    <t>REAS-273</t>
  </si>
  <si>
    <t>SARA  VASQUEZ CARDONA</t>
  </si>
  <si>
    <t>01 - Construcción, adecuación y ampliación de infraestructura propia del sector</t>
  </si>
  <si>
    <t>0529 - Sentencias Judiciales</t>
  </si>
  <si>
    <t>Providencia ordena pagar gastos de auxiliar de justicia en el marco de la Acción Popular No. 2016-00177 enero de 2018</t>
  </si>
  <si>
    <t>REAS-274</t>
  </si>
  <si>
    <t>3075-10</t>
  </si>
  <si>
    <t>DIEGO EDWIN PULIDO MOLANO</t>
  </si>
  <si>
    <t>Asignación del instrumento financiero a las familias ocupantes del predio que hayan superado la fase de verificación dentro del marco del Decreto 457 de 2017. LOCALIDAD: KENNEDY; BARRIO: VEREDITAS; ID: 2018-8-383929</t>
  </si>
  <si>
    <t>REAS-275</t>
  </si>
  <si>
    <t>JEIMY ALEJANDRA RUEDA LEON</t>
  </si>
  <si>
    <t>Asignación del instrumento financiero a las familias ocupantes del predio que hayan superado la fase de verificación dentro del marco del Decreto 457 de 2017. LOCALIDAD: KENNEDY; BARRIO: VEREDITAS; ID: 2018-8-383928</t>
  </si>
  <si>
    <t>REAS-276</t>
  </si>
  <si>
    <t>PAULA ANDREA LONDOÑO LEON</t>
  </si>
  <si>
    <t>Asignación del instrumento financiero a las familias ocupantes del predio que hayan superado la fase de verificación dentro del marco del Decreto 457 de 2017. LOCALIDAD: KENNEDY; BARRIO: VEREDITAS; ID: 2017-8-383781</t>
  </si>
  <si>
    <t>REAS-277</t>
  </si>
  <si>
    <t>JORGE  LOMBANA MOTTA</t>
  </si>
  <si>
    <t>VUR de la actual vigencia. Decreto 255 de 2013. LOCALIDAD: CHAPINERO; BARRIO: SAN LUIS ALTOS DEL CABO; ID: 2009-2-11209</t>
  </si>
  <si>
    <t>REAS-278</t>
  </si>
  <si>
    <t>GRACIELA  LEGUIZAMON CALDERON</t>
  </si>
  <si>
    <t>Asignación del instrumento financiero a las familias ocupantes del predio que hayan superado la fase de verificación dentro del marco del Decreto 457 de 2017. LOCALIDAD: KENNEDY; BARRIO: VEREDITAS; ID: 2018-8-15223</t>
  </si>
  <si>
    <t>REAS-279</t>
  </si>
  <si>
    <t>CAROLAING  JOYA CUELLAR</t>
  </si>
  <si>
    <t>Asignación del instrumento financiero a las familias ocupantes del predio que hayan superado la fase de verificación dentro del marco del Decreto 457 de 2017. LOCALIDAD: KENNEDY; BARRIO: VEREDITAS; ID: 2017-8-383-732</t>
  </si>
  <si>
    <t>REAS-280</t>
  </si>
  <si>
    <t>OMAR MANUEL AGAMEZ RIVAS</t>
  </si>
  <si>
    <t>Asignación del instrumento financiero a las familias ocupantes del predio que hayan superado la fase de verificación dentro del marco del Decreto 457 de 2017. LOCALIDAD: KENNEDY; BARRIO: VEREDITAS; ID: 2017-8-383765</t>
  </si>
  <si>
    <t>REAS-281</t>
  </si>
  <si>
    <t>MARIA PATRICIA FLOREZ HERNANDEZ</t>
  </si>
  <si>
    <t>Asignación del instrumento financiero a las familias ocupantes del predio que hayan superado la fase de verificación dentro del marco del Decreto 457 de 2017. LOCALIDAD: KENNEDY; BARRIO: VEREDITAS; ID: 2018-8-15224</t>
  </si>
  <si>
    <t>REAS-282</t>
  </si>
  <si>
    <t>FREDY ALEXANDER NAVARRO SARMIENTO</t>
  </si>
  <si>
    <t>REAS-283</t>
  </si>
  <si>
    <t>3075-9</t>
  </si>
  <si>
    <t>Asignacion del instrumento financiero a las familias ocupantes del predio que hayan superado la fase de verificacion dentro del marco del Decreto 457 de 2017. LOCALIDAD: KENNEDY; BARRIO: VEREDITAS; ID: 2017-8-383601</t>
  </si>
  <si>
    <t>REAS-284</t>
  </si>
  <si>
    <t>ANA MARIA GOMEZ RAMIREZ</t>
  </si>
  <si>
    <t>Asignacion del instrumento financiero a las familias ocupantes del predio que hayan superado la fase de verificacion dentro del marco del Decreto 457 de 2017. LOCALIDAD: KENNEDY; BARRIO: VEREDITAS; ID: 2018-8-15299</t>
  </si>
  <si>
    <t>REAS-285</t>
  </si>
  <si>
    <t>WILMERS DAVID RICO SILVA</t>
  </si>
  <si>
    <t>Asignacion del instrumento financiero a las familias ocupantes del predio que hayan superado la fase de verificacion dentro del marco del Decreto 457 de 2017. LOCALIDAD: KENNEDY; BARRIO: VEREDITAS; ID: 2017-8-383787</t>
  </si>
  <si>
    <t>REAS-286</t>
  </si>
  <si>
    <t>CARLOS ARTURO RICO GUTIERREZ</t>
  </si>
  <si>
    <t>Asignacion del instrumento financiero a las familias ocupantes del predio que hayan superado la fase de verificacion dentro del marco del Decreto 457 de 2017. LOCALIDAD: KENNEDY; BARRIO: VEREDITAS; ID: 2018-8-384266</t>
  </si>
  <si>
    <t>REAS-287</t>
  </si>
  <si>
    <t>HERNANDO  GOMEZ AMAYA</t>
  </si>
  <si>
    <t>Asignacion del instrumento financiero a las familias ocupantes del predio que hayan superado la fase de verificacion dentro del marco del Decreto 457 de 2017. LOCALIDAD: KENNEDY; BARRIO: VEREDITAS; ID: 2018-8-384268</t>
  </si>
  <si>
    <t>REAS-288</t>
  </si>
  <si>
    <t>ALISON DANIELA MUÑOZ REYES</t>
  </si>
  <si>
    <t>Asignacion del instrumento financiero a las familias ocupantes del predio que hayan superado la fase de verificacion dentro del marco del Decreto 457 de 2017. LOCALIDAD: KENNEDY; BARRIO: VEREDITAS; ID: 2017-8-383676</t>
  </si>
  <si>
    <t>REAS-289</t>
  </si>
  <si>
    <t>JHONATAN HARLEY PINZON AVILA</t>
  </si>
  <si>
    <t>Asignacion del instrumento financiero a las familias ocupantes del predio que hayan superado la fase de verificacion dentro del marco del Decreto 457 de 2017. LOCALIDAD: KENNEDY; BARRIO: VEREDITAS; ID: 2017-8-383614</t>
  </si>
  <si>
    <t>REAS-290</t>
  </si>
  <si>
    <t>CARLOS JULIO LEON OBANDO</t>
  </si>
  <si>
    <t>Prórroga y Adición al Contrato 561 de 2017 cuyo obejto es: Prestación de servicios profesionales para el acompañamiento jurídico en las actuaciones propias que requiera la Dirección de Reasentamientos de la Caja de la Vivienda Popular, en el marco de la ejecución del Decreto 457 de 2017 "Por el cual se crea e implementa el programa de acompañamiento para la mitigación de las acciones derivadas de la recuperación del predio denominado VEREDITAS, ubicado en la localidad de Kennedy"</t>
  </si>
  <si>
    <t>REAS-292</t>
  </si>
  <si>
    <t>GINA ESTEPHANIA LESCANO NIÑO</t>
  </si>
  <si>
    <t>01 Creación de la Linea</t>
  </si>
  <si>
    <t>VUR de la actual vigencia. Decreto 255 de 2013. LOCALIDAD: CIUDAD BOLIVAR; BARRIO: POTOSI; ID:2015-Q18-04422</t>
  </si>
  <si>
    <t>REAS-293</t>
  </si>
  <si>
    <t>LUZ DARY TRIANA AGUIAR</t>
  </si>
  <si>
    <t>VUR de la actual vigencia. Decreto 255 de 2013. LOCALIDAD: CIUDAD BOLIVAR; BARRIO: SAUCES HORTALIZAS (HORTALIZAS); ID:2012-19-14175</t>
  </si>
  <si>
    <t>REAS-294</t>
  </si>
  <si>
    <t>CARMEN NANCY RINCON DE BORDA</t>
  </si>
  <si>
    <t>Reajuste de VUR para completar el cierre financiero de la vivienda de reposición escogida por el beneficiario en el proyecto Torres de San Miguel. LOCALIDAD: CIUDAD BOLIVAR; BARRIO: MIRADOR DE LA ESTANCIA I; ID:2012-ALES-231</t>
  </si>
  <si>
    <t>REAS-295</t>
  </si>
  <si>
    <t>CARLOS  CASTILLO ALMARIO</t>
  </si>
  <si>
    <t>Asignacion del instrumento financiero a las familias ocupantes del predio que hayan superado la fase de verificacion dentro del marco del Decreto 457 de 2017. LOCALIDAD: KENNEDY; BARRIO: VEREDITAS; ID: 2017-8-383653</t>
  </si>
  <si>
    <t>REAS-296</t>
  </si>
  <si>
    <t>JOHN DIDIER TIRADO ROSERO</t>
  </si>
  <si>
    <t>Asignacion del instrumento financiero a las familias ocupantes del predio que hayan superado la fase de verificacion dentro del marco del Decreto 457 de 2017. LOCALIDAD: KENNEDY; BARRIO: VEREDITAS; ID: 2017-8-383771</t>
  </si>
  <si>
    <t>REAS-297</t>
  </si>
  <si>
    <t>LOURDES CELINA NAVAS</t>
  </si>
  <si>
    <t>Asignacion del instrumento financiero a las familias ocupantes del predio que hayan superado la fase de verificacion dentro del marco del Decreto 457 de 2017. LOCALIDAD: KENNEDY; BARRIO: VEREDITAS; ID: 2017-8-383763</t>
  </si>
  <si>
    <t>REAS-298</t>
  </si>
  <si>
    <t>JOSE BASILICO GONZALEZ MURCIA</t>
  </si>
  <si>
    <t>Adquisición predial por Decreto 511 de 2010. LOCALIDAD: SAN CRISTOBAL; BARRIO: MONTEBELLO; ID:2010-4-11874</t>
  </si>
  <si>
    <t>REAS-379</t>
  </si>
  <si>
    <t>3075-4
3075-332</t>
  </si>
  <si>
    <t>ISABEL CRISTINA VARGAS CRISTANCHO</t>
  </si>
  <si>
    <t>REPROGRAMACION (Proyección de Ejecución Febrero 2018)</t>
  </si>
  <si>
    <t>Adquisición predial por Decreto 511 de 2010. LOCALIDAD: USME; BARRIO: YOPAL EL PEDREGAL; ID: 2010-5-11503</t>
  </si>
  <si>
    <t>REAS-426</t>
  </si>
  <si>
    <t>CLAUDIA YIRLEY LEAL CHUNZA</t>
  </si>
  <si>
    <t>Aplicación Decreto 511 de diciembre 14 de 2010 artículo primero que autoriza a la entidad a adquirir los predios de familias localizadas en zonas de alto riesgo no mitigable hasta agotar presupuesto</t>
  </si>
  <si>
    <t>VUR para Reasentamientos de Hogares Localizados en Zonas de Alto Riesgo No Mitigable</t>
  </si>
  <si>
    <t>VUR de la actual vigencia. La asignación se realiza para dar cumplimiento al fallo de acción popular 2002-00152-Suba Gavilanes. Decreto 255 de 2013. LOCALIDAD: SUBA (GAVILANES); BARRIO: BILBAO; ID: 2018-11-15152</t>
  </si>
  <si>
    <t>REAS-387</t>
  </si>
  <si>
    <t>3075-6</t>
  </si>
  <si>
    <t>MARIA DEL CARMEN SUAREZ DE BELLO</t>
  </si>
  <si>
    <t>VUR de la actual vigencia. La asignación se realiza para dar cumplimiento al fallo de acción popular 2002-00152 - Suba Gavilanes. Decreto 255 de 2013. LOCALIDAD: SUBA (GAVILANES); BARRIO: BILBAO; ID:2018-11-15060</t>
  </si>
  <si>
    <t>REAS-396</t>
  </si>
  <si>
    <t>LUIS CARLOS RAMIREZ</t>
  </si>
  <si>
    <t>SIN PROYECCION (Ejecucion sujeta a la expedicion del decreto de actualizacion de VUR</t>
  </si>
  <si>
    <t>VUR de la actual vigencia. La asignación se realiza para dar cumplimiento al fallo de acción popular 2002-00152- Suba Gavilanes. Decreto 255 de 2013. LOCALIDAD: SUBA GAVILANES; BARRIO: SANTA CECILIA; ID: 2018-11-15187</t>
  </si>
  <si>
    <t>REAS-417</t>
  </si>
  <si>
    <t>PETRONILA  CASTILLO</t>
  </si>
  <si>
    <t>VUR de la actual vigencia. La asignación se realiza para dar cumplimiento al fallo de acción popular 2002-00152- Suba Gavilanes. Decreto 255 de 2013. LOCALIDAD: SUBA GAVILANES; BARRIO: SAN PEDRO DE TIBABUYES: ID: 2018-11-15335</t>
  </si>
  <si>
    <t>Reajuste de VUR por avalúo comercial. Decreto 255 de 2013. LOCALIDAD: RAFAEL URIBE URIBE; BARRIO: MARCO FIDEL SUAREZ; ID: 2011-18-13217</t>
  </si>
  <si>
    <t>REAS-423</t>
  </si>
  <si>
    <t>RODRIGO  PARRA MALAVER</t>
  </si>
  <si>
    <t>OF. 6201 - MAYO 4/18
21/06/2018</t>
  </si>
  <si>
    <t xml:space="preserve"> 3/06/18</t>
  </si>
  <si>
    <t>VUR de la actual vigencia. La asignación se realiza para dar cumplimiento al fallo de acción popular 2002-00152- Suba Gavilanes. Decreto 255 de 2013. LOCALIDAD: SUBA GAVILANES; BARRIO: BILVAO; ID: 2018-11-15078</t>
  </si>
  <si>
    <t>REAS-429</t>
  </si>
  <si>
    <t>VICTOR MANUEL ORDOÑEZ MELO</t>
  </si>
  <si>
    <t>VUR de la actual vigencia. La asignación se realiza para dar cumplimiento al fallo de acción popular 2002-00152 - Suba Gavilanes. Decreto 255 de 2013. LOCALIDAD: SUBA GAVILANES; BARRIO: BILBAO; ID: 2018-11-15071</t>
  </si>
  <si>
    <t>REAS-450</t>
  </si>
  <si>
    <t>ELYS MARIA CARBONEL ESTRADA</t>
  </si>
  <si>
    <t>REPROGRAMACION (Proyección de Ejecución Febrero 2018)
Se disminuye lo programado en $460.410.000 (CORDIS 2018IE13462)</t>
  </si>
  <si>
    <t>Reajuste de VUR por avalúo comercial. Decreto 255 de 2013. LOCALIDAD: SAN CRISTOBAL; BARRIO: QUINDIO; ID:2014-Q20-01179</t>
  </si>
  <si>
    <t>REAS-425</t>
  </si>
  <si>
    <t>3075-8</t>
  </si>
  <si>
    <t>LIGIA  ROMERO OLIVEROS</t>
  </si>
  <si>
    <t>VUR de la actual vigencia. La asignación se realiza para dar cumplimiento al fallo de acción popular 2002-00152- Suba Gavilanes. Decreto 255 de 2013. LOCALIDAD: SUBA GAVILANES; BARRIO: BILVAO; ID: 2018-11-15166</t>
  </si>
  <si>
    <t>REAS-439</t>
  </si>
  <si>
    <t>NANCY PATRICIA TALERO ZAMUDIO</t>
  </si>
  <si>
    <t>VUR de la actual vigencia. Decreto 255 de 2013. LOCALIDAD: CIUDAD BOLIVAR; BARRIO: JUAN PABLO II; ID: 2015-Q03-03401</t>
  </si>
  <si>
    <t>REAS-473</t>
  </si>
  <si>
    <t>Reajuste de VUR por avalúo comercial. Decreto 255 de 2013. LOCALIDAD: CIUDAD BOLIVAR; BARRIO: SANTA VIVIANA; ID:2012-ALES-526</t>
  </si>
  <si>
    <t>REAS-482</t>
  </si>
  <si>
    <t>3075-8
3075-352</t>
  </si>
  <si>
    <t>YULI ANDREA GONZALEZ ARDILA</t>
  </si>
  <si>
    <t>SEPTIEMBRE ($120.026.126)
 OCTUBRE ($57.174.750)
 NOVIEMBRE( $195.879.234)</t>
  </si>
  <si>
    <t>REAS-420</t>
  </si>
  <si>
    <t>SIN PROYECCION (Ejecucion sujeta a la entrega de viviendas)</t>
  </si>
  <si>
    <t>06 - Gastos operativos</t>
  </si>
  <si>
    <t>0271 - Gastos de Viaje</t>
  </si>
  <si>
    <t xml:space="preserve">Reconocimiento de gastos de Viaje para garantizar el acompañamiento integral a las familias identificadas acorde con las distintas modalidades de reasentamiento. Estas incluyen: relocalización transitoria, viviendas de reposición nuevas y viviendas de reposición usadas, en cualquier lugar del territorio nacional. 
</t>
  </si>
  <si>
    <t xml:space="preserve">Reconocimiento de gastos de Viaje para garantizar el acompañamiento integral a las familias identificadas acorde con las distintas modalidades de reasentamiento. Estas incluyen: relocalización transitoria, viviendas de reposición nuevas y viviendas de reposición usadas, en cualquier lugar del territorio nacional. </t>
  </si>
  <si>
    <t>SIN PROYECCION (Ejecucion sujeta a la ubicación de la vivienda de reposicion seleccionada por las familias</t>
  </si>
  <si>
    <t>REDUCCION PRESUPUESTAL</t>
  </si>
  <si>
    <t>REAS-299</t>
  </si>
  <si>
    <t>3075-347</t>
  </si>
  <si>
    <t>REDUCCION PRESUPUESTAL (Decreto 259 del 30 de abril de 2018 )</t>
  </si>
  <si>
    <t>REDUCCION PRESUPUESTAL (Circular 002 de 27 de febrero de 2018 - Mayor % en reservas presupuestales 2017)</t>
  </si>
  <si>
    <t>Prórroga y adición al contrato No. 541 de 2017 cuyo objeto es: "Prestación de servicios profesionales para acompañar la ejecución de diferentes actividades relacionadas con el componente social de la Dirección de Resentamientos de la Caja de la Vivienda Popular, en el marco de la ejecución del Decreto 457 de 2017 "Por el cual se crea e implementa el programa de acompañamiento para la mitigación de las acciones derivadas de la recuperación del predio denominado VEREDITAS, ubicado en la localidad de Kennedy"</t>
  </si>
  <si>
    <t>REAS-300</t>
  </si>
  <si>
    <t>CINDY MARYORY RAMIREZ DURAN</t>
  </si>
  <si>
    <t>Prórroga y adición al contrato No. 534 de 2017 cuyo objeto es: "Prestación de servicios profesionales para el acompañamiento en la ejecución de las diferentes actividades relacionadas con el componente técnico de la Dirección de Resentamientos de la Caja de la Vivienda Popular, en el marco de la ejecución del Decreto 457 de 2017 "Por el cual se crea e implementa el programa de acompañamiento para la mitigación de las acciones derivadas de la recuperación del predio denominado VEREDITAS, ubicado en la localidad de Kennedy"</t>
  </si>
  <si>
    <t>REAS-301</t>
  </si>
  <si>
    <t>DIANA CAROLINA RATIVA SANTAFE</t>
  </si>
  <si>
    <t>Asignacion del instrumento financiero a las familias ocupantes del predio que hayan superado la fase de verificacion dentro del marco del Decreto 457 de 2017. LOCALIDAD: KENNEDY; BARRIO: VEREDITAS; ID: 2018-8-384292</t>
  </si>
  <si>
    <t>REAS-302</t>
  </si>
  <si>
    <t>JESUS ENRIQUE BERGAÑO MARTINEZ</t>
  </si>
  <si>
    <t>Asignacion del instrumento financiero a las familias ocupantes del predio que hayan superado la fase de verificacion dentro del marco del Decreto 457 de 2017. LOCALIDAD: KENNEDY; BARRIO: VEREDITAS; ID: 2018-8-384287</t>
  </si>
  <si>
    <t>REAS-303</t>
  </si>
  <si>
    <t>RENZO MANUEL BUITRAGO NAVAS</t>
  </si>
  <si>
    <t>Prórroga y adición al contrato No. 537 de 2017 cuyo objeto es:"Prestación de servicios profesionales para el acompañamiento jurídico en las actuaciones propias que requiera la Dirección de Resentamientos de la Caja de la Vivienda Popular, en el marco de la ejecución del Decreto 457 de 2017 "Por el cual se crea e implementa el programa de acompañamiento para la mitigación de las acciones derivadas de la recuperación del predio denominado VEREDITAS, ubicado en la localidad de Kennedy"</t>
  </si>
  <si>
    <t>REAS-304</t>
  </si>
  <si>
    <t>Prórroga y adición al contrato No. 540 de 2017 cuyo objeto es:"Prestación de servicios profesionales para acompañar la ejecución de diferentes actividades relacionadas con el componente social de la Dirección de Resentamientos de la Caja de la Vivienda Popular, en el marco de la ejecución del Decreto 457 de 2017 "Por el cual se crea e implementa el programa de acompañamiento para la mitigación de las acciones derivadas de la recuperación del predio denominado VEREDITAS, ubicado en la localidad de Kennedy"</t>
  </si>
  <si>
    <t>REAS-305</t>
  </si>
  <si>
    <t>LINA YESSENIA CAMPOS PASTRAN</t>
  </si>
  <si>
    <t>Prórroga y adición al contrato No. 552 de 2017 cuyo objeto es:"Prestación de servicios profesionales para el acompañamiento en la ejecución de las diferentes actividades relacionadas con el componente técnico de la Dirección de Resentamientos de la Caja de la Vivienda Popular, en el marco de la ejecución del Decreto 457 de 2017 "Por el cual se crea e implementa el programa de acompañamiento para la mitigación de las acciones derivadas de la recuperación del predio denominado VEREDITAS, ubicado en la localidad de Kennedy"</t>
  </si>
  <si>
    <t>REAS-306</t>
  </si>
  <si>
    <t>LUZ CECILIA MARTINEZ MOSQUERA</t>
  </si>
  <si>
    <t>Prórroga y adición al contrato No. 542 de 2017 cuyo objeto es:"Prestación de servicios profesionales para acompañar la ejecución de diferentes actividades relacionadas con el componente social de la Dirección de Resentamientos de la Caja de la Vivienda Popular, en el marco de la ejecución del Decreto 457 de 2017 "Por el cual se crea e implementa el programa de acompañamiento para la mitigación de las acciones derivadas de la recuperación del predio denominado VEREDITAS, ubicado en la localidad de Kennedy"</t>
  </si>
  <si>
    <t>REAS-307</t>
  </si>
  <si>
    <t>MARIA DEL PILAR FERNANDEZ GARCIA</t>
  </si>
  <si>
    <t>Prórroga y adición al contrato No. 554 de 2017 cuyo objeto es:"Prestación de servicios profesionales para acompañar la ejecución de diferentes actividades relacionadas con el componente social de la Dirección de Resentamientos de la Caja de la Vivienda Popular, en el marco de la ejecución del Decreto 457 de 2017 "Por el cual se crea e implementa el programa de acompañamiento para la mitigación de las acciones derivadas de la recuperación del predio denominado VEREDITAS, ubicado en la localidad de Kennedy"</t>
  </si>
  <si>
    <t>REAS-308</t>
  </si>
  <si>
    <t>Prórroga y adición al contrato No. 543 de 2017 cuyo objeto es:"Prestación de servicios profesionales para el acompañamiento jurídico en las actuaciones propias que requiera la Dirección de Resentamientos de la Caja de la Vivienda Popular, en el marco de la ejecución del Decreto 457 de 2017 "Por el cual se crea e implementa el programa de acompañamiento para la mitigación de las acciones derivadas de la recuperación del predio denominado VEREDITAS, ubicado en la localidad de Kennedy"</t>
  </si>
  <si>
    <t>REAS-309</t>
  </si>
  <si>
    <t>MARISOL  DELGADO FANDIÑO</t>
  </si>
  <si>
    <t>Prórroga y adición al contrato No. 549 de 2017 cuyo objeto es:"Prestación de servicios profesionales para acompañar la ejecución de diferentes actividades relacionadas con el componente social de la Dirección de Resentamientos de la Caja de la Vivienda Popular, en el marco de la ejecución del Decreto 457 de 2017 "Por el cual se crea e implementa el programa de acompañamiento para la mitigación de las acciones derivadas de la recuperación del predio denominado VEREDITAS, ubicado en la localidad de Kennedy"</t>
  </si>
  <si>
    <t>REAS-310</t>
  </si>
  <si>
    <t>NATALIA ANDREA MELENDEZ MONTENEGRO</t>
  </si>
  <si>
    <t>Prórroga y adición al contrato No. 544 de 2017 cuyo objeto es:"Prestación de servicios profesionales para el acompañamiento en la ejecución de las diferentes actividades relacionadas con el componente técnico de la Dirección de Resentamientos de la Caja de la Vivienda Popular, en el marco de la ejecución del Decreto 457 de 2017 "Por el cual se crea e implementa el programa de acompañamiento para la mitigación de las acciones derivadas de la recuperación del predio denominado VEREDITAS, ubicado en la localidad de Kennedy"</t>
  </si>
  <si>
    <t>REAS-311</t>
  </si>
  <si>
    <t>OSCAR  ROBAYO ULLOA</t>
  </si>
  <si>
    <t>Prórroga y adición al contrato No. 546 de 2017 cuyo objeto es:"Prestación de servicios profesionales para el acompañamiento en la ejecución de las diferentes actividades relacionadas con el componente técnico de la Dirección de Resentamientos de la Caja de la Vivienda Popular, en el marco de la ejecución del Decreto 457 de 2017 "Por el cual se crea e implementa el programa de acompañamiento para la mitigación de las acciones derivadas de la recuperación del predio denominado VEREDITAS, ubicado en la localidad de Kennedy"</t>
  </si>
  <si>
    <t>REAS-312</t>
  </si>
  <si>
    <t>SEBASTIAN  HERRERA RAMOS</t>
  </si>
  <si>
    <t>Asignacion del instrumento financiero a las familias ocupantes del predio que hayan superado la fase de verificacion dentro del marco del Decreto 457 de 2017. LOCALIDAD: KENNEDY; BARRIO: VEREDITAS; ID: 2017-8-383670</t>
  </si>
  <si>
    <t>REAS-313</t>
  </si>
  <si>
    <t>JONATHAN ALEJANDRO BRAVO CHAVARRIO</t>
  </si>
  <si>
    <t>TRASLADO PARA PAGO DE PASIVOS EXIGIBLES</t>
  </si>
  <si>
    <t>REAS-314
 ANULADA</t>
  </si>
  <si>
    <t>Traslado para tramitar el pago de pasivos exigibles</t>
  </si>
  <si>
    <t>REAS-315
 ANULADA</t>
  </si>
  <si>
    <t>Asignacion del instrumento financiero a las familias ocupantes del predio que hayan superado la fase de verificacion dentro del marco del Decreto 457 de 2017. LOCALIDAD: KENNEDY; BARRIO: VEREDITAS; ID: 2018-08-15298</t>
  </si>
  <si>
    <t>REAS-316</t>
  </si>
  <si>
    <t>LORENA  CORTES VILLANUEVA</t>
  </si>
  <si>
    <t xml:space="preserve">Asignacion del instrumento financiero a las familias ocupantes del predio que hayan superado la fase de verificacion dentro del marco del Decreto 457 de 2017. </t>
  </si>
  <si>
    <t>Prórroga y adición al contrato No. 551 de 2017 cuyo objeto es: Prestación de servicios profesionales para el acompañamiento jurídico en las actuaciones propias que requiera la Dirección de Reasentamientos de la Caja de la Vivienda Popular,  en el marco de la ejecución del Decreto No 457 de 2017 “Por el cual se crea e implementa el programa de acompañamiento para la mitigación de las acciones derivadas de la recuperación del predio denominado VEREDITAS, ubicado en la localidad de Kennedy”.</t>
  </si>
  <si>
    <t>REAS-318</t>
  </si>
  <si>
    <t>CONSUELO  NAVAS MARTINEZ</t>
  </si>
  <si>
    <t>Prórroga y adición al contrato No. 551 de 2017 cuyo objeto es: Prestación de servicios profesionales para acompañar la ejecución de diferentes actividades relacionadas con el componente social  de la Dirección de Reasentamientos de la Caja de la Vivienda Popular,  en el marco de la ejecución del Decreto No 457 de 2017 “Por el cual se crea e implementa el programa de acompañamiento para la mitigación de las acciones derivadas de la recuperación del predio denominado VEREDITAS, ubicado en la localidad de Kennedy”.</t>
  </si>
  <si>
    <t>REAS-319</t>
  </si>
  <si>
    <t>CINDY LORENA MONROY OSSA</t>
  </si>
  <si>
    <t>Prórroga y adición al contrato No. 545 de 2017 cuyo objeto es: Prestación de servicios profesionales para acompañar la ejecución de diferentes actividades relacionadas con el componente social  de la Dirección de Reasentamientos de la Caja de la Vivienda Popular,  en el marco de la ejecución del Decreto No 457 de 2017 “Por el cual se crea e implementa el programa de acompañamiento para la mitigación de las acciones derivadas de la recuperación del predio denominado VEREDITAS, ubicado en la localidad de Kennedy”.</t>
  </si>
  <si>
    <t>REAS-320</t>
  </si>
  <si>
    <t>LILIANA  MACHADO BOTERO</t>
  </si>
  <si>
    <t>Prórroga y adición al contrato No. 558 de 2017 cuyo objeto es: Prestación de servicios profesionales para acompañar la ejecución de diferentes actividades relacionadas con el componente social  de la Dirección de Reasentamientos de la Caja de la Vivienda Popular,  en el marco de la ejecución del Decreto No 457 de 2017 “Por el cual se crea e implementa el programa de acompañamiento para la mitigación de las acciones derivadas de la recuperación del predio denominado VEREDITAS, ubicado en la localidad de Kennedy”.</t>
  </si>
  <si>
    <t>REAS-321</t>
  </si>
  <si>
    <t>Asignacion del instrumento financiero a las familias ocupantes del predio que hayan superado la fase de verificacion dentro del marco del Decreto 457 de 2017. LOCALIDAD: KENNEDY; BARRIO: VEREDITAS; ID: 2017-8-383744</t>
  </si>
  <si>
    <t>REAS-323</t>
  </si>
  <si>
    <t>NUBIA YADIRA GARZON VELASQUEZ</t>
  </si>
  <si>
    <t>Asignacion del instrumento financiero a las familias ocupantes del predio que hayan superado la fase de verificacion dentro del marco del Decreto 457 de 2017. LOCALIDAD: KENNEDY; BARRIO: VEREDITAS; ID: 2018-08-384303</t>
  </si>
  <si>
    <t>REAS-324</t>
  </si>
  <si>
    <t>NINI JOHANNA OLIVEROS LIZCANO</t>
  </si>
  <si>
    <t>Asignacion del instrumento financiero a las familias ocupantes del predio que hayan superado la fase de verificacion dentro del marco del Decreto 457 de 2017. LOCALIDAD: KENNEDY; BARRIO: VEREDITAS; ID: 2018-08-384302</t>
  </si>
  <si>
    <t>REAS-325</t>
  </si>
  <si>
    <t>YENIFER VALENTINA JAIMES AGUILAR</t>
  </si>
  <si>
    <t>Asignacion del instrumento financiero a las familias ocupantes del predio que hayan superado la fase de verificacion dentro del marco del Decreto 457 de 2017. LOCALIDAD: KENNEDY; BARRIO: VEREDITAS; ID: 2017-8-383678</t>
  </si>
  <si>
    <t>REAS-326</t>
  </si>
  <si>
    <t>FERNANDO  REYES LOZANO</t>
  </si>
  <si>
    <t>Asignacion del instrumento financiero a las familias ocupantes del predio que hayan superado la fase de verificacion dentro del marco del Decreto 457 de 2017. LOCALIDAD: KENNEDY; BARRIO: VEREDITAS; ID: 2018-08-384309</t>
  </si>
  <si>
    <t>REAS-327</t>
  </si>
  <si>
    <t>LUZ AIDEE CALDERÓN ORTIZ</t>
  </si>
  <si>
    <t>Asignacion del instrumento financiero a las familias ocupantes del predio que hayan superado la fase de verificacion dentro del marco del Decreto 457 de 2017. LOCALIDAD: KENNEDY; BARRIO: VEREDITAS; ID: 2017-8-383654</t>
  </si>
  <si>
    <t>REAS-328</t>
  </si>
  <si>
    <t>MARIA DEL PILAR CORTES HERNANDEZ</t>
  </si>
  <si>
    <t>Asignacion del instrumento financiero a las familias ocupantes del predio que hayan superado la fase de verificacion dentro del marco del Decreto 457 de 2017. LOCALIDAD: KENNEDY; BARRIO: VEREDITAS; ID: 2017-8-383680</t>
  </si>
  <si>
    <t>REAS-329</t>
  </si>
  <si>
    <t>EDGAR NAYID BELLO NAVARRETE</t>
  </si>
  <si>
    <t>Asignacion del instrumento financiero a las familias ocupantes del predio que hayan superado la fase de verificacion dentro del marco del Decreto 457 de 2017. LOCALIDAD: KENNEDY; BARRIO: VEREDITAS; ID: 2018-8-384293</t>
  </si>
  <si>
    <t>REAS-330</t>
  </si>
  <si>
    <t>NESTOR FABIO CASTAÑO GALVIS</t>
  </si>
  <si>
    <t>Asignacion del instrumento financiero a las familias ocupantes del predio que hayan superado la fase de verificacion dentro del marco del Decreto 457 de 2017. LOCALIDAD: KENNEDY; BARRIO: VEREDITAS; ID: 2017-08-384315</t>
  </si>
  <si>
    <t>REAS-331
 ANULADA</t>
  </si>
  <si>
    <t>Se anula la voabilidad REAS -331, con memorando 2018IE4013
Se reintegran los recursos a la líena 91</t>
  </si>
  <si>
    <t>Asignacion del instrumento financiero a las familias ocupantes del predio que hayan superado la fase de verificacion dentro del marco del Decreto 457 de 2017. LOCALIDAD: KENNEDY; BARRIO: VEREDITAS; ID: 2017-8-383790</t>
  </si>
  <si>
    <t>REAS-332</t>
  </si>
  <si>
    <t>JORGE REINEL LESMES</t>
  </si>
  <si>
    <t>Asignacion del instrumento financiero a las familias ocupantes del predio que hayan superado la fase de verificacion dentro del marco del Decreto 457 de 2017. LOCALIDAD: KENNEDY; BARRIO: VEREDITAS; ID: 2017-08-384319</t>
  </si>
  <si>
    <t>REAS-333
 ANULADA</t>
  </si>
  <si>
    <t>Se anula la viabilidad REAS - 333, con memorando 2018IE2222
Se reintegran los recursos a la líena 91</t>
  </si>
  <si>
    <t>Asignacion del instrumento financiero a las familias ocupantes del predio que hayan superado la fase de verificacion dentro del marco del Decreto 457 de 2017. LOCALIDAD: KENNEDY; BARRIO: VEREDITAS; ID: 2018-8-384304</t>
  </si>
  <si>
    <t>REAS-334</t>
  </si>
  <si>
    <t>ANGELICA PATRICIA VELASQUEZ</t>
  </si>
  <si>
    <t>Asignacion del instrumento financiero a las familias ocupantes del predio que hayan superado la fase de verificacion dentro del marco del Decreto 457 de 2017. LOCALIDAD: KENNEDY; BARRIO: VEREDITAS; ID: 2018-8-384305</t>
  </si>
  <si>
    <t>REAS-335</t>
  </si>
  <si>
    <t>MISAEL  MARTIN</t>
  </si>
  <si>
    <t>Asignacion del instrumento financiero a las familias ocupantes del predio que hayan superado la fase de verificacion dentro del marco del Decreto 457 de 2017. LOCALIDAD: KENNEDY; BARRIO: VEREDITAS; ID: 2018-8-384306</t>
  </si>
  <si>
    <t>REAS-336</t>
  </si>
  <si>
    <t>OSCAR HERNAN AGUILAR VARELA</t>
  </si>
  <si>
    <t>Asignacion del instrumento financiero a las familias ocupantes del predio que hayan superado la fase de verificacion dentro del marco del Decreto 457 de 2017. LOCALIDAD: KENNEDY; BARRIO: VEREDITAS; ID: 2018-8-384307</t>
  </si>
  <si>
    <t>REAS-337</t>
  </si>
  <si>
    <t>LAURA CAMILA ESCOBAR QUINTERO</t>
  </si>
  <si>
    <t>Asignacion del instrumento financiero a las familias ocupantes del predio que hayan superado la fase de verificacion dentro del marco del Decreto 457 de 2017. LOCALIDAD: KENNEDY; BARRIO: VEREDITAS; ID: 2018-8-384311</t>
  </si>
  <si>
    <t>REAS-338</t>
  </si>
  <si>
    <t>MAUREN  SIERRA FONSECA</t>
  </si>
  <si>
    <t>Asignacion del instrumento financiero a las familias ocupantes del predio que hayan superado la fase de verificacion dentro del marco del Decreto 457 de 2017. LOCALIDAD: KENNEDY; BARRIO: VEREDITAS; ID: 2018-8-384313</t>
  </si>
  <si>
    <t>REAS-339</t>
  </si>
  <si>
    <t>JESSICA LIZBETH PUENTES TELLEZ</t>
  </si>
  <si>
    <t>Asignacion del instrumento financiero a las familias ocupantes del predio que hayan superado la fase de verificacion dentro del marco del Decreto 457 de 2017. LOCALIDAD: KENNEDY; BARRIO: VEREDITAS; ID: 2018-8-384310</t>
  </si>
  <si>
    <t>REAS-340</t>
  </si>
  <si>
    <t>OMAR  FRANCO MOLINA</t>
  </si>
  <si>
    <t>Asignacion del instrumento financiero a las familias ocupantes del predio que hayan superado la fase de verificacion dentro del marco del Decreto 457 de 2017. LOCALIDAD: KENNEDY; BARRIO: VEREDITAS; ID: 2018-8-384312</t>
  </si>
  <si>
    <t>REAS-341</t>
  </si>
  <si>
    <t>JANETH  GOMEZ TRIANA</t>
  </si>
  <si>
    <t>Asignacion del instrumento financiero a las familias ocupantes del predio que hayan superado la fase de verificacion dentro del marco del Decreto 457 de 2017. LOCALIDAD: KENNEDY; BARRIO: VEREDITAS; ID: 2018-8-384314</t>
  </si>
  <si>
    <t>REAS-342</t>
  </si>
  <si>
    <t>CARLOS ARTURO TAPIERO RUIZ</t>
  </si>
  <si>
    <t>VUR de la actual vigencia. Decreto 255 de 2013. LOCALIDAD: CIUDAD BOLIVAR; BARRIO: EL MOCHUELO IV; ID: 2016-19-00024</t>
  </si>
  <si>
    <t>REAS-343</t>
  </si>
  <si>
    <t>JOSE PARMENIO LOPEZ</t>
  </si>
  <si>
    <t>VUR de la actual vigencia. Decreto 255 de 2013. LOCALIDAD: CIUDAD BOLIVAR; BARRIO: ESTRELLA DEL SUR; ID: 2014-Q05-00840</t>
  </si>
  <si>
    <t>REAS-344</t>
  </si>
  <si>
    <t>WILLIAM  VIUCHE CUPITRA</t>
  </si>
  <si>
    <t>VUR de la actual vigencia. Decreto 255 de 2013. LOCALIDAD: CIUDAD BOLIVAR; BARRIO: CARACOLI; ID: 2013-Q18-00383</t>
  </si>
  <si>
    <t>REAS-345
 ANULADA</t>
  </si>
  <si>
    <t>740
 ANULADO</t>
  </si>
  <si>
    <t>REAS-382
 ANULADA</t>
  </si>
  <si>
    <t>3075-4
 3075-333</t>
  </si>
  <si>
    <t>SE REALIZA TRASLADO PARA PAGO DE PASIVOS (Acuerdo 05 de 16 de julio de 2018)</t>
  </si>
  <si>
    <t>REAS-405
 ANULADA</t>
  </si>
  <si>
    <t>Valor excedente de providencia ordena pagar gastos de auxiliar de justificia en el marco de la Acción Popular No. 2016-00177 enero de 2018</t>
  </si>
  <si>
    <t>REAS-348</t>
  </si>
  <si>
    <t>3075-364</t>
  </si>
  <si>
    <t>Conforme a lo establecido en el autos de fecha 15 de enero  y  6 de marzo de 2016 se debe cancelar el valor de honorarios definido por el Juzgado 52 administrativo del circuito de Bogotá</t>
  </si>
  <si>
    <t>Asignacion del instrumento financiero a las familias ocupantes del predio que hayan superado la fase de verificacion dentro del marco del Decreto 457 de 2017. LOCALIDAD: KENNEDY; BARRIO: VEREDITAS; ID: 2018-08-384353</t>
  </si>
  <si>
    <t>REAS-349</t>
  </si>
  <si>
    <t>JOSE ARMANDO PAIBA</t>
  </si>
  <si>
    <t>1503/2018</t>
  </si>
  <si>
    <t>Asignacion del instrumento financiero a las familias ocupantes del predio que hayan superado la fase de verificacion dentro del marco del Decreto 457 de 2017. LOCALIDAD: KENNEDY; BARRIO: VEREDITAS; ID: 2018-08-384354</t>
  </si>
  <si>
    <t>REAS-350</t>
  </si>
  <si>
    <t>ANGELICA ANDREA CORTES</t>
  </si>
  <si>
    <t>Asignacion del instrumento financiero a las familias ocupantes del predio que hayan superado la fase de verificacion dentro del marco del Decreto 457 de 2017. LOCALIDAD: KENNEDY; BARRIO: VEREDITAS; ID: 2018-08-384320</t>
  </si>
  <si>
    <t>REAS-351</t>
  </si>
  <si>
    <t>JULIO  ROMERO</t>
  </si>
  <si>
    <t>Asignacion del instrumento financiero a las familias ocupantes del predio que hayan superado la fase de verificacion dentro del marco del Decreto 457 de 2017. LOCALIDAD: KENNEDY; BARRIO: VEREDITAS; ID: 2017-8-383720</t>
  </si>
  <si>
    <t>REAS-353</t>
  </si>
  <si>
    <t>MARISOL  HERNANDEZ PEREA</t>
  </si>
  <si>
    <t>REAS-354</t>
  </si>
  <si>
    <t>CELENIA  GARCIA JULIO</t>
  </si>
  <si>
    <t>REAS-355</t>
  </si>
  <si>
    <t>CLAUDIA PATRICIA BLANCO GARCIA</t>
  </si>
  <si>
    <t>Asignacion del instrumento financiero a las familias ocupantes del predio que hayan superado la fase de verificacion dentro del marco del Decreto 457 de 2017. LOCALIDAD: KENNEDY; BARRIO: VEREDITAS; ID: 2018-08-384315</t>
  </si>
  <si>
    <t>REAS-356</t>
  </si>
  <si>
    <t>JHON FREDY PINZON GOMEZ</t>
  </si>
  <si>
    <t>MEMORANDO 4012</t>
  </si>
  <si>
    <t>Asignacion del instrumento financiero a las familias ocupantes del predio que hayan superado la fase de verificacion dentro del marco del Decreto 457 de 2017. LOCALIDAD: KENNEDY; BARRIO: VEREDITAS; ID: 2018-08-384319</t>
  </si>
  <si>
    <t>REAS-357</t>
  </si>
  <si>
    <t>JENNY CATALINA PINZON ZEA</t>
  </si>
  <si>
    <t>VUR de conformidad con el avalúo comercial (Asignación Primera Vez). Decreto 255 de 2013. LOCALIDAD; RAFAEL URIBE URIBE; BARRIO: GRANJAS DE SAN PABLO; ID: 2006-18-8886</t>
  </si>
  <si>
    <t>REAS-358</t>
  </si>
  <si>
    <t>LUIS ALFONSO PARRA BENAVIDES</t>
  </si>
  <si>
    <t>VUR de la actual vigencia (Asignación primera vez). Decreto 255 de 2013. LOCALIDAD: CIUDAD BOLIVAR; BARRIO: PARAISO QUIBA; ID:2014-Q21-00711</t>
  </si>
  <si>
    <t>REAS-359</t>
  </si>
  <si>
    <t>SANDRA YANET PARRA RODRIGUEZ</t>
  </si>
  <si>
    <t>Excedente de VUR por avalúo comercial. Decreto 255 de 2013. LOCALIDAD: SAN CRISTOBAL; BARRIO:QUINDIO; ID:2015-Q20-01326</t>
  </si>
  <si>
    <t>REAS-360</t>
  </si>
  <si>
    <t>RUTH ZAFIR ROJAS CASTILLO</t>
  </si>
  <si>
    <t>Adquisición de mejoras por Decreto 511 de 2010. LOCALIDAD: CIUDAD BOLIVAR; BARRIO: PARAISO QUIBA; ID: 2015-Q04-03691</t>
  </si>
  <si>
    <t>REAS-361</t>
  </si>
  <si>
    <t>3075-332</t>
  </si>
  <si>
    <t>VUR de la actual vigencia. Decreto 255 de 2013. LOCALIDAD: CIUDAD BOLIVAR; BARRIO: EL MOCHUELO II NORTE; ID: 2015-Q09-03262</t>
  </si>
  <si>
    <t>REAS-363</t>
  </si>
  <si>
    <t>FRANCELINA  DIAZ RINCON</t>
  </si>
  <si>
    <t>VUR de la actual vigencia. Decreto 255 de 2013. LOCALIDAD: USME; BARRIO: ARRAYANES V; ID:2016-Q05-00003</t>
  </si>
  <si>
    <t>REAS-364</t>
  </si>
  <si>
    <t>BERNARDO  PALOMINO</t>
  </si>
  <si>
    <t>Excedente de VUR por avalúo comercial. Decreto 255 de 2013. LOCALIDAD: SAN CRISTOBAL; BARRIO:LOS LIBERTADORES; ID:2013-Q18-00106</t>
  </si>
  <si>
    <t>REAS-365</t>
  </si>
  <si>
    <t>MARIA CLEMENTINA FIGUEREDO ROJAS</t>
  </si>
  <si>
    <t>Adquisición de mejoras por Decreto 511 de 2010. LOCALIDAD: CIUDAD BOLIVAR; BARRIO: ESPINO III; ID: 2012-ALES-198</t>
  </si>
  <si>
    <t>REAS-366</t>
  </si>
  <si>
    <t>GONZALO  MUÑOZ GORDILLO</t>
  </si>
  <si>
    <t>Adquisición predial por Decreto 511 de 2010. LOCALIDAD: SAN CRISTOBAL;VILLA DEL CERRO; ID: 2015-Q20-01356</t>
  </si>
  <si>
    <t>REAS-367</t>
  </si>
  <si>
    <t>OVIDIO  MORALES MONSALVE</t>
  </si>
  <si>
    <t>Adquisición de mejoras por Decreto 511 de 2010. LOCALIDAD: SAN CRISTOBAL;VILLA DEL CERRO; ID: 2015-Q20-01356</t>
  </si>
  <si>
    <t>Adquisición de mejoras por Decreto 511 de 2010. LOCALIDAD: SANTA FE; BARRIO: SAN FRANCISCO RURAL; ID: 2015-Q24-01531</t>
  </si>
  <si>
    <t>REAS-368</t>
  </si>
  <si>
    <t>LUIS PABLO GARZON RAMIREZ</t>
  </si>
  <si>
    <t>VUR de la actual vigencia. Decreto 255 de 2013. LOCALIDAD: USAQUEN; BARRIO: EL CODITO V; ID:2007-1-10589</t>
  </si>
  <si>
    <t>REAS-369</t>
  </si>
  <si>
    <t>DIOSELINA  ARIAS DE TOVAR</t>
  </si>
  <si>
    <t>Adquisición de mejoras por Decreto 511 de 2010. LOCALIDAD: CIUDAD BOLIVAR; BARRIO: LOS TRES REYES I ETAPA; ID: 2003-19-4556</t>
  </si>
  <si>
    <t>REAS-370</t>
  </si>
  <si>
    <t>JAIRO  BARRERO DIAZ</t>
  </si>
  <si>
    <t>VUR de la actual vigencia. Decreto 255 de 2013. LOCALIDAD: USAQUEN; BARRIO:SANTA CECILIA BAJA; ID:2005-1-7523</t>
  </si>
  <si>
    <t>REAS-371</t>
  </si>
  <si>
    <t>GUSTAVO  LOBATON VARGAS</t>
  </si>
  <si>
    <t>VUR de la actual vigencia. Decreto 255 de 2013. LOCALIDAD: CIUDAD BOLIVAR; BARRIO: BELLA FLOR SUR; ID:2015-Q03-03337</t>
  </si>
  <si>
    <t>REAS-372</t>
  </si>
  <si>
    <t>HERNAN  PULIDO GALINDO</t>
  </si>
  <si>
    <t>Adquisición predial por Decreto 511 de 2010. LOCALIDAD: SAN CRISTOBAL;BARRIO: LA BELLEZA; ID: 2013-Q10-00424</t>
  </si>
  <si>
    <t>REAS-373</t>
  </si>
  <si>
    <t>ARQUIMEDES  RODRIGUEZ OVIEDO</t>
  </si>
  <si>
    <t>VUR conforme al avalúo comercial. Decreto 255 de 2013 LOCALIDAD: USAQUEN; BARRIO: TIBABITA RURAL; ID:2006-1-7963</t>
  </si>
  <si>
    <t>REAS-374</t>
  </si>
  <si>
    <t>OSCAR MAURICIO MEDINA VARGAS</t>
  </si>
  <si>
    <t>VUR conforme al avalúo comercial. Decreto 255 de 2013 LOCALIDAD: CIUDAD BOLIVAR; BARRIO: RINCON DEL PORVENIR; ID:2005-19-7498</t>
  </si>
  <si>
    <t>REAS-375</t>
  </si>
  <si>
    <t>LEONOR  CHAUTA DE BOHORQUEZ</t>
  </si>
  <si>
    <t>Cumplimiento de la orden impartida por el Juzgado Treinta y Seis Penal del Circuito con Función de Conocimiento de Bogotá D.C, mediante providencia del 09 de abril de 2018, notificada a la Caja de la Vivienda Popular el 17 de abril de 2018, en el marco de la Acción de Tutela 2018-0013, instaurada por el señor JESUS MARÍA GONZÁLEZ RODRÍGUEZ.</t>
  </si>
  <si>
    <t>REAS-376</t>
  </si>
  <si>
    <t>3075-356</t>
  </si>
  <si>
    <t>JESUS MARIA GONZALEZ RODRIGUEZ</t>
  </si>
  <si>
    <t>Pago por Sentencia pago de ayuda por Relocalización Transitoria</t>
  </si>
  <si>
    <t>Adquisición predial por Decreto 511 de 2010. LOCALIDAD: USME; BARRIO: ARRAYANES V; ID: 2015-Q01-04328</t>
  </si>
  <si>
    <t>REAS-377</t>
  </si>
  <si>
    <t>LUIS ALBERTO ZAMBRANO LOPEZ</t>
  </si>
  <si>
    <t>VUR de la actual vigencia. Decreto 255 de 2013. LOCALIDAD: SUBA; BARRIO: SAN PEDRO; DE TIBABUYES; ID: 2018-11-15274</t>
  </si>
  <si>
    <t>REAS-380</t>
  </si>
  <si>
    <t>LEONOR  LEON DE GALINDO</t>
  </si>
  <si>
    <t>REAS-381</t>
  </si>
  <si>
    <t>0065 - Decreto 227 de 2015 -
PAIMIS</t>
  </si>
  <si>
    <t>Asignación de recursos equivalentes a 70 salarios minimos legales vigentes, conforme a lo estipulado en el decreto 227 de 2015. LOCALIDAD: KENNEDY; BARRIO: LAS PALMITAS; ID: 2017-08-14939</t>
  </si>
  <si>
    <t>REAS-384</t>
  </si>
  <si>
    <t>3075-342</t>
  </si>
  <si>
    <t>JUAN CARLOS GARCIA</t>
  </si>
  <si>
    <t>Asignación de recursos equivalentes a 70 salarios minimos legales vigentes, conforme a lo estipulado en el decreto 227 de 2015. LOCALIDAD: KENNEDY; BARRIO: LAS PALMITAS; ID: 22016-08-14844</t>
  </si>
  <si>
    <t>REAS-385</t>
  </si>
  <si>
    <t>EDUIN ALBERTO HERNANDEZ SANCHEZ</t>
  </si>
  <si>
    <t>Recursos para amparar traslado presupuestal</t>
  </si>
  <si>
    <t>REAS-386
 ANULADA</t>
  </si>
  <si>
    <t>3075-354</t>
  </si>
  <si>
    <t>Aprobado por el Consejo Directivo a través del Acuerdo 04 de 8 de junio de 2018 (incorporado en PREDIS el 19 de junio de 2018)</t>
  </si>
  <si>
    <t>TRASLADO PRESUPUESTAL ENTRE PROYECTOS DE INVERSION 3075  - 208 Y 7328</t>
  </si>
  <si>
    <t>Asignación de recursos equivalentes a 70 salarios minimos legales vigentes, conforme a lo estipulado en el decreto 227 de 2015. LOCALIDAD: KENNEDY; BARRIO: LAS PALMITAS; ID: 22016-08-14912</t>
  </si>
  <si>
    <t>REAS-389</t>
  </si>
  <si>
    <t>3075-343</t>
  </si>
  <si>
    <t>YENIFER GABRIELA ORJUELA PACHECO</t>
  </si>
  <si>
    <t>VUR de la actual vigencia. La asignación se realiza para dar cumplimiento al fallo de acción popular 2002-00152-Suba Gavilanes. Decreto 255 de 2013. LOCALIDAD: SUBA (GAVILANES); BARRIO: SANTA CECILIA; ID: 2018-11-15198</t>
  </si>
  <si>
    <t>REAS-388</t>
  </si>
  <si>
    <t>3075-339
3075-340</t>
  </si>
  <si>
    <t>FLOR ELISA ULLOA PUENTES</t>
  </si>
  <si>
    <t>Asignación del Instrumento financiero a las familias ocupantes del predio que hayan superado la fase de verificación dentro del marco del Decreto 457 de 2017. LOCALIDAD: KENNEDY; BARRIO: VEREDITAS; ID: 2018-08-384308</t>
  </si>
  <si>
    <t>REAS-393</t>
  </si>
  <si>
    <t>3075-92</t>
  </si>
  <si>
    <t>LUZ KATHERINE TAMAYO HERNANDEZ</t>
  </si>
  <si>
    <t>Asignación del Instrumento financiero a las familias ocupantes del predio que hayan superado la fase de verificación dentro del marco del Decreto 457 de 2017. LOCALIDAD: KENNEDY; BARRIO: VEREDITAS; ID: 2018-8-384317</t>
  </si>
  <si>
    <t>REAS-395</t>
  </si>
  <si>
    <t>CESAR ANDRES BARON LESMES</t>
  </si>
  <si>
    <t>VUR de la actual vigencia. La asignación se realiza para dar cumplimiento al fallo de acción popular 2002-00152 - Suba Gavilanes. Decreto 255 de 2013. LOCALIDAD: SUBA (GAVILANES); BARRIO: SANTA CECILIA; ID:2018-11-15140</t>
  </si>
  <si>
    <t>REAS-397</t>
  </si>
  <si>
    <t>3075-340</t>
  </si>
  <si>
    <t>LUZ MARINA ZEA GUTIERREZ</t>
  </si>
  <si>
    <t>VUR de la actual vigencia. La asignación se realiza para dar cumplimiento al fallo de acción popular 2002-00152 - Suba Gavilanes. Decreto 255 de 2013. LOCALIDAD: SUBA (GAVILANES); BARRIO: SANTA CECILIA; ID:2018-11-15186</t>
  </si>
  <si>
    <t>REAS-398
 ANULADA</t>
  </si>
  <si>
    <t>840
  ANULADO</t>
  </si>
  <si>
    <t>VUR de la actual vigencia. La asignación se realiza para dar cumplimiento al fallo de acción popular 2002-00152 - Suba Gavilanes. Decreto 255 de 2013. LOCALIDAD: SUBA (GAVILANES); BARRIO: SANTA CECILIA; ID:2018-11-15195</t>
  </si>
  <si>
    <t>REAS-399</t>
  </si>
  <si>
    <t>3075-340
3075-341</t>
  </si>
  <si>
    <t>BELEN  CASTAÑEDA</t>
  </si>
  <si>
    <t>VUR de la actual vigencia. La asignación se realiza para dar cumplimiento al fallo de acción popular 2002-00152 - Suba Gavilanes. Decreto 255 de 2013. LOCALIDAD: SUBA (GAVILANES); BARRIO: SANTA CECILIA; ID:2018-11-15214</t>
  </si>
  <si>
    <t>REAS-400</t>
  </si>
  <si>
    <t>3075-341</t>
  </si>
  <si>
    <t>BLANCA NORA MONTENEGRO</t>
  </si>
  <si>
    <t>VUR de la actual vigencia. La asignación se realiza para dar cumplimiento al fallo de acción popular 2002-00152 - Suba Gavilanes. Decreto 255 de 2013. LOCALIDAD: SUBA (GAVILANES); BARRIO: SANTA CECILIA; ID:2018-11-15303</t>
  </si>
  <si>
    <t>REAS-401</t>
  </si>
  <si>
    <t>LETICIA  FIERRO GARRIDO</t>
  </si>
  <si>
    <t>VUR de la actual vigencia. Decreto 255 de 2013. LOCALIDAD: CIUDAD BOLIVAR; BARRIO: EL MOCHUELO II; ID: 2015-Q09-03242</t>
  </si>
  <si>
    <t>REAS-402</t>
  </si>
  <si>
    <t>JOSE ALEXANDER MORALES MORALES</t>
  </si>
  <si>
    <t>VUR de la actual vigencia. Decreto 255 de 2013. LOCALIDAD: SAN CRISTOBAL; BARRIO: CANADA O GUIRA; ID: 2015-Q20-03845</t>
  </si>
  <si>
    <t>REAS-403</t>
  </si>
  <si>
    <t>ROSA ANTONIA VILLAMIL BUITRAGO</t>
  </si>
  <si>
    <t>REAS-406
 ANULADA</t>
  </si>
  <si>
    <t>3075-411</t>
  </si>
  <si>
    <t>VUR de la actual vigencia. Decreto 255 de 2013. LOCALIDAD: SAN CRISTOBAL; BARRIO: MONTEBELLO; ID: 2010-4-11860</t>
  </si>
  <si>
    <t>REAS-407</t>
  </si>
  <si>
    <t>ANA ZORAIDA LEGUIZAMON PICON</t>
  </si>
  <si>
    <t>VUR de la actual vigencia. Decreto 255 de 2013. LOCALIDAD: CIUDAD BOLIVAR; BARRIO: JUAN PABLO II; ID: 2015-Q03-03414</t>
  </si>
  <si>
    <t>REAS-408</t>
  </si>
  <si>
    <t>REINA DOLORES ORDOÑEZ NAVARRO</t>
  </si>
  <si>
    <t>Adquisción predial por Decreto 511 de 2010. LOCALIDAD: RAFAEL URIBE; BARRIO: MADRID; ID: 2004-18-5522</t>
  </si>
  <si>
    <t>REAS-409</t>
  </si>
  <si>
    <t>3075-333</t>
  </si>
  <si>
    <t>JOSE NELSON QUITIAN SANTAMARIA</t>
  </si>
  <si>
    <t>Adquisción predial por Decreto 511 de 2010. LOCALIDAD: CIUDAD BOLIVAR; BARRIO: PARAISO QUIBA; ID: 2013-Q04-00760</t>
  </si>
  <si>
    <t>REAS-410</t>
  </si>
  <si>
    <t>LUIS FRANCISCO PULIDO GONZALEZ</t>
  </si>
  <si>
    <t>Adquisción predial por Decreto 511 de 2010. LOCALIDAD: USAQUEN; BARRIO: EL CODITO; ID: 2006-1-7979</t>
  </si>
  <si>
    <t>REAS-411</t>
  </si>
  <si>
    <t>LUZ MARINA VARGAS</t>
  </si>
  <si>
    <t>Adquisición Predial por Decreto 511 de 2010. LOCALIDAD: USME; BARRIO: SAN JUAN DE USME; ID: 2010-5-11488</t>
  </si>
  <si>
    <t>REAS-412</t>
  </si>
  <si>
    <t>MARIA ROSMIRA ROJAS DE CEBALLOS</t>
  </si>
  <si>
    <t>VUR de la actual vigencia. Decreto 255 de 2013. LOCALIDAD: CIUDAD BOLIVAR; BARRIO: SAN FRANCISCO; ID: 2015-Q03-03557</t>
  </si>
  <si>
    <t>REAS-413</t>
  </si>
  <si>
    <t>MARIA NELCY SASTOQUE VARGAS</t>
  </si>
  <si>
    <t>VUR de la actual vigencia. Decreto 255 de 2013. LOCALIDAD: CIUDAD BOLIVAR; BARRIO: EL MOCHUELO; ID: 2015-Q09-03189</t>
  </si>
  <si>
    <t>REAS-414</t>
  </si>
  <si>
    <t>MARIA TERESA GARZON PATIÑO</t>
  </si>
  <si>
    <t>VUR de la actual vigencia. Decreto 255 de 2013. LOCALIDAD: CIUDAD BOLIVAR; BARRIO SAN FRANCISCO; ID: 2018-Q03-15552</t>
  </si>
  <si>
    <t>REAS-416</t>
  </si>
  <si>
    <t>WILLIAM ALEXANDER GONZALEZ SASTOQUE</t>
  </si>
  <si>
    <t>VUR de la actual vigencia. La asignación se realiza para dar cumplimiento al fallo de acción popular 2002-00152- Suba Gavilanes. Decreto 255 de 2013. LOCALIDAD: SUBA GAVILANES; BARRIO: SAN PEDRO DE TIBABUYES; ID: 2018-11-15335</t>
  </si>
  <si>
    <t>REAS-418</t>
  </si>
  <si>
    <t>3075-7
3075-342</t>
  </si>
  <si>
    <t>OCTAVIO  ARIAS SOSSA</t>
  </si>
  <si>
    <t>VUR de la actual vigencia. La asignación se realiza para dar cumplimiento al fallo de acción popular 2002-00152- Suba Gavilanes. Decreto 255 de 2013. LOCALIDAD: SUBA GAVILANES; BARRIO: SANTA CECILIA; ID: 2018-11-15362</t>
  </si>
  <si>
    <t>REAS-419</t>
  </si>
  <si>
    <t>TERESA DE JESUS ZAMUDIO SIABATO</t>
  </si>
  <si>
    <t>Reajuste de VUR por avalúo comercial. Decreto 255 de 2013. LOCALIDAD: SAN CRISTOBAL; BARRIO: LA GLORIA ORIENTAL; ID: 2014-Q20-01220</t>
  </si>
  <si>
    <t>REAS-424</t>
  </si>
  <si>
    <t>JORGE ENRIQUE MORENO OSORIO</t>
  </si>
  <si>
    <t>Adquisición predial por Decreto 511 de 2010. LOCALIDAD: CIUDAD BOLIVAR; BARRIO: SANTO DOMINGO; ID: 2012-ALES-311</t>
  </si>
  <si>
    <t>REAS-427</t>
  </si>
  <si>
    <t>GERMAN  DIAZ AGUILAR</t>
  </si>
  <si>
    <t>VUR de la actual vigencia. La asignación se realizapara dar cumplimiento al fallo de acción popular 2002-00152 - Suba Gavilanes. Decreto 255 de 2013. LOCALIDAD: SUBA GAVILANES; BARRIO: BILVAO; ID: 2018-11-15064</t>
  </si>
  <si>
    <t>REAS-428</t>
  </si>
  <si>
    <t>3075-343
 3075-344</t>
  </si>
  <si>
    <t>LILIANA  RODRIGUEZ TOLOSA</t>
  </si>
  <si>
    <t>VUR de la actual vigencia. La asignación se realizapara dar cumplimiento al fallo de acción popular 2002-00152 - Suba Gavilanes. Decreto 255 de 2013. LOCALIDAD: SUBA GAVILANES; BARRIO: SANTA CECILIA; ID: 2018-11-15165</t>
  </si>
  <si>
    <t>REAS-430</t>
  </si>
  <si>
    <t>3075-344</t>
  </si>
  <si>
    <t>LUIS ERNESTO CASTAÑEDA SANABRIA</t>
  </si>
  <si>
    <t>VUR de la actual vigencia. La asignación se realizapara dar cumplimiento al fallo de acción popular 2002-00152 - Suba Gavilanes. Decreto 255 de 2013. LOCALIDAD: SUBA GAVILANES; BARRIO: SANTA CECILIA; ID: 2018-11-15171</t>
  </si>
  <si>
    <t>REAS-431
 ANULADA</t>
  </si>
  <si>
    <t>920
 ANULADO</t>
  </si>
  <si>
    <t>VUR de la actual vigencia. La asignación se realizapara dar cumplimiento al fallo de acción popular 2002-00152 - Suba Gavilanes. Decreto 255 de 2013. LOCALIDAD: SUBA GAVILANES; BARRIO: SANTA CECILIA; ID: 2018-11-15173</t>
  </si>
  <si>
    <t>REAS-432</t>
  </si>
  <si>
    <t>LEONARDO  VARELA</t>
  </si>
  <si>
    <t>VUR de la actual vigencia. La asignación se realizapara dar cumplimiento al fallo de acción popular 2002-00152 - Suba Gavilanes. Decreto 255 de 2013. LOCALIDAD: SUBA GAVILANES; BARRIO: SANTA CECILIA; ID: 2018-11-15196</t>
  </si>
  <si>
    <t>REAS-433</t>
  </si>
  <si>
    <t>3075-344
 3075-345</t>
  </si>
  <si>
    <t>HILDA MARIA ROJAS DE PEÑUELA</t>
  </si>
  <si>
    <t>VUR de la actual vigencia. La asignación se realizapara dar cumplimiento al fallo de acción popular 2002-00152 - Suba Gavilanes. Decreto 255 de 2013. LOCALIDAD: SUBA GAVILANES; BARRIO: SAN PEDRO; ID: 2018-11-15297</t>
  </si>
  <si>
    <t>REAS-434</t>
  </si>
  <si>
    <t>3075-345</t>
  </si>
  <si>
    <t>JORGE ARMANDO FLORIAN FLORIAN</t>
  </si>
  <si>
    <t>VUR de la actual vigencia. La asignación se realizapara dar cumplimiento al fallo de acción popular 2002-00152 - Suba Gavilanes. Decreto 255 de 2013. LOCALIDAD: SUBA GAVILANES; BARRIO: BILVAO; ID: 2018-11-15120</t>
  </si>
  <si>
    <t>REAS-435</t>
  </si>
  <si>
    <t>JAIME ENRIQUE TAMBO CAMARGO</t>
  </si>
  <si>
    <t>Adquisición predial Decreto 511 de 2010. LOCALIDAD: CIUDAD BOLIVAR; BARRIO: PARAISO QUIBA; ID: 2013-Q04-00281</t>
  </si>
  <si>
    <t>REAS-436</t>
  </si>
  <si>
    <t>3075-333
 3075-334</t>
  </si>
  <si>
    <t>MARIA MERCEDES PEDRAZA CASTELLANOS</t>
  </si>
  <si>
    <t>Prestacion de servicios profesionales para el acompañamiento jurídico, en los procesos y procedimientos establecidos frente a la ejecución del programa misional de la Dirección de Reasentamientos de la Caja de la Vivienda Popular.</t>
  </si>
  <si>
    <t>REAS-437</t>
  </si>
  <si>
    <t>3075-50</t>
  </si>
  <si>
    <t>JUDY ANDREA ESPAÑOL FLOREZ</t>
  </si>
  <si>
    <t>Adquisición predial por Decreto 511 de 2010, de conformidad con solicitud realizada por el Dr. Miguel Perdomo, quien entrará a modificar la resolución No. 4003 del 20 de septiembre de 2017. LOCALIDAD: CIUDAD BOLIVAR; BARRIO: DIVINO NIÑO; ID: 2009-19-11128</t>
  </si>
  <si>
    <t>REAS-438</t>
  </si>
  <si>
    <t>3075-334</t>
  </si>
  <si>
    <t>MARIA ASCENETH DUQUE MARIN</t>
  </si>
  <si>
    <t>VUR de la actual vigencia. La asignación se realiza para dar cumplimiento al fallo de acción popular 2002-00152- Suba Gavilanes. Decreto 255 de 2013. LOCALIDAD: SUBA GAVILANES; BARRIO: BILVAO; ID: 2018-11-15258</t>
  </si>
  <si>
    <t>REAS-440</t>
  </si>
  <si>
    <t>3075-349</t>
  </si>
  <si>
    <t>ANA LUCIA GONZALEZ PARRA</t>
  </si>
  <si>
    <t>VUR de la actual vigencia. La asignación se realiza para dar cumplimiento al fallo de acción popular 2002-00152- Suba Gavilanes. Decreto 255 de 2013. LOCALIDAD: SUBA GAVILANES; BARRIO: SANTA RITA; ID: 2018-11-15354</t>
  </si>
  <si>
    <t>REAS-441</t>
  </si>
  <si>
    <t>3075-349
 3075-350</t>
  </si>
  <si>
    <t>BLANCA NELLY URBANO BAUTISTA</t>
  </si>
  <si>
    <t>Adquisición Predial por Decreto 511 de 2010. LOCALIDAD: CIUDAD BOLIVAR; BARRIO: VILLA GLORIA; ID: 2014-Q21-00936</t>
  </si>
  <si>
    <t>REAS-442</t>
  </si>
  <si>
    <t>ROMELIO  RODRIGUEZ RODRIGUEZ</t>
  </si>
  <si>
    <t>Adquisición Predial por Decreto 511 de 2010. LOCALIDAD: SAN CRISTOBAL; BARRIO: VILLA DEL CERRO; ID: 2015-Q24-04224</t>
  </si>
  <si>
    <t>REAS-443</t>
  </si>
  <si>
    <t>JOSE PASCUAL RISCANEVO</t>
  </si>
  <si>
    <t>VUR de la actual vigencia. Decreto 255 de 2013. LOCALIDAD: CIUDAD BOLIVAR; BARRIO: LAS BRISAS; ID: 2015-Q18-04433</t>
  </si>
  <si>
    <t>REAS-444</t>
  </si>
  <si>
    <t>3075-350</t>
  </si>
  <si>
    <t>JORGE HUMBERTO SILVA RAMIREZ</t>
  </si>
  <si>
    <t>Reajuste de VUR por avalúo comercial. Decreto 255 de 2013. LOCALIDAD: CIUDAD BOLIVAR; BARRIO: MIRADOR 3; ID: 2017-19-14976</t>
  </si>
  <si>
    <t>REAS-445</t>
  </si>
  <si>
    <t>Reajuste de VUR por avalúo comercial. Decreto 255 de 2013. LOCALIDAD: CIUDAD BOLIVAR; BARRIO: JUAN PABLO II; ID: 2013000508</t>
  </si>
  <si>
    <t>REAS-446</t>
  </si>
  <si>
    <t>Prestar los servicios profesionales como enlace entre la Dirección Técnica de Reasentamientos y la Dirección Jurídica, para el desarrollo de actividades jurídicas relacionadas con los procedimientos, actuaciones, competencias y trámites en general que se encuentran a cargo de Reasentamientos</t>
  </si>
  <si>
    <t>REAS-447</t>
  </si>
  <si>
    <t>3075-52</t>
  </si>
  <si>
    <t>ELIA BEATRIZ SAMPAYO MEZA</t>
  </si>
  <si>
    <t>VUR de la actual vigencia. La asignación se realiza para dar cumplimiento al fallo de acción popular 2002-00152 - Suba Gavilanes. Decreto 255 de 2013. LOCALIDAD: SUBA GAVILANES; BARRIO: BILBAO; ID: 2018-11-15243</t>
  </si>
  <si>
    <t>REAS-448</t>
  </si>
  <si>
    <t>3075-7
 3075-345</t>
  </si>
  <si>
    <t>MARIA INES URIBE</t>
  </si>
  <si>
    <t>Prestacion de servicios profesionales en el componente social de la Dirección de Reasentamientos de la Caja de la Vivienda Popular, para la ejecución de planes y programas agenciados por el área misional</t>
  </si>
  <si>
    <t>REAS-449</t>
  </si>
  <si>
    <t>CAROLINA MARIA QUIMBAYA NOCHES</t>
  </si>
  <si>
    <t xml:space="preserve">Realizar los avalúos comerciales de los predios que hacen parte del programa de Reasentamientos y del proceso de adquisición predial de la Dirección de Reasentamientos de la Caja de la Vivienda Popular </t>
  </si>
  <si>
    <t>REAS-451</t>
  </si>
  <si>
    <t>REAS-452</t>
  </si>
  <si>
    <t>REAS-458</t>
  </si>
  <si>
    <t>3075-117</t>
  </si>
  <si>
    <t>REAS-459</t>
  </si>
  <si>
    <t>Prestación de servicios profesionales de seguimiento y soporte financiero respecto de la asignación de recursos en el marco de los programas y proyectos de la dirección de reasentamientos previa verificación del cumplimiento de requisitos, así como la programación y control presupuestal del área misional.</t>
  </si>
  <si>
    <t>REAS-461</t>
  </si>
  <si>
    <t>MARIA ISABEL BARRERA CATAÑO</t>
  </si>
  <si>
    <t>REAS-462</t>
  </si>
  <si>
    <t>DIANA PAOLA CASTIBLANCO VENEGAS</t>
  </si>
  <si>
    <t>REAS-464</t>
  </si>
  <si>
    <t>3075-98
 3075-100
 3075-116</t>
  </si>
  <si>
    <t>REAS-467</t>
  </si>
  <si>
    <t>3075-184</t>
  </si>
  <si>
    <t>REAS-468</t>
  </si>
  <si>
    <t>3075-115
 3075-118
 3075-120
 3075-184
 3075-202</t>
  </si>
  <si>
    <t>Prestación de servicios profesionales para el acompañamiento jurídico en las actuaciones propias que requiera la Dirección de Reasentamientos de la Caja de la Vivienda Popular</t>
  </si>
  <si>
    <t>REAS-471</t>
  </si>
  <si>
    <t>3075-13
 3075-50
 3075-58
3075-69
 3075-87
 3075-88
 3075-89</t>
  </si>
  <si>
    <t>NATALIA  VELEZ DIAZ</t>
  </si>
  <si>
    <t>VUR de la actual vigencia. Decreto 255 de 2013. LOCALIDAD: SAN CRISTOBAL; BARRIO: MONTEBELLO; ID: 2010-4-11864</t>
  </si>
  <si>
    <t>REAS-474</t>
  </si>
  <si>
    <t>3075-350
 3075-351</t>
  </si>
  <si>
    <t>EFRAIN  ORJUELA</t>
  </si>
  <si>
    <t>VUR de la actual vigencia. Decreto 255 de 2013. LOCALIDAD: CIUDAD BOLIVAR; BARRIO: PARAISO QUIBA; ID: 2015-Q04-03686</t>
  </si>
  <si>
    <t>REAS-475</t>
  </si>
  <si>
    <t>3075-351</t>
  </si>
  <si>
    <t>MARGOTH  SANCHEZ NARVAEZ</t>
  </si>
  <si>
    <t>Reajuste de VUR de la actual vigencia. Decreto 249 de 2015 - Altos de la Estancia. LOCALIDAD: CIUDAD BOLIVAR; BARRIO: EL ESPINO III; ID: 2012-ALES-409</t>
  </si>
  <si>
    <t>REAS-476</t>
  </si>
  <si>
    <t>Prórroga y Adición al Contrato No. 319 de 2018 cuyo objeto es: "Prestación de servicios profesionales, para el acompañamiento jurídico en los procesos y procedimientos establecidos frente a la ejecución del programa misional de la Dirección de Reasentamientos de la Caja de la Vivienda Popular"</t>
  </si>
  <si>
    <t>REAS-477</t>
  </si>
  <si>
    <t>Adqusición Predial por Decreto 511 de 2010. LOCALIDAD: CIUDAD BOLIVAR; BARRIO: SOTAVENTO; ID:2004-19-5525</t>
  </si>
  <si>
    <t>REAS-478</t>
  </si>
  <si>
    <t>HECTOR  CONTRERAS MONRROY</t>
  </si>
  <si>
    <t>Adqusición Predial por Decreto 511 de 2010. LOCALIDAD: CIUDAD BOLIVAR; BARRIO:TIERRA LINDA; ID:2012-19-14242</t>
  </si>
  <si>
    <t>REAS-479</t>
  </si>
  <si>
    <t>MARIA ORLINDA ORTIZ DE RUIZ</t>
  </si>
  <si>
    <t>Adqusición Predial por Decreto 511 de 2010. LOCALIDAD: CIUDAD BOLIVAR; BARRIO:EL MIRADOR 3; ID:2017-19-14953</t>
  </si>
  <si>
    <t>REAS-480</t>
  </si>
  <si>
    <t>Reajuste de VUR por avalúo comercial. (Decreto 255 de 2013). LOCALIDAD: RAFAEL URIBE URIBE; BARRIO: PLAYÓN LA PLAYITA III SECTOR; ID: 2017-18-14937</t>
  </si>
  <si>
    <t>REAS-481</t>
  </si>
  <si>
    <t>ROSENDO  SANCHEZ</t>
  </si>
  <si>
    <t>Reajuste de VUR por avalúo comercial. Decreto 255 de 2013. LOCALIDAD: CIUDAD BOLIVAR; BARRIO: BOGOTA 1ER SECTOR; ID:2013-Q07-00064</t>
  </si>
  <si>
    <t>REAS-483</t>
  </si>
  <si>
    <t>Adquisición Predial por Decreto 511 de 2010. LOCALIDAD: SAN CRISTOBAL; BARRIO: QUINDIO; ID: 2015-Q20-01343</t>
  </si>
  <si>
    <t>REAS-484</t>
  </si>
  <si>
    <t>3 meses y 20 días</t>
  </si>
  <si>
    <t>REAS-485</t>
  </si>
  <si>
    <t>3075-11</t>
  </si>
  <si>
    <t>Prestación de servicios profesionales para el acompañamiento en la ejecución de las diferentes actividades relacionadas con el componente técnico de la Dirección de Reasentamientos de la Caja de la Vivienda Popular.</t>
  </si>
  <si>
    <t>REAS-486</t>
  </si>
  <si>
    <t>REAS-487</t>
  </si>
  <si>
    <t>REAS-488</t>
  </si>
  <si>
    <t xml:space="preserve">Prestación de servicios profesionales, como apoyo jurídico en las actuaciones propias que requiera la Dirección de Reasentamientos de la Caja de la Vivienda Popular en la ejecución del programa de Reasentamientos </t>
  </si>
  <si>
    <t>REAS-489</t>
  </si>
  <si>
    <t>REAS-490</t>
  </si>
  <si>
    <t>REAS-491</t>
  </si>
  <si>
    <t>Prestación de servicios de apoyo a la gestión en lo relacionado con el componente social de la Dirección de Reasentamientos de la Caja de la Vivienda Popular, para la ejecución de planes y programas agenciados por el área misional.</t>
  </si>
  <si>
    <t>REAS-492</t>
  </si>
  <si>
    <t>VIVIANA ISABEL GUTIERREZ QUIÑONEZ</t>
  </si>
  <si>
    <t>Prestación de servicios profesionales, en temas relacionados con el componente social apoyando procesos y procedimientos propios de la Dirección de Reasentamientos de la Caja de la Vivienda Popular.</t>
  </si>
  <si>
    <t>REAS-493</t>
  </si>
  <si>
    <t>OLGA LUCIA BONILLA SEBA</t>
  </si>
  <si>
    <t>REAS-494</t>
  </si>
  <si>
    <t>CARLOS MAURICIO SOLANO OCAMPO</t>
  </si>
  <si>
    <t>REAS-495</t>
  </si>
  <si>
    <t>VUR de la actual vigencia. La asignación se realiza para dar cumplimiento al fallo de acción popular 2002-00152 - Suba Gavilanes. LOCALIDAD: SUBA (GAVILANES); BARRIO: BILVAO; ID: 2018-11-15259</t>
  </si>
  <si>
    <t>REAS-496</t>
  </si>
  <si>
    <t>VUR de la actual vigencia. Decreto 255 de 2013. LOCALIDAD: CIUDAD BOLIVAR; BARRIO: LUCERO SUR BAJO; ID: 2017-Q23-15008</t>
  </si>
  <si>
    <t>REAS-497</t>
  </si>
  <si>
    <t>3075-338</t>
  </si>
  <si>
    <t>Asignación de 70 SMLMV según Decreto 249 de 2015 (Altos de la Estancia). LOCALIDAD: CIUDAD BOLIVAR; BARRIO: EL ESPINO III; ID: 2012- ALES-91.</t>
  </si>
  <si>
    <t>REAS-498</t>
  </si>
  <si>
    <t>Recursos faltantes para completar el VUR, de conformidad con el avalúo comercial Dto. 255 de 2013. LOCALIDAD: CIUDAD BOLIVAR; BARRIO: JUAN PABLO II; ID: 2013000508</t>
  </si>
  <si>
    <t>REAS-499</t>
  </si>
  <si>
    <t>3075-352</t>
  </si>
  <si>
    <t>Prorroga y adición al Contrato de prestación de servicios No. 370 de 2018 que tiene por objeto: “Prestación de servicios profesionales en la implementación de módulos alfanuméricos y geográficos para el Sistema de Información Geográfica de la Dirección de Reasentamientos de la Caja de la Vivienda Popular.”</t>
  </si>
  <si>
    <t>REAS-500</t>
  </si>
  <si>
    <t>3075-16</t>
  </si>
  <si>
    <t>REAS-502</t>
  </si>
  <si>
    <t>Prestación de servicios profesionales para la ejecución de actividades a cargo del componente social y en especial lo relativo a la estrategia de Resiliencia y Sostenibilidad de la comunidad, en la Dirección de Reasentamientos de la Caja de la Vivienda Popular.</t>
  </si>
  <si>
    <t>REAS-503</t>
  </si>
  <si>
    <t>3075-170</t>
  </si>
  <si>
    <t>Prestación de servicios de apoyo a la gestión en temas relacionados con asuntos precontractuales, trámites requeridos para los pagos y en general procesos y procedimientos establecidos frente a la ejecución del programa misional de la Dirección de reasentamientos de la Caja de la Vivienda Popular.</t>
  </si>
  <si>
    <t>REAS-504</t>
  </si>
  <si>
    <t>Prestación de servicios profesionales para apoyar la planificación, seguimiento y evaluación de los procesos y procedimientos de la Dirección de Reasentamientos, a través de las herramientas de seguimiento y gestión que posee la Caja de la Vivienda Popular</t>
  </si>
  <si>
    <t>REAS-501</t>
  </si>
  <si>
    <t>3075-169</t>
  </si>
  <si>
    <t>Prestación de servicios de apoyo a la gestión en las diferentes actividades relacionadas con el manejo de archivo y gestión documental generado desde la Dirección de Reasentamientos de la Caja de la Vivienda Popular.</t>
  </si>
  <si>
    <t>REAS-505</t>
  </si>
  <si>
    <t>3075-157</t>
  </si>
  <si>
    <t>Prestación de servicios profesionales, para el acompañamiento jurídico, en los procesos y procedimientos establecidos frente a la ejecución del programa misional de la Dirección de Reasentamientos de la Caja de Vivienda Popular.</t>
  </si>
  <si>
    <t>REAS-506</t>
  </si>
  <si>
    <t>Prestación de servicios profesionales en la Dirección de Reasentamientos como enlace ante la Oficina Asesora de Comunicaciones de la Caja de la Vivienda Popular, para la implementación e interlocución del Plan Estratégico de Comunicaciones de la Entidad.</t>
  </si>
  <si>
    <t>REAS-507</t>
  </si>
  <si>
    <t>REAS-508</t>
  </si>
  <si>
    <t>REAS-509</t>
  </si>
  <si>
    <t>3075-174</t>
  </si>
  <si>
    <t>Prestación de servicios profesionales en la Dirección de Reasentamientos de la Caja de la Vivienda Popular para el acompañamiento jurídico  en los procesos y procedimientos establecidos frente a la ejecución del programa misional.</t>
  </si>
  <si>
    <t>REAS-510</t>
  </si>
  <si>
    <t>REAS-511</t>
  </si>
  <si>
    <t>3075-16
 3075-157</t>
  </si>
  <si>
    <t>REAS-512</t>
  </si>
  <si>
    <t>3075-157
 3075-489</t>
  </si>
  <si>
    <t>Prestacion de servicios de apoyo a la gestión en los procedimientos relacionados con el componente técncio del programa de Reasentamientos para el cumplimiento de sus metas.</t>
  </si>
  <si>
    <t>REAS-513</t>
  </si>
  <si>
    <t>3075-11
 3075-52
 3075-89
 3075-170
 3075-478
 3075-489</t>
  </si>
  <si>
    <t>REAS-514</t>
  </si>
  <si>
    <t>3075-16
 3075-174</t>
  </si>
  <si>
    <t>Prestación de servicios profesionales como referente financiero en la actuaciones que adelante la Caja de la Vivienda Popular conforme a la Resolución Nro. 0740 de 2018 de la Secretaría de Gobierno de Bogotá D.C. así como el apoyo al cumplimiento de las funciones financieras que tiene a cargo la Dirección de Reasentamientos de la Caja de la Vivienda Popular.</t>
  </si>
  <si>
    <t>REAS-515</t>
  </si>
  <si>
    <t>Prestacion de servicios profesionales en la revisión y el acompañamiento jurídico de las actuaciones propias que requiere la Dirección de Reasentamientos de la Caja de la Vivienda Popular conforme a la Resolución Nro. 0740 de 2018 de la Secretaría de Gobierno de Bogotá D.C. así como el apoyo al cumplimiento de las funciones que tiene a cargo la Dirección de Reasentamientos de la Caja de Vivienda Popular en materia legal.</t>
  </si>
  <si>
    <t>REAS-516</t>
  </si>
  <si>
    <t>Prestación de servicios profesionales para la revisión y el acompañamiento jurídico de las actuaciones propias que requiere la Dirección de Reasentamientos de la Caja de la Vivienda Popular conforme a la Resolución Nro. 0740 de 2018 de la Secretaría de Gobierno de Bogotá D.C. así como el apoyo al cumplimiento de las funciones que tiente a cargo la Dirección de Reasentamientos de la Caja de la Vivienda Popular en materia legal</t>
  </si>
  <si>
    <t>REAS-517</t>
  </si>
  <si>
    <t>REAS-518</t>
  </si>
  <si>
    <t>Prestación de servicios profesionales como abogado para la ejecución de las actividaes jurídicas que adelanta la Caja de la Vivienda Popular conforme a la Resolución Nro. 0740 de 2018 de la Secretaría de Gobierno de Bogotá D.C. así como el apoyo al cumplimiento de las funciiones que tiene a cargo la Dirección de Reasentamientos de la Caja de la Vivienda Popular en materia legal</t>
  </si>
  <si>
    <t>REAS-519</t>
  </si>
  <si>
    <t>Prestación de servicios de apoyo a la gestión como auxiliar de archivo y gestión documental en marco de las actuaciones administrativas que desarrolla la Entidad conforme a la Resolución Nro. 0740 de 2018 de la Secretaría de Gobierno de Bogotá D.C. así como las que resulten del cumplimiento de las funciones que tiene a cargo la Dirección de Reasentamientos de la Caja de la Vivienda Popular.</t>
  </si>
  <si>
    <t>REAS-520</t>
  </si>
  <si>
    <t>REAS-521</t>
  </si>
  <si>
    <t>REAS-522</t>
  </si>
  <si>
    <t>Prestación de servicios profesionales de seguimiento y soporte financiero respecto de la asignación de recursos en el marco de los programas y proyectos de la Dirección de Reasentamientos previa verificación del cumplimiento de requisitos, así como la programación y control presupuestal del área misional</t>
  </si>
  <si>
    <t>REAS-523</t>
  </si>
  <si>
    <t>REAS-524</t>
  </si>
  <si>
    <t>Prestación de servicios profesionales para la ejecución de las actividades sociales que adelanta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t>
  </si>
  <si>
    <t>REAS-525</t>
  </si>
  <si>
    <t>REAS-526</t>
  </si>
  <si>
    <t>Prestación de servicios profesionales para la ejecución de las actividades técnicas que adelanta la Dirección de Reasentamientos de la Caja de la Vivienda Popular conforme a la Resolución Nro. 0740 de 2018 de la Secretaría de Gobierno de Bogotá D.C., así como el apoyo al cumplimiento de las funciones que tiene a cargo la Dirección de Reasentamientos de la Caja de la Vivienda Popular en actividades relacionadas con el componente técnico del área misional.</t>
  </si>
  <si>
    <t>REAS-527</t>
  </si>
  <si>
    <t>Prestación de servicios profesionales para la revisión y el acompañamiento social de las actuaciones propias que requiere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t>
  </si>
  <si>
    <t>REAS-528</t>
  </si>
  <si>
    <t>Prestación de servicios profesionales como abogado para la ejecución de las actividades jurídicas que adelanta la Caja de la Vivienda Popular conforme a la Resolución Nro. 0740 de 2018 de la Secretaría de Gobierno de Bogotá D.C., así como el apoyo al cumplimiento de las funciones que tiene a cargo la Dirección de Reasentamientos de la Caja de la Vivienda Popular en material legal.</t>
  </si>
  <si>
    <t>REAS-529</t>
  </si>
  <si>
    <t>REAS-530</t>
  </si>
  <si>
    <t>REAS-531</t>
  </si>
  <si>
    <t>REAS-532</t>
  </si>
  <si>
    <t>REAS-533</t>
  </si>
  <si>
    <t>Prestación de Servivios de apoyo a la gestión como auxiliar de archivo y gestión documental en marco de las actuaciones administrativas que desarrolla la Entidad conforme a la Resolución Nro. 0740 de 2018 de la Secretaría de Gobierno de Bogotá D.C. así como las que resulten del cumplimiento de las funciones que tiene a cargo la Dirección de Reasentamientos de la Caja de la Vivienda Popular.</t>
  </si>
  <si>
    <t>REAS-534</t>
  </si>
  <si>
    <t>VUR de la actual vigencia Decreto 255 de 2013. LOCALIDAD: SAN CRISTOBAL; BARRIO: MANANTIAL; ID: 1999-4-3081</t>
  </si>
  <si>
    <t>REAS-535</t>
  </si>
  <si>
    <t xml:space="preserve">Prestación de servicios de apoyo a la gestión para el manejo técnico del archivo y la gestión documental que se genera en las actuaciones administrativas que desarrolla la Entidad conforme a la Resolución Nro. 0740 de 2018 de la Secretaría de Gobierno de Bogotá D.C. así como las que resulten del cumplimiento de las funciones que tiene a cargo la Dirección de Reasentamientos de la Caja de la Vivienda Popular </t>
  </si>
  <si>
    <t>REAS-536</t>
  </si>
  <si>
    <t>Prestación de servicios profesionales para la ejecución de las actividades sociales que adelanta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t>
  </si>
  <si>
    <t>REAS-537</t>
  </si>
  <si>
    <t>REAS-538</t>
  </si>
  <si>
    <t>Prestación de servicios profesionales para la revisión y el acompañamiento jurídico de las actuaciones propias que requiere la Dirección de Reasentamientos de la Caja de la Vivienda Popular conforme a la Resolución Nro. 0740 de 2018 de la Secretaría de Gobierno de Bogotá D.C., así como el apoyo al cumplimiento de las funciones que tiene a cargo la Dirección de Reasentamientos de la Caja de la Vivienda Popular en materia legal.</t>
  </si>
  <si>
    <t>REAS-539</t>
  </si>
  <si>
    <t>Prestación de servicios profesionales para la revisión y el acompañamiento social de las actuaciones propias que requiere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t>
  </si>
  <si>
    <t>REAS-540</t>
  </si>
  <si>
    <t>REAS-541</t>
  </si>
  <si>
    <t>Prestación de servicios profesionales como referente social en las actuaciones que adelanta la Caja de la Vivienda Popular conforme a la Resolución Nro. 0740 de 2018 de la Secretaría de Gobierno de Bogotá D.C., así como el apoyo al cumplimiento de las funciones sociales que tiene a cargo la Dirección de Reasentamientos de la Caja de la Vivienda Popular</t>
  </si>
  <si>
    <t>REAS-542</t>
  </si>
  <si>
    <t>Prestación de servicios profesionales para la revisión y el acompañamiento técnico de las actuaciones propias que requiere la Dirección de Reasentamientos de la Caja de la Vivienda Popular conforme a la Resolución Nro. 0740 de 2018 de la Secretaría de Gobierno de Bogotá D.C., así como el apoyo al cumplimiento de las funciiones que tiene a cargo la Dirección de Reasentamientos de la Caja de la Vivienda Popular en actividades relacionadas con el componente técnico del área misional.</t>
  </si>
  <si>
    <t>REAS-543</t>
  </si>
  <si>
    <t>REAS-544</t>
  </si>
  <si>
    <t>Prestación de servicios profesionales para la ejecución de las actividades sociales que adelanta la Dirección de Reasentamientos de la Caja de la Vivienda Popular conforme a la Resolución Nro. 0740 de 2018 de la Secretaría de Gobierno de Bogotá D.C., así como el apoyo al cumplimiento de las funciiones sociales que tiene a cargo la Dirección de Reasentamientos de la Caja de la Vivienda Popular.</t>
  </si>
  <si>
    <t>REAS-545</t>
  </si>
  <si>
    <t>REAS-546</t>
  </si>
  <si>
    <t>3075-3
3075-347</t>
  </si>
  <si>
    <t>Prestación de servicios profesionales para la revisión y el acompañamiento técnico de las actuaciones propias que requiere la Dirección de Reasentamientos de la Caja de la Vivienda Popular conforme a la Resolución Nro. 0740 de 2018 de la Secretaría de Gobierno de Bogotá D.C., así como el apoyo al cumplimiento de las funciones que tiene a cargo la Dirección de Reasentamientos de la Caja de la Vivienda Popular en actividades relacionadas con el componente técnico del área misional.</t>
  </si>
  <si>
    <t>REAS-547</t>
  </si>
  <si>
    <t>3075-3</t>
  </si>
  <si>
    <t>REAS-548</t>
  </si>
  <si>
    <t>REAS-549</t>
  </si>
  <si>
    <t>REAS-550</t>
  </si>
  <si>
    <t>VUR de la actual vigencia Decreto 255 de 2013. LOCALIDAD: CIUDAD BOLIVAR; BARRIO: JUAN PABLO II; ID:2015-Q03-03427</t>
  </si>
  <si>
    <t>REAS-551</t>
  </si>
  <si>
    <t>Prestación de servicios de apoyo a la gestión como auxiliar de archivo y gestión documental en marco de las actuaciones administrativas que desarrolla la Entidad conforme a la Resolución Nro. 0740 de 2018 de la Secretaría de Gobierno de Bogotá D.C. así como las que resulten del cumplimiento de las funciones que tiene a cargo la Dirección de Reasentamientos de la Caja de la Vivienda Popular</t>
  </si>
  <si>
    <t>REAS-552</t>
  </si>
  <si>
    <t>Prestación de servicios de apoyo a la gestión para el acompañamiento en la ejecución de las actividades técnicas que adelanta la Dirección de Reasentamientos de la Caja de la Vivienda Popular conforme a la Resolución Nro. 0740 de 2018 de la Secretaria de Gobierno de Bogotá D.C., así como el apoyo al cumplimiento de las funciones que tiene a cargo la Dirección de Reasentamientos de la Caja de la Vivienda Popular en actividades relacionadas con el componente técnico del área misional.</t>
  </si>
  <si>
    <t>REAS-553</t>
  </si>
  <si>
    <t>Prestación de servicios de apoyo a la gestión para la ejecución de las actividades jurídicas que adelanta la Caja de la Vivienda Popular conforme a la Resolución Nro. 0740 de 2018 de la Secretaría de Gobierno de Bogotá D.C., así como el apoyo al cumplimiento de las funciones que tiene a cargo la Dirección de Reasentamientos de la Caja de la Vivienda Popular en materia legal</t>
  </si>
  <si>
    <t>REAS-554</t>
  </si>
  <si>
    <t>REAS-555</t>
  </si>
  <si>
    <t>Prestación de servicios de apoyo a la gestión para el acompañamiento a la ejecución de las actividades técnicas que adelanta la Dirección de Reasentamientos de la Caja de la Vivienda Popular conforme a la Resolución Nro. 0740 de 2018 de la Secretaría de Gobierno de Bogotá D.C., así como el apoyo al cumplimiento de las funciones que tiene a cargo la Dirección de Reasentamientos de la Caja de la Vivienda Popular en actividades relacionadas con el componente técnico del área misional.</t>
  </si>
  <si>
    <t>REAS-556</t>
  </si>
  <si>
    <t>Prestación de servicios de apoyo a la gestión para la ejecución de las actividades jurídicas que adelanta la Caja de la Vivienda Popular conforme a la Resolución Nro. 0740 de 2018 de la Secretaría de Gobierno de Bogotá D.C., así como el apoyo al cumplimiento de las funciones que tiene a cargo la Dirección de Reasentamos de la Caja de la Vivienda Popular en materia legal</t>
  </si>
  <si>
    <t>REAS-557</t>
  </si>
  <si>
    <t>REAS-558</t>
  </si>
  <si>
    <t>Prestación de servicios de apoyo a la gestión para la ejecución de las actividades jurídicas que adelanta la Caja de la Vivienda Popular conforme a la Resolución Nro. 0740 de 2018 de la Secretaría de Gobierno de Bogotá D.C., así como el apoyo al cumplimiento de las funciones que tiene a cargo la Dirección de Reasentamientos de la Caja de la Vivienda Popular en materia legal.</t>
  </si>
  <si>
    <t>REAS-559</t>
  </si>
  <si>
    <t>Prestación de servicios como abogado para la ejecución de las actividades jurídicas que adelanta la Caja de la Vivienda Popular conforme a la Resolución Nro. 0740 de 2018 de la Secretaría de Gobierno de Bogotá D.C., así como el apoyo al cumplimiento de las funciones que tiene a cargo la Dirección de Reasentamientos de la Caja de la Vivienda Popular en materia legal.</t>
  </si>
  <si>
    <t>REAS-560</t>
  </si>
  <si>
    <t>REAS-561</t>
  </si>
  <si>
    <t>REAS-562</t>
  </si>
  <si>
    <t>REAS-563</t>
  </si>
  <si>
    <t>REAS-564</t>
  </si>
  <si>
    <t>REAS-565</t>
  </si>
  <si>
    <t>Prestación de servicios profesionales para la ejecución de actividades técnicas que adelanta la Dirección de Reasentamientos de la Caja de la Vivienda Popular conforme a la Resolución Nro. 0740 de 2018 de la Secretaría de Gobierno de Bogotá D.C.,  así como el apoyo al cumplimiento de las funciones que tiene a cargo la Dirección de Reasentamientos de la Caja de la Vivienda Popular en actividades relacionadas con el componente técnico del área misional.</t>
  </si>
  <si>
    <t>REAS-566</t>
  </si>
  <si>
    <t>Prestación de servicios profesionales como referente técnico en las actuaciones que adelanta la Caja de la Vivienda Popular conforme a la Resolución Nro. 0740 de 2018 de la Secretaría de Gobierno de Bogotá D.C., así como el apoyo al cumplimiento de las funciones que tiene a cargo la Dirección de Reasentamientos de la Caja de la Vivienda Popular en actividades relacionadas con el componente técnico del área misional.</t>
  </si>
  <si>
    <t>REAS-567</t>
  </si>
  <si>
    <t>Prestación de servicios profesionales para la ejecución de las actividades técncias que adelanta la Dirección de Reasentamientos de la Caja de la Vivienda Popular conforme a la Resolución Nro. 0740 de 2018 de la Secretaría de Gobierno de Bogotá D.C., así como el apoyo al cumplimiento de las funciones que tiene a cargo la Direccion de Reasentamientos de la Caja de la Vivienda Popular en actividades relacionadas con el componente técnico del área misional</t>
  </si>
  <si>
    <t>REAS-568</t>
  </si>
  <si>
    <t>REAS-569</t>
  </si>
  <si>
    <t>Prestación de servicios profesionales como abogado para la ejecución de las actividades jurídicas que adelanta la Caja de la Vivienda Popular conforme a la Resolución Nro. 0740 de 2018 de la Secretaría de Gobierno de Bogotá D.C., así como el apoyo al cumplimiento de las funciones que tiene a cargo la Dirección de Reasentamientos de la Caja de la Vivienda Popular en materia legal.</t>
  </si>
  <si>
    <t>REAS-570</t>
  </si>
  <si>
    <t>Prestación de servicios profesionales para la revisión y el acompañamiento técnico de las actuaciones propias que requiere la Dirección de Reasentamientos de la Caja de la Vivienda Popular conforme a la Resolución Nro. 0740 de 2018 de la Secretaría de Gobierno de Bogotá D.C., así como el apoyo al cumplimiento de las funciones que tiene a cargo la Dirección de Reasentamientos de la Caja de la Vivienda Popular en actividades relacionadas con el componente técnico del área misional</t>
  </si>
  <si>
    <t>REAS-571</t>
  </si>
  <si>
    <t>REAS-572</t>
  </si>
  <si>
    <t>REAS-573</t>
  </si>
  <si>
    <t>REAS-574</t>
  </si>
  <si>
    <t>REAS-575</t>
  </si>
  <si>
    <t>REAS-576</t>
  </si>
  <si>
    <t xml:space="preserve">Prestación de servcios preofesionales para la revisión y el acompañamiento juridico de las actuaciones propias que requiere la Dirección de Reasentamientos de la Caja de la Vivienda Popular conforme a la Resoluciòn Nro. 0740 de 2018 de la Secretaria de Gobierno de Bogotá D.C., asi como el apoyo al cumplimiento de la Caja de la Vivienda Popular en materia legal. </t>
  </si>
  <si>
    <t>REAS-577</t>
  </si>
  <si>
    <t>REAS-578</t>
  </si>
  <si>
    <t>Prestación de servicios profesionales como referente jurídico en las actuaciones que adelanta la Caja de la Vivienda Popular conforme a la Resolución Nro. 0740 de 2018 de la Secretaría de Gobierno de Bogotá D.C., así como el apoyo al cumplimiento de las funciones que tiene a cargo la Direcciòn de Reasentamientos de la Caja de la Vivienda Popular en materia legal</t>
  </si>
  <si>
    <t>REAS-579</t>
  </si>
  <si>
    <t>VUR de la actual vigencia. La asignación se realiza para dar cumplimiento al fallo de acción popular 2002-00152 Suba Gavilanes. LOCALIDAD: SUBA (GAVILANES); BARRIO: BILBAO; ID: 2018-11-15219</t>
  </si>
  <si>
    <t>REAS-580</t>
  </si>
  <si>
    <t>3075-346</t>
  </si>
  <si>
    <t>VUR de la actual vigencia. La asignación se realiza para dar cumplimiento al fallo de acción popular 2002-00152 Suba Gavilanes. LOCALIDAD: SUBA (GAVILANES); BARRIO: VILLA CINDY; ID: 2018-11-15396</t>
  </si>
  <si>
    <t>REAS-581</t>
  </si>
  <si>
    <t>Prestación de servicios profesionales, como apoyo jurídico en las actuaciones propiasa que requiera la Dirección de Reasentamientos de la Caja de la Vivienda Popular en la ejecución del programa de Reasentamientos</t>
  </si>
  <si>
    <t>2 m y 25 d</t>
  </si>
  <si>
    <t>REAS-582</t>
  </si>
  <si>
    <t>REAS-583</t>
  </si>
  <si>
    <t>REAS-584</t>
  </si>
  <si>
    <t>REAS-585</t>
  </si>
  <si>
    <t>REAS-586</t>
  </si>
  <si>
    <t>REAS-587</t>
  </si>
  <si>
    <t>REAS-588</t>
  </si>
  <si>
    <t>REAS-589</t>
  </si>
  <si>
    <t>REAS-590</t>
  </si>
  <si>
    <t>REAS-591</t>
  </si>
  <si>
    <t>REAS-592</t>
  </si>
  <si>
    <t>REAS-593</t>
  </si>
  <si>
    <t>Prestar servicios profesionales de acompañamiento jurídico en materia de implementación, ejecución y/o liquidación de esquemas contractuales, financieros y presupuestales, especialmente de carácter fiduciario, para el desarrollo de proyectos de vivienda de la Caja de la Vivienda Popular.</t>
  </si>
  <si>
    <t>REAS-594</t>
  </si>
  <si>
    <t>Adquisición Predial por Decreto 511 de 2010. LOCALIDAD: SAN CRISTOBAL; BARRIO: LA BELLEZA; ID; 2013-Q10-00211</t>
  </si>
  <si>
    <t>REAS-595</t>
  </si>
  <si>
    <t>3075-337</t>
  </si>
  <si>
    <t>VUR por avalúo comercial - Asignación primera vez. Decreto 255 de 2013. LOCALIDAD: SAN CRISTOBAL; BARRIO : NUEVA GLORIA; ID: 2015-Q20-01423</t>
  </si>
  <si>
    <t>REAS-596</t>
  </si>
  <si>
    <t>Prestación de servicios de aoyo a la gestión para el manejo técnico del archivo y la gestión documental que se genera en las actuaciones propias que requiera la Dirección de Reasentamientos de la Caja de la Vivienda Popular</t>
  </si>
  <si>
    <t>2 m y 10 d</t>
  </si>
  <si>
    <t>REAS-597</t>
  </si>
  <si>
    <t>Prestación de servicios de apoyo a la gestión como auxiliar de archivo y gestión documental para apoyar las actuaciones propias que requiera la Dirección de Reasentamientos de la Caja de la Vivienda Popular.</t>
  </si>
  <si>
    <t>REAS-598</t>
  </si>
  <si>
    <t>Prestación de servicios de apoyo a la gestión para el manejo técnico del archivo y la gestión documental que se genera en las actuaciones propias que requiera la Dirección de Reasentamientos de la Caja de la Vivienda Popular</t>
  </si>
  <si>
    <t>REAS-599</t>
  </si>
  <si>
    <t>REAS-600</t>
  </si>
  <si>
    <t>REAS-601</t>
  </si>
  <si>
    <t>REAS-602</t>
  </si>
  <si>
    <t>REAS-603</t>
  </si>
  <si>
    <t>REAS-604</t>
  </si>
  <si>
    <t>Prestación de servicios profesionales en materia jurídica a la Dirección de Reasentamientos de la Caja de la Vivienda Popular, para el adelantamiento de los procedimientos en virtud de los intereses de la entidad, de conformidad con las normas más elevadas de competencia, idoneidad e integridad ética y profesional</t>
  </si>
  <si>
    <t>REAS-605</t>
  </si>
  <si>
    <t>Prestación de servicios profesionales en la Dirección de Reasentamientos de la Caja de la Vivienda Popular, apoyando la gestión administrativa y financiera de la Dirección, así como la planificación, seguimiento y evaluación de los procesos y procedimientos del área misional</t>
  </si>
  <si>
    <t>REAS-606</t>
  </si>
  <si>
    <t>REAS-607</t>
  </si>
  <si>
    <t>7328-1</t>
  </si>
  <si>
    <t>7328 - Mejoramiento de vivienda en sus condiciones físicas y de habitabilidad en los asentamientos humanos priorizados en área urbana y rural.</t>
  </si>
  <si>
    <t>Realizar 22.900 asistencias técnicas, jurídicas y sociales a las intervenciones integrales de mejoramiento de vivienda en los territorios priorizados por la Secretaria Distrital del Hábitat en el área urbana y rural del distrito.</t>
  </si>
  <si>
    <t>2.1.03.01.05.03.01.01.98</t>
  </si>
  <si>
    <t>95 Vivienda - General</t>
  </si>
  <si>
    <t>7018 Transferencias de carácter general entre diferentes niveles de gobierno</t>
  </si>
  <si>
    <t>A.7.3 PLANES Y PROYECTOS DE MEJORAMIENTO DE VIVIENDA Y SANEAMIENTO BÁSICO</t>
  </si>
  <si>
    <t>Pago de Nómina y aportes patronales de funcionarios de planta temporal de la Dirección de Mejoramiento de Vivienda</t>
  </si>
  <si>
    <t>CAJA DE LA VIVIENDA POPULAR</t>
  </si>
  <si>
    <t>7328-2</t>
  </si>
  <si>
    <t>Realizar 8.610 visitas para supervisar la interventoría de las obras de Mejoramiento de Vivienda, priorizadas por la Secretaria Distrital del Hábitat, en el área urbana y rural.</t>
  </si>
  <si>
    <t>7328-3</t>
  </si>
  <si>
    <t>Realizar 300 asistencias técnicas, jurídicas y sociales a hogares de los predios localizados en unidades de planeamiento zonal (UPZ) de mejoramiento integral, debidamente reglamentadas, para el trámite de licencias de construcción y/o actos de reconocimiento ante curadurías urbanas.</t>
  </si>
  <si>
    <t>MV - 057</t>
  </si>
  <si>
    <t>375 - 378 - 758 - 1021 - 1386 - 1531 - 1607 - 1797 - 1833 - 1905 - 1951 - 1985 - 2022 - 2049 - 2494 - 2528</t>
  </si>
  <si>
    <t>Viabilizacion</t>
  </si>
  <si>
    <t>Pago de Nómina y Pago patronales Planta Temporal</t>
  </si>
  <si>
    <t>7328-4</t>
  </si>
  <si>
    <t>Prestación de servicios profesionales para apoyar la estructuración, seguimiento y supervisión de los proyectos asignados por la Dirección de Mejoramiento de Vivienda de la CVP</t>
  </si>
  <si>
    <t>MV - 001</t>
  </si>
  <si>
    <t>ANULADA</t>
  </si>
  <si>
    <t>Se anula la viabilidad, por solicitud de la dirección de mejoramiento de vivienda, mediante radicado 2018IE286 del 11 de enero de 2018</t>
  </si>
  <si>
    <t>Contratacion recurso humano</t>
  </si>
  <si>
    <t>7328-5</t>
  </si>
  <si>
    <t>Prestación de servicios profesionales relacionados con la elaboración de planos arquitectónicos, estructurales, detalles constructivos y respuesta de requerimientos y condiciones exigidos por las Curadurías Urbanas, solicitados por estas entidades para la expedición de licencias de construcción y/o actos de reconocimiento, para los proyectos de familias inscritas en la Dirección de Mejoramiento de Vivienda</t>
  </si>
  <si>
    <t>MV - 002</t>
  </si>
  <si>
    <t>CRISTHIAN DAVID TORRES MARTINEZ</t>
  </si>
  <si>
    <t>7328-6</t>
  </si>
  <si>
    <t>Prestación de servicios profesionales, para apoyar el proceso de asistencia técnica a las familias inscritas en la Dirección de Mejoramiento de Vivienda que solicitan y/o requieren adelantar trámite de licencia de construcción y/o actos de reconocimiento, así como soporte a las actividades que se desarrollan dentro del marco de los proyectos de Mejoramiento Integral de la DMV de la CVP.</t>
  </si>
  <si>
    <t>MV - 003</t>
  </si>
  <si>
    <t>ELIZABETH MARCIALES DAZA</t>
  </si>
  <si>
    <t>7328-7</t>
  </si>
  <si>
    <t>Prestación de servicios tecnicos relacionados con la elaboración de planos arquitectónicos, estructurales, detalles constructivos y respuesta de requerimientos y condiciones exigidos por las Curadurías Urbanas, solicitados por estas entidades para la expedición de licencias de construcción y/o actos de reconocimiento, para los proyectos de familias inscritas en la Dirección de Mejoramiento de Vivienda</t>
  </si>
  <si>
    <t>MV - 004</t>
  </si>
  <si>
    <t>MARIA JULIANA CABELLO CERVANTES</t>
  </si>
  <si>
    <t>7328-8</t>
  </si>
  <si>
    <t>Prestación de servicios profesionales, para apoyar el proceso de asistencia técnica a las familias inscritas en la Dirección de Mejoramiento de Vivienda que solicitan y/o requieren adelantar trámite de licencia de construcción y/o actos de reconocimiento, en cuanto al diseño estructural, calculo memorias y planos estructurales requeridos por la normatividad vigente de las curadurías urbanas; así como soporte a las actividades que se desarrollan dentro del marco de los proyectos de Mejoramiento Integral de la DMV de la CVP.</t>
  </si>
  <si>
    <t>MV - 005</t>
  </si>
  <si>
    <t xml:space="preserve">ROBERTO MANUEL CARRILLO RODRIGUEZ </t>
  </si>
  <si>
    <t>7328-9</t>
  </si>
  <si>
    <t>Adición y prórroga al contrato 348 cuyo objeto es:"Prestación de servicios profesionales, para apoyar el proceso de asistencia técnica a las familias inscritas en la Dirección de Mejoramiento de Vivienda que solicitan y/o requieren adelantar trámite de licencia de construcción y/o actos de reconocimiento, en cuanto al diseño estructural, calculo memorias y planos estructurales requeridos por la normatividad vigente de las curadurías urbanas; así como soporte a las actividades que se desarrollan dentro del marco de los proyectos de Mejoramiento Integral de la DMV de la CVP"</t>
  </si>
  <si>
    <t>MV - 006</t>
  </si>
  <si>
    <t>GIOVANNI  QUIROGA BERMUDEZ</t>
  </si>
  <si>
    <t>Adicion y prorroga contrato 348</t>
  </si>
  <si>
    <t>7328-10</t>
  </si>
  <si>
    <t>MV - 007</t>
  </si>
  <si>
    <t>GIOVANNI QUIROGA BERMUDEZ</t>
  </si>
  <si>
    <t>7328-11</t>
  </si>
  <si>
    <t>MV - 008</t>
  </si>
  <si>
    <t xml:space="preserve">JOSE GABRIEL MENDOZA SANTOS </t>
  </si>
  <si>
    <t>7328-12</t>
  </si>
  <si>
    <t>Prestación de servicios técnicos relacionados con la elaboración de levantamientos arquitectónicos, planos urbanísticos, arquitectónicos, estructurales, detalles constructivos y respuesta de requerimientos y actas de observaciones y/o condiciones exigidos por las Curadurías Urbanas, solicitados por estas entidades para la expedición de licencias de construcción y/o actos de reconocimiento, para los proyectos de familias inscritas en la Dirección de Mejoramiento de Vivienda</t>
  </si>
  <si>
    <t>MV - 009</t>
  </si>
  <si>
    <t>LEIDY VANESSA MARTINEZ MONROY</t>
  </si>
  <si>
    <t>7328-13</t>
  </si>
  <si>
    <t>Prestación de servicios técnicos relacionados con la elaboración de levantamientos arquitectónicos, planos urbanísticos, arquitectónicos, estructurales, detalles constructivos y respuesta de requerimientos y actas de observaciones y/o condiciones exigidos por las Curadurías Urbanas, solicitados por estas entidades para la expedición de licencias de construcción y/o actos de reconocimiento, para los proyectos de familias inscritas en la Dirección de Mejoramiento de Vivienda.</t>
  </si>
  <si>
    <t>MV - 010</t>
  </si>
  <si>
    <t xml:space="preserve">JOSE ANDRES ACUÑA VIVAS </t>
  </si>
  <si>
    <t>7328-14</t>
  </si>
  <si>
    <t>MV - 011</t>
  </si>
  <si>
    <t>CAROL JINETH PEREZ SALVADOR</t>
  </si>
  <si>
    <t>7328-15</t>
  </si>
  <si>
    <t>Prestación de servicios profesionales en el área social, para apoyar el proceso de asistencia técnica a las familias inscritas en la Dirección de Mejoramiento de Vivienda que solicitan y/o requieren adelantar trámite de licencia de construcción y/o actos de reconocimiento, así como soporte a las actividades que se desarrollan dentro del marco de los proyectos de Mejoramiento Integral de la DMV de la CVP.</t>
  </si>
  <si>
    <t>MV - 012</t>
  </si>
  <si>
    <t xml:space="preserve">DORIS MARSELLA GARCIA PRIETO </t>
  </si>
  <si>
    <t>7328-16</t>
  </si>
  <si>
    <t>Prestar los servicios profesionales en el área Social para apoyar el proceso de asistencia técnica a las familias inscritas en la Dirección de Mejoramiento de Vivienda, además de efectuar la gestión social a los hogares que se presenten para optar al Subsidio Distrital de Vivienda en Especie.</t>
  </si>
  <si>
    <t>MV - 013</t>
  </si>
  <si>
    <t>JULIANA ALEJANDRA MARTHEYN NUÑEZ</t>
  </si>
  <si>
    <t>7328-17</t>
  </si>
  <si>
    <t>MV - 014</t>
  </si>
  <si>
    <t xml:space="preserve">HECTOR JULIO CASTAÑEDA PULIDO </t>
  </si>
  <si>
    <t>7328-18</t>
  </si>
  <si>
    <t>Prestación de servicios profesionales apoyando la gestión documental, inventario y manejo del archivo físico, en cumplimiento de los procedimientos de la Dirección de Mejoramiento de Vivienda de la CVP.</t>
  </si>
  <si>
    <t>MV - 015</t>
  </si>
  <si>
    <t>OLGA YOLIMA ROJAS RODRIGUEZ</t>
  </si>
  <si>
    <t>7328-19</t>
  </si>
  <si>
    <t>Prestación de servicios técnicos de apoyo a la gestión documental, inventario y manejo del archivo físico, en cumplimiento de los procedimientos de la Dirección de Mejoramiento de Vivienda de la CVP</t>
  </si>
  <si>
    <t>MV - 016</t>
  </si>
  <si>
    <t>ADRIANA PAOLA MORALES LOZANO</t>
  </si>
  <si>
    <t>7328-20</t>
  </si>
  <si>
    <t>Prestar servicios asistenciales en la Gestión Documental, captura de datos, inventario y manejo de archivo físico, en cumplimiento de los procedimientos de la Dirección de Mejoramiento de Vivienda de la CVP.</t>
  </si>
  <si>
    <t>MV - 017</t>
  </si>
  <si>
    <t>JOSE GIOVANNI VARON CAMELO</t>
  </si>
  <si>
    <t>7328-21</t>
  </si>
  <si>
    <t>MV - 018</t>
  </si>
  <si>
    <t xml:space="preserve">ASTRID ROCIO MUÑOZ QUIROGA </t>
  </si>
  <si>
    <t>7328-22</t>
  </si>
  <si>
    <t>Adición y Prórroga al contrato 145, cuyo objeto es: "Prestar servicios asistenciales en la Gestión Documental, captura de datos, inventario y manejo de archivo físico, en cumplimiento de los procedimientos de la Dirección de Mejoramiento de Vivienda de la CVP".</t>
  </si>
  <si>
    <t>MV - 019</t>
  </si>
  <si>
    <t>MARITZA FONTECHA</t>
  </si>
  <si>
    <t>Adicion y prorroga contrato 145</t>
  </si>
  <si>
    <t>7328-23</t>
  </si>
  <si>
    <t>MV - 090</t>
  </si>
  <si>
    <t>VIVIANA  RODRIGUEZ MELO</t>
  </si>
  <si>
    <t>7328-24</t>
  </si>
  <si>
    <t>MV - 020</t>
  </si>
  <si>
    <t xml:space="preserve">JAQUELINE MORALES RAMIREZ </t>
  </si>
  <si>
    <t>7328-25</t>
  </si>
  <si>
    <t>MV - 021</t>
  </si>
  <si>
    <t>WENDY JULIETH ROJAS CRUZ</t>
  </si>
  <si>
    <t>7328-26</t>
  </si>
  <si>
    <t>MV - 022</t>
  </si>
  <si>
    <t>BELKIS MARIA PEREZ LEMUS</t>
  </si>
  <si>
    <t>7328-27</t>
  </si>
  <si>
    <t>Prestación de servicios de apoyo a la gestión documental, inventario y manejo del archivo físico, en cumplimiento de los procedimientos de la Dirección de Mejoramiento de Vivienda de la CVP.</t>
  </si>
  <si>
    <t>MV - 023</t>
  </si>
  <si>
    <t>EDINSON AGUJA MATOMA</t>
  </si>
  <si>
    <t>7328-28</t>
  </si>
  <si>
    <t>Prestación de servicios profesionales como abogado para el acompañamiento y elaboración de las diferentes funciones de la Dirección de Mejoramiento de Vivienda, asesorando de acuerdo a la normatividad Vigente y Planteando alternativas Jurídicas ante las diferentes situaciones que se presenten durante la ejecución de los procesos adelantados.</t>
  </si>
  <si>
    <t>MV - 024</t>
  </si>
  <si>
    <t xml:space="preserve">FELKYN EDUARDO SANDOVAL NUÑEZ </t>
  </si>
  <si>
    <t>7328-29</t>
  </si>
  <si>
    <t>Prestar los servicios profesionales a la Dirección de Mejoramiento de Vivienda, en la proyección de conceptos, revisión de actos administrativos y demás actualizaciones administrativas y jurídicas requeridas, en concordancia con los procesos propios de la Dirección.</t>
  </si>
  <si>
    <t>MV - 025</t>
  </si>
  <si>
    <t>ALMA KARINA DE CASTRO MARIN</t>
  </si>
  <si>
    <t>7328-30</t>
  </si>
  <si>
    <t>Prestación de servicios técnicos para adelantar el soporte técnico y apoyar desde su experticia en la generación, consolidación y divulgación de información estratégica de los proyectos de la DMV, que contribuya a fortalecer los sistemas de información institucionales.</t>
  </si>
  <si>
    <t>MV - 026</t>
  </si>
  <si>
    <t xml:space="preserve">ALEX FERNANDO GONZALEZ VILLANUEVA </t>
  </si>
  <si>
    <t>7328-31</t>
  </si>
  <si>
    <t>Prestación de servicios profesionales para adelantar la consulta, revisión, consolidación, organización, actualización y disposición de la información cartográfica, gráfica y alfanumérica en la Dirección de Mejoramiento de Vivienda de la CVP</t>
  </si>
  <si>
    <t>MV - 027</t>
  </si>
  <si>
    <t xml:space="preserve">JHOAN EDUARDO JAIMES CARDENZAS </t>
  </si>
  <si>
    <t>7328-32</t>
  </si>
  <si>
    <t>Prestar los servicios profesionales para apoyar el control y evaluación financiera durante la ejecución, avance y cumplimiento del proyecto Mejoramiento de vivienda en sus condiciones físicas y de habitabilidad en los asentamientos humanos priorizados en área urbana y rural.</t>
  </si>
  <si>
    <t>MV - 028</t>
  </si>
  <si>
    <t>LEDYS MARCELA AJIACO AJIACO</t>
  </si>
  <si>
    <t>7328-33</t>
  </si>
  <si>
    <t>Prestación de servicios profesionales para apoyar los procedimientos operativos y de gestión de la información que se lleva a cabo en la Dirección de Mejoramiento de Vivienda, que conlleven a la ejecución de los proyectos de vivienda, además de apoyar la coordinación en la implementación y seguimiento de procesos técnicos y operativos de esta dirección.</t>
  </si>
  <si>
    <t>MV - 029</t>
  </si>
  <si>
    <t>MANUEL ALEJANDRO PINILLA FORERO</t>
  </si>
  <si>
    <t>7328-34</t>
  </si>
  <si>
    <t>Adición y Prórroga al contrato 317,  cuyo objeto es:"Prestar los servicios profesionales para apoyar y acompañar en el proceso de Supervisión de Interventoría de Obras de la Dirección de Mejoramiento de Vivienda, asesorando de acuerdo a la normatividad vigente y planeando alternativas técnicas para su desarrollo"</t>
  </si>
  <si>
    <t>MV - 030</t>
  </si>
  <si>
    <t>FERNANDO ENRIQUE OROZCO VARGAS</t>
  </si>
  <si>
    <t>7328-35</t>
  </si>
  <si>
    <t>Prestar los servicios profesionales para apoyar y acompañar en el proceso de Supervisión de Interventoría de Obras de la Dirección de Mejoramiento de Vivienda, asesorando de acuerdo a la normatividad vigente y planeando alternativas técnicas para su desarrollo.</t>
  </si>
  <si>
    <t>MV - 089 (Anulada)</t>
  </si>
  <si>
    <t>Viavilidad anulada mediante oficio número 2018IE9914</t>
  </si>
  <si>
    <t>7328-36</t>
  </si>
  <si>
    <t>MV - 031</t>
  </si>
  <si>
    <t>RONALD ARCILA MORENO</t>
  </si>
  <si>
    <t>7328-37</t>
  </si>
  <si>
    <t>MV - 032</t>
  </si>
  <si>
    <t>IVAN DARIO SUESCUN QUIÑONES</t>
  </si>
  <si>
    <t>7328-38</t>
  </si>
  <si>
    <t>MV - 033</t>
  </si>
  <si>
    <t>JOHN ALEXANDER CORREDOR FONSECA</t>
  </si>
  <si>
    <t>7328-39</t>
  </si>
  <si>
    <t>MV - 034</t>
  </si>
  <si>
    <t>ISOLIER ANDRÉS EGUIS BENITEZ</t>
  </si>
  <si>
    <t>7328-40</t>
  </si>
  <si>
    <t>MV - 035</t>
  </si>
  <si>
    <t>EDGAR ANDRES PASTRAN CHAUX</t>
  </si>
  <si>
    <t>7328-41</t>
  </si>
  <si>
    <t>Prestar los servicios profesionales para apoyar la supervisión Social de las obras de los proyectos territoriales, además de efectuar la gestión social a los hogares de los territoriales dirigidos que se presenten para optar al Subsidio Distrital de Vivienda en Especie.</t>
  </si>
  <si>
    <t>MV - 036</t>
  </si>
  <si>
    <t>GLORIA IRAIDA THALJI RAVELO</t>
  </si>
  <si>
    <t>7328-42</t>
  </si>
  <si>
    <t xml:space="preserve"> prestar los servicios profesionales para apoyar la supervisiòn social de las obras de los proyectos territoriales, ademàs efectuar la gestiòn social a los hogares de los territoriales dirigidos que se presenten para optar al subsidio distrital de vivienda en especie"</t>
  </si>
  <si>
    <t>MV - 037</t>
  </si>
  <si>
    <t xml:space="preserve">MONICA AVILA CANTOR </t>
  </si>
  <si>
    <t>7328-43</t>
  </si>
  <si>
    <t>MV - 038</t>
  </si>
  <si>
    <t xml:space="preserve">DIANA MARCELA ORDUZ VALBUENA </t>
  </si>
  <si>
    <t>7328-44</t>
  </si>
  <si>
    <t>MV - 039</t>
  </si>
  <si>
    <t>CAMILO GUAJE NIETO</t>
  </si>
  <si>
    <t>7328-45</t>
  </si>
  <si>
    <t>MV - 040</t>
  </si>
  <si>
    <t>ADALIA SERRANO RODRIGUEZ</t>
  </si>
  <si>
    <t>7328-46</t>
  </si>
  <si>
    <t>MV - 041</t>
  </si>
  <si>
    <t>CARMEN SOFIA TINOCO MENDOZA</t>
  </si>
  <si>
    <t>7328-47</t>
  </si>
  <si>
    <t>Prestar servicios profesionales a la Dirección Jurídica, como enlace de la Dirección de Mejoramiento de Vivienda en el desarrollo de actividades jurídicas relacionadas con los procedimientos, actuaciones, competencias y trámites en general que se encuentran a cargo de aquella Dirección.</t>
  </si>
  <si>
    <t>MV - 042</t>
  </si>
  <si>
    <t>JUAN PABLO LUGO BOTELLO</t>
  </si>
  <si>
    <t>7328-48</t>
  </si>
  <si>
    <t>MV - 043</t>
  </si>
  <si>
    <t>FABIO ANDRES MORALES CLEVES</t>
  </si>
  <si>
    <t>7328-49</t>
  </si>
  <si>
    <t xml:space="preserve">“Prestación de servicios profesionales, para apoyar el proceso de asistencia técnica a las familias inscritas en la Dirección de Mejoramiento de Vivienda que solicitan y/o requieren adelantar trámite de licencia de construcción y/o actos de reconocimiento, en cuanto al diseño estructural, calculo memorias y planos estructurales requeridos por la normatividad vigente de las curadurías urbanas; así como soporte a las actividades que se desarrollan dentro del marco de los proyectos de Mejoramiento Integral de la DMV de la CVP." </t>
  </si>
  <si>
    <t>MV - 48</t>
  </si>
  <si>
    <t xml:space="preserve">JUAN PABLO SANTIAGO CASTELLANOS MACIAS </t>
  </si>
  <si>
    <t>7328-51</t>
  </si>
  <si>
    <t>MV - 045</t>
  </si>
  <si>
    <t xml:space="preserve">MARTHA CONSUELO CASAS GARZON </t>
  </si>
  <si>
    <t>7328-52</t>
  </si>
  <si>
    <t>Prestación de servicios profesionales como comunicador social para que, en concordancia con la Oficina asesora de comunicaciones, realice el proceso de difusión, redacción, comunicación y distribución de información de los proyectos de la Dirección de Mejoramiento de Vivienda, con el propósito de dar a conocer las actividades y eventos que se desarrollen en la ejecución de los mismos, a través de estrategias integrales de comunicación</t>
  </si>
  <si>
    <t>MV - 046</t>
  </si>
  <si>
    <t>MARTHA BIBIANA ESTUPIÑAN CRUZ</t>
  </si>
  <si>
    <t>7328-53</t>
  </si>
  <si>
    <t>Prestar los servicios profesionales para apoyar a la Oficina Asesora de Comunicaciones en el desarrollo de la Estrategia de Comuniaciones de la entidad a través de la producción de contenidos periodísticos para los medios internos y externos de la Caja de la Vivienda Popular</t>
  </si>
  <si>
    <t>MV - 049</t>
  </si>
  <si>
    <t>Se anula la viabilidad, por solicitud de la dirección de mejoramiento de vivienda, mediante radicado 2018IE332 del 15 de enero de 2018</t>
  </si>
  <si>
    <t>7328-54</t>
  </si>
  <si>
    <t>Prestar los servicios profesionales para realizar el acompañamiento a la Oficina Asesora de Comunicaciones en el desarrollo de material informativo en los diferentes géneros periodísticos, con el fin de visibilizar la gestión social de la Caja de la Vivienda Popular</t>
  </si>
  <si>
    <t>MV - 050</t>
  </si>
  <si>
    <t>Se anula la viabilidad, por solicitud de la dirección de mejoramiento de vivienda, mediante radicado 2018IE333 del 15 de enero de 2018</t>
  </si>
  <si>
    <t>7328-55</t>
  </si>
  <si>
    <t>MV - 047</t>
  </si>
  <si>
    <t>7328-56</t>
  </si>
  <si>
    <t>Prestar los Servicios profesionales en la implementación y seguimiento de la política de responsabilidad social, bajo los tres pilares de sostenibilidad a los procesos de gestión misional de la entidad.</t>
  </si>
  <si>
    <t>MV - 052</t>
  </si>
  <si>
    <t>7328-57</t>
  </si>
  <si>
    <t>MV - 051</t>
  </si>
  <si>
    <t>7328-58</t>
  </si>
  <si>
    <t>Pago de cotización al Sistema General de Riesgos Laborales de las personas vinculadas a través de un contrato de prestación de servicios con la Caja de la Vivienda Popular que laboran en actividades de alto riesgo, según lo dispuesto en el Articulo 13 del Decreto 723 de 2013</t>
  </si>
  <si>
    <t>ORDEN DE PRESTACION DE SERVICIOS</t>
  </si>
  <si>
    <t>MV - 056</t>
  </si>
  <si>
    <t>723-1540</t>
  </si>
  <si>
    <t>POSITIVA</t>
  </si>
  <si>
    <t>7328-59</t>
  </si>
  <si>
    <t>A.17.1 PROCESOS INTEGRALES DE EVALUACIÓN INSTITUCIONAL Y REORGANIZACIÓN ADMINISTRATIVA</t>
  </si>
  <si>
    <t>Contratar los servicios de divulgación masiva que optimice la estrategia de comunicación de la Caja de la Vovienda Popular, a traves de los diferentes medios de comunicación y promocione la gestión de las direcciones misionales.</t>
  </si>
  <si>
    <t>CONTRATO INTERADMINISTRATIVO DE PRESTACION DE SERVICIOS</t>
  </si>
  <si>
    <t>DIVULGACION</t>
  </si>
  <si>
    <t>7328-60</t>
  </si>
  <si>
    <t>7328-61</t>
  </si>
  <si>
    <t>CONTRATO DE PRESTACION DE SERVICIOS</t>
  </si>
  <si>
    <t>BTL</t>
  </si>
  <si>
    <t>7328-62</t>
  </si>
  <si>
    <t xml:space="preserve">Adicion y Prorroga al contrato, cuyo objetivo es: "Prestacion de servicios tecnicos relacionados con la elaboracion de levantamientos arquitectonicos, planos urbanísticos, arquitectónicos, estructurales, detalles constructivos y respuesta de requerimientos y actas de observaciones y/o condiciones exigidos por las Curadurías Urbanas, solicitados por estas entidades para la expedición de licencias de construcción y/o actos de reconocimiento, para los proyectos de familias inscritas en la Dirección de Mejoramiento de Vivienda".  </t>
  </si>
  <si>
    <t>Mínima Cuantía</t>
  </si>
  <si>
    <t>7328-63</t>
  </si>
  <si>
    <t>0113- Estudios de Evaluación, diseño geotécnico y/o estructural de las viviendas a mejorar</t>
  </si>
  <si>
    <t>Contratar por el sistema de precios unitarios sin fórmula de ajuste la realización de estudios geotécnicos de predios que pertenecen al programa de mejoramiento de vivienda de la Caja de la  Vivienda Popular que den soporte al trámite y obtención de Licencias de Construcción o Actos de Reconocimiento.</t>
  </si>
  <si>
    <t>CONTRATO DE CONSULTORIA</t>
  </si>
  <si>
    <t>ESTUDIO DE SUELOS</t>
  </si>
  <si>
    <t>7328-64</t>
  </si>
  <si>
    <t>Adición y Prórroga al contrato 670 de 2017, cuyo objeto es: Prestar los servicios profesionales para apoyar la gestión de campo con componente técnico, para la ejecución de actividades  durante la ejecución de todo el proceso de estructuración de proyectos que optan por el subsidio distrital de vivienda en especie.</t>
  </si>
  <si>
    <t>MV - 067 (Anulada)</t>
  </si>
  <si>
    <t>LAURA MARCELA MORENO CASTILLO</t>
  </si>
  <si>
    <t>Viavilidad anulada mediante oficio número 2018IE9824</t>
  </si>
  <si>
    <t>7328-65</t>
  </si>
  <si>
    <t>Adición y Prórroga al contrato 671 de 2017, cuyo objeto es: Prestar los servicios profesionales para apoyar desde el componente social,  la ejecución de actividades asociadas a la estructuración de proyectos del subsidio distrital para el mejoramiento de vivienda.</t>
  </si>
  <si>
    <t>MV - 068 (Anulada)</t>
  </si>
  <si>
    <t>LIZETH PAOLA ESCALANTE ALARCON</t>
  </si>
  <si>
    <t>7328-66</t>
  </si>
  <si>
    <t>Adición y Prórroga al contrato 662 de 2017, cuyo objeto es: Prestar los servicios profesionales para apoyar la gestión de campo con componente técnico, para la ejecución de actividades  durante la ejecución de todo el proceso de estructuración de proyectos que optan por el subsidio distrital de vivienda en especie.</t>
  </si>
  <si>
    <t>MV - 069 (Anulada)</t>
  </si>
  <si>
    <t>SERGIO SEBASTIAN OSORIO VAGNER</t>
  </si>
  <si>
    <t>7328-67</t>
  </si>
  <si>
    <t>Adición y Prórroga al contrato 665 de 2017, cuyo objeto es: Prestar los servicios profesionales para apoyar desde el componente social,  la ejecución de actividades asociadas a la estructuración de proyectos del subsidio distrital para el mejoramiento de vivienda.</t>
  </si>
  <si>
    <t>MV - 070 (Anulada)</t>
  </si>
  <si>
    <t xml:space="preserve">JAIME ANDRES SAAVEDRA PRIETO </t>
  </si>
  <si>
    <t>7328-68</t>
  </si>
  <si>
    <t>Adición y Prórroga al contrato 660 de 2017, cuyo objeto es: Prestar los servicios profesionales para apoyar la gestión de campo con componente técnico, para la ejecución de actividades  durante la ejecución de todo el proceso de estructuración de proyectos que optan por el subsidio distrital de vivienda en especie.</t>
  </si>
  <si>
    <t>MV - 071 (Anulada)</t>
  </si>
  <si>
    <t>MARIA CAMILA SANCHEZ SAMPER</t>
  </si>
  <si>
    <t>7328-69</t>
  </si>
  <si>
    <t>Adición y Prórroga al contrato 692 de 2017, cuyo objeto es: Prestar los servicios profesionales para apoyar desde el componente social,  la ejecución de actividades asociadas a la estructuración de proyectos del subsidio distrital para el mejoramiento de vivienda.</t>
  </si>
  <si>
    <t>MV - 072 (Anulada)</t>
  </si>
  <si>
    <t>DAVID ARREAZA MORENO</t>
  </si>
  <si>
    <t>7328-70</t>
  </si>
  <si>
    <t>Adición y Prorroga al contrato 663 de 2017, cuyo objeto es: Prestar los servicios profesionales para apoyar y gestionar los procedimientos técnicos y de información de la Dirección de Mejoramiento de Vivienda en el desarrollo de la estructuración de los proyectos para asignación de Subsidios de Vivienda en Especie.</t>
  </si>
  <si>
    <t>MV - 073 (Anulada)</t>
  </si>
  <si>
    <t>NICOLAS ROSERO PERALTA</t>
  </si>
  <si>
    <t>7328-71</t>
  </si>
  <si>
    <t>Adición y Prórroga al contrato 684 de 2017, cuyo objeto es: Prestar los servicios profesionales para apoyar la gestión de campo con componente técnico, para la ejecución de actividades  durante la ejecución de todo el proceso de estructuración de proyectos que optan por el subsidio distrital de vivienda en especie.</t>
  </si>
  <si>
    <t>MV - 074 (Anulada)</t>
  </si>
  <si>
    <t xml:space="preserve">LINA MARIA SAZIPA MORENO </t>
  </si>
  <si>
    <t>7328-72</t>
  </si>
  <si>
    <t>Adición y Prórroga al contrato 689 de 2017, cuyo objeto es: Prestar los servicios para apoyar en el manejo documental,  la ejecución de actividades asociadas a la estructuración de proyectos del subsidio distrital para el mejoramiento de vivienda. </t>
  </si>
  <si>
    <t>MV - 075 (Anulada)</t>
  </si>
  <si>
    <t xml:space="preserve">NINI JOHANNA HERNANDEZ GALINDO </t>
  </si>
  <si>
    <t>7328-73</t>
  </si>
  <si>
    <t>Adición y Prórroga al contrato 677 de 2017, cuyo objeto es: Prestar los servicios profesionales para apoyar desde el componente social,  la ejecución de actividades asociadas a la estructuración de proyectos del subsidio distrital para el mejoramiento de vivienda.</t>
  </si>
  <si>
    <t>MV - 076 (Anulada)</t>
  </si>
  <si>
    <t>NILSA DANIELA HERNANDEZ PEREZ</t>
  </si>
  <si>
    <t>7328-74</t>
  </si>
  <si>
    <t>Adición y Prórroga al contrato 655 de 2017, cuyo objeto es: Prestar los servicios para apoyar desde el componente de sistematización,  la ejecución de actividades asociadas a la estructuración de proyectos del subsidio distrital para el mejoramiento de vivienda.</t>
  </si>
  <si>
    <t>MV - 077 (Anulada)</t>
  </si>
  <si>
    <t>CRISTHIAN CAMILO CARDENAS RAIGOZO</t>
  </si>
  <si>
    <t>7328-75</t>
  </si>
  <si>
    <t>Adición y prórroga al contrato 664 de 2017, cuyo objeto es: Prestar los servicios profesionales para apoyar desde el componente social, la ejecución de actividades asociadas a la estructuración de proyectos del subsidio distrital para el mejoramiento de vivienda.</t>
  </si>
  <si>
    <t>MV - 078 (Anulada)</t>
  </si>
  <si>
    <t>POLITY SEVERO PINEDA DUARTE</t>
  </si>
  <si>
    <t>7328-76</t>
  </si>
  <si>
    <t>Adición y Prórroga al contrato 683 de 2017, cuyo objeto es: Apoyar desde el componente jurídico,  la ejecución de actividades asociadas a la estructuración de proyectos del subsidio distrital para el mejoramiento de vivienda.</t>
  </si>
  <si>
    <t>MV - 079 (Anulada)</t>
  </si>
  <si>
    <t xml:space="preserve">SERGIO DUVAN GOMEZ HERRERA </t>
  </si>
  <si>
    <t>7328-77</t>
  </si>
  <si>
    <t>Adición y Prórroga al contrato 667 de 2017, cuyo objeto es: Prestar los servicios para apoyar en el manejo documental,  la ejecución de actividades asociadas a la estructuración de proyectos del subsidio distrital para el mejoramiento de vivienda. </t>
  </si>
  <si>
    <t>MV - 080</t>
  </si>
  <si>
    <t xml:space="preserve">MARCO FERNANDO NUÑEZ JIMENEZ </t>
  </si>
  <si>
    <t>7328-78</t>
  </si>
  <si>
    <t>Adición y Prórroga al contrato 687 de 2017, cuyo objeto es: Prestar los servicios para apoyar desde el componente de sistematización,  la ejecución de actividades asociadas a la estructuración de proyectos del subsidio distrital para el mejoramiento de vivienda.</t>
  </si>
  <si>
    <t>MV - 081 (Anulada)</t>
  </si>
  <si>
    <t xml:space="preserve">GIORDY HERNEY CADENA MORENO </t>
  </si>
  <si>
    <t>7328-79</t>
  </si>
  <si>
    <t>Adición y Prórroga al contrato 654 de 2017, cuyo objeto es: Prestar los servicios profesionales para apoyar desde el componente de sistematización,  la ejecución de actividades asociadas a la estructuración de proyectos del subsidio distrital para el mejoramiento de vivienda.</t>
  </si>
  <si>
    <t>MV - 082</t>
  </si>
  <si>
    <t>1/06/208</t>
  </si>
  <si>
    <t>MONICA IVONNE ALBA CHAPARRO</t>
  </si>
  <si>
    <t>7328-80</t>
  </si>
  <si>
    <t>Adición y Prórroga al contrato 703 de 2017, cuyo objeto es: Prestar los servicios para apoyar desde el componente de sistematización,  la ejecución de actividades asociadas a la estructuración de proyectos del subsidio distrital para el mejoramiento de vivienda</t>
  </si>
  <si>
    <t>MV - 083 (Anulada)</t>
  </si>
  <si>
    <t>DIEGO FERNANDO CALDAS TRIANA</t>
  </si>
  <si>
    <t>7328-81</t>
  </si>
  <si>
    <t>Adición y Prórroga al contrato 679 de 2017, cuyo objeto es: Prestar los servicios para apoyar desde el componente de sistematización,  la ejecución de actividades asociadas a la estructuración de proyectos del subsidio distrital para el mejoramiento de vivienda.</t>
  </si>
  <si>
    <t>MV - 084 (Anulada)</t>
  </si>
  <si>
    <t>GINNA ROCIO QUITIAN LEGUIZAMO</t>
  </si>
  <si>
    <t>7328-82</t>
  </si>
  <si>
    <t>Adición y Prórroga al contrato 661 de 2017, cuyo objeto es: Prestar los servicios profesionales para apoyar la gestión de campo con componente técnico, para la ejecución de actividades  durante la ejecución de todo el proceso de estructuración de proyectos que optan por el subsidio distrital de vivienda en especie.</t>
  </si>
  <si>
    <t>MV - 085 (Anulada)</t>
  </si>
  <si>
    <t xml:space="preserve">RAMIRO EDUARDO PACHON </t>
  </si>
  <si>
    <t>7328-83</t>
  </si>
  <si>
    <t>Adición y Prórroga al contrato 668 de 2017, cuyo objeto es:  “Prestar los servicios profesionales para apoyar desde el componente jurídico,  la ejecución de actividades asociadas a la estructuración de proyectos del subsidio distrital para el mejoramiento de vivienda”</t>
  </si>
  <si>
    <t>MV - 086 (Anulada)</t>
  </si>
  <si>
    <t>DIANA MARCELA GALVEZ SUAREZ</t>
  </si>
  <si>
    <t>7328-84</t>
  </si>
  <si>
    <t>Adición y Prórroga al contrato 653 de 2017 cuyo objeto es: Prestar los servicios para apoyar en el manejo documental,  la ejecución de actividades asociadas a la estructuración de proyectos del subsidio distrital para el mejoramiento de vivienda. </t>
  </si>
  <si>
    <t>MV - 087</t>
  </si>
  <si>
    <t>LUIS ORLANDO TORRES  ROMERO</t>
  </si>
  <si>
    <t>7328-85</t>
  </si>
  <si>
    <t>Adición y Prórroga al contrato 675 de 2017, cuyo objeto es: Prestar los servicios profesionales para apoyar la gestión de campo con componente técnico, para la ejecución de actividades  durante la ejecución de todo el proceso de estructuración de proyectos que optan por el subsidio distrital de vivienda en especie.</t>
  </si>
  <si>
    <t>MV - 088 (Anulada)</t>
  </si>
  <si>
    <t>DIANA PATRICIA CASTAÑEDA CASTAÑEDA</t>
  </si>
  <si>
    <t>7328-86</t>
  </si>
  <si>
    <t>"Prestación de servicios profesionales, para apoyar el proceso de asistencia técnica a las familias inscritas en la Dirección de Mejoramiento de Vivienda que solicitan y/o requieren adelantar trámite de licencia de construcción y/o actos de reconocimiento, así como soporte a las actividades que se desarrollan dentro del marco de los proyectos de mejoramiento integral de la DMV de la CVP"</t>
  </si>
  <si>
    <t>MV - 053</t>
  </si>
  <si>
    <t>LINEA 7328 - 004</t>
  </si>
  <si>
    <t>EDGAR GOYENECHE MUÑOZ</t>
  </si>
  <si>
    <t xml:space="preserve">Se crea la presente viabilidad, por solicitud de la dirección de mejoramiento de vivienda, mediante radicado 2018IE286 del 11 de enero de 2018 - Los recursos correspondientes a la misma provienen de la linia original 7328 - 004 </t>
  </si>
  <si>
    <t>7328-87</t>
  </si>
  <si>
    <t>"Contratar los servicios profesionales de un comunicador social que desarrolleinformación periodística de las áreas misionales, para fortalecer los canales de comunicación internos y externos de la entidad, conforme a la Estrategia de Comunicaciones de la Caja de la Vivienda Popular"</t>
  </si>
  <si>
    <t>MV - 054</t>
  </si>
  <si>
    <t>LINEA 7328 - 053</t>
  </si>
  <si>
    <t xml:space="preserve">Se crea la presente viabilidad, por solicitud de la dirección de mejoramiento de vivienda, mediante radicado 2018IE332 del 15 de enero de 2018 - Los recursos correspondientes a la misma provienen de la linia original 7328 - 053, viabilidad que fue anulada por solicitud de la DMV, en el mismo memorando. </t>
  </si>
  <si>
    <t>7328-88</t>
  </si>
  <si>
    <t>"Prestar los servicios profesionales para la planeación, realización y desarrollo de contenidos periodísticos que permitan la difusión y divulgación de la gestión social que adelanta la CVP con las comunidades, a través de sus programas misionales."</t>
  </si>
  <si>
    <t>MV - 055</t>
  </si>
  <si>
    <t>LINEA 7328 - 054</t>
  </si>
  <si>
    <t xml:space="preserve">Se crea la presente viabilidad, por solicitud de la dirección de mejoramiento de vivienda, mediante radicado 2018IE333 del 15 de enero de 2018 - Los recursos correspondientes a la misma provienen de la linia original 7328 - 054, viabilidad que fue anulada por solicitud de la DMV, en el mismo memorando. </t>
  </si>
  <si>
    <t>7328-89</t>
  </si>
  <si>
    <t>Prestación de servicios profesionales relacionados con la elaboración de levantamientos arquitectonicos, planos urbanísticos, arquitectónicos, estructurales, detalles constructivos y respuesta de requerimientos y actas de observación y/o condiciones exigidos por la Curadurías Urbanas solicitados por estas entidades para la expedición de licencias de construcción y/o actos de reconocimiento para los proyectos de familias inscritas en la Dirección de Mejoramiento de Vivienda.</t>
  </si>
  <si>
    <t>MV-058(ANULADA) - MV-059</t>
  </si>
  <si>
    <t>LINEA 7328 - 002</t>
  </si>
  <si>
    <t>JAVIER BENITEZ BARAJAS</t>
  </si>
  <si>
    <t xml:space="preserve">Se crea la presente viabilidad, por solicitud de la dirección de mejoramiento de vivienda, mediante radicado 2018IE365 del 16 de enero de 2018 - Los recursos correspondientes a la misma provienen de la linea 7328 - 02. </t>
  </si>
  <si>
    <t>7328-90</t>
  </si>
  <si>
    <t>Prestar los servicios tecnicos a la Dirección de Mejoramiento de Vivienda, en la proyección de conceptos, revisión de actos administrativos y demás actualizaciones administrativas y jurídicas requeridas, en concordancia con los procesos propios de la Dirección.</t>
  </si>
  <si>
    <t>MV- 060</t>
  </si>
  <si>
    <t>LINEA 7328 - 050</t>
  </si>
  <si>
    <t>WILLIAM ALEXANDER GUTIERREZ GUITIERREZ</t>
  </si>
  <si>
    <t>Se crea la presente viabilidad, por solicitud de la dirección de mejoramiento de vivienda, mediante radicado 2018IE647 del 16 de enero de 2018 - Los recursos correspondientes a la misma provienen de la linea 7328 - 50</t>
  </si>
  <si>
    <t>7328-93</t>
  </si>
  <si>
    <t>146-Recursos del Balance de Libre Destinación</t>
  </si>
  <si>
    <t>Prestar los servicios profesionales para apoyar y gestionar los procedimientos técnicos y de información de la Dirección de Mejoramiento de Vivienda en el desarrollo de la estructuración de los proyectos para asignación de Subsidios de Vivienda en Especie.</t>
  </si>
  <si>
    <t>MV - 091</t>
  </si>
  <si>
    <t>NICOLAS  ROSERO PERALTA</t>
  </si>
  <si>
    <t>7328-94</t>
  </si>
  <si>
    <t>Prestar los servicios profesionales para apoyar la gestión de campo con componente técnico, para la ejecución de actividades  durante la ejecución de todo el proceso de estructuración de proyectos que optan por el subsidio distrital de vivienda en especie.</t>
  </si>
  <si>
    <t>MV - 092 (Anulada)</t>
  </si>
  <si>
    <t>7328-95</t>
  </si>
  <si>
    <t>Prestar los servicios profesionales para apoyar desde el componente social,  la ejecución de actividades asociadas a la estructuración de proyectos del subsidio distrital para el mejoramiento de vivienda.</t>
  </si>
  <si>
    <t>MV - 093</t>
  </si>
  <si>
    <t>DIEGO HERNÁN CALDERON</t>
  </si>
  <si>
    <t>7328-96</t>
  </si>
  <si>
    <t>Prestar los servicios para apoyar desde el componente de sistematización,  la ejecución de actividades asociadas a la estructuración de proyectos del subsidio distrital para el mejoramiento de vivienda.</t>
  </si>
  <si>
    <t>MV - 094 (Anulada)</t>
  </si>
  <si>
    <t>7328-97</t>
  </si>
  <si>
    <t>MV - 095</t>
  </si>
  <si>
    <t>JAIME ANDRES SAAVEDRA</t>
  </si>
  <si>
    <t>7328-98</t>
  </si>
  <si>
    <t>Prestar los servicios profesionales para apoyar desde el componente social, la ejecución de actividades asociadas a la estructuración de proyectos del subsidio distrital para el mejoramiento de vivienda.</t>
  </si>
  <si>
    <t>MV - 096</t>
  </si>
  <si>
    <t>INGRID ALEJANDRA QUINCHE LOAIZA</t>
  </si>
  <si>
    <t>7328-99</t>
  </si>
  <si>
    <t>MV - 097 (Anulada)</t>
  </si>
  <si>
    <t>Viavilidad anulada mediante oficio número 2018IE11311</t>
  </si>
  <si>
    <t>7328-100</t>
  </si>
  <si>
    <t>Apoyar desde el componente jurídico,  la ejecución de actividades asociadas a la estructuración de proyectos del subsidio distrital para el mejoramiento de vivienda.</t>
  </si>
  <si>
    <t>MV - 098 (Anulada)</t>
  </si>
  <si>
    <t>Viavilidad anulada mediante oficio número 2018IE9873</t>
  </si>
  <si>
    <t>7328-101</t>
  </si>
  <si>
    <t xml:space="preserve"> Prestar los servicios profesionales para apoyar desde el componente social,  la ejecución de actividades asociadas a la estructuración de proyectos del subsidio distrital para el mejoramiento de vivienda.</t>
  </si>
  <si>
    <t>MV - 099</t>
  </si>
  <si>
    <t>DAVID  ARREAZA MORENO</t>
  </si>
  <si>
    <t>7328-102</t>
  </si>
  <si>
    <t>MV - 100</t>
  </si>
  <si>
    <t>GINA QUITIAN</t>
  </si>
  <si>
    <t>7328-103</t>
  </si>
  <si>
    <t>MV - 101</t>
  </si>
  <si>
    <t>GIORDY H. CADENA</t>
  </si>
  <si>
    <t>7328-104</t>
  </si>
  <si>
    <t>Prestar los servicios para apoyar desde el componente de sistematización,  la ejecución de actividades asociadas a la estructuración de proyectos del subsidio distrital para el mejoramiento de vivienda</t>
  </si>
  <si>
    <t>MV - 102</t>
  </si>
  <si>
    <t>DIEGO FERNANDO CALDAS</t>
  </si>
  <si>
    <t>7328-105</t>
  </si>
  <si>
    <t>Prestar los servicios para apoyar en el manejo documental,  la ejecución de actividades asociadas a la estructuración de proyectos del subsidio distrital para el mejoramiento de vivienda. </t>
  </si>
  <si>
    <t>MV - 103</t>
  </si>
  <si>
    <t>NINI JOHANNA HERNANDEZ GALINDO</t>
  </si>
  <si>
    <t>7328-106</t>
  </si>
  <si>
    <t>Prestar los servicios profesionales para apoyar desde el componente jurídico, la ejecución de actividades asociadas a la estructuración de proyectos del subsidio distrital para el mejoramiento de vivienda.</t>
  </si>
  <si>
    <t>MV - 104</t>
  </si>
  <si>
    <t>DIANA MARCELA GALVEZ</t>
  </si>
  <si>
    <t>7328-107</t>
  </si>
  <si>
    <t>MV - 105</t>
  </si>
  <si>
    <t>MARIA CAMILA SANCHEZ</t>
  </si>
  <si>
    <t>7328-108</t>
  </si>
  <si>
    <t>MV - 106</t>
  </si>
  <si>
    <t>MARIA ALEJANDRA SIERRA</t>
  </si>
  <si>
    <t>7328-109</t>
  </si>
  <si>
    <t>MV - 108</t>
  </si>
  <si>
    <t>MIGUEL ANGEL MARTINEZ VANEGAS</t>
  </si>
  <si>
    <t>7328-110</t>
  </si>
  <si>
    <t>MV - 107</t>
  </si>
  <si>
    <t>HECTOR HERNANDO GARCIA BERNAL</t>
  </si>
  <si>
    <t>7328-111</t>
  </si>
  <si>
    <t>MV - 109</t>
  </si>
  <si>
    <t>LINA MARIA SAZIPA</t>
  </si>
  <si>
    <t>7328-112</t>
  </si>
  <si>
    <t>Prestar los servicios profesionales para apoyar desde el componente de sistematización,  la ejecución de actividades asociadas a la estructuración de proyectos del subsidio distrital para el mejoramiento de vivienda.</t>
  </si>
  <si>
    <t>7328-113</t>
  </si>
  <si>
    <t>7328-114</t>
  </si>
  <si>
    <t>7328-115</t>
  </si>
  <si>
    <t>7328-116</t>
  </si>
  <si>
    <t>Prestar los servicios profesionales para apoyar la ejecución de actividades asociadas a la estructuración de proyectos del subsidio distrital para el mejoramiento de vivienda.</t>
  </si>
  <si>
    <t>7328-117</t>
  </si>
  <si>
    <t>7328-118</t>
  </si>
  <si>
    <t>7328-119</t>
  </si>
  <si>
    <t>Prestar los servicios profesionales para apoyar desde el componente jurídico, la ejecución de actividades asociadas a la estructuración de proyectos del subsidio distrital para el mejoramiento de vivienda</t>
  </si>
  <si>
    <t>7328-120</t>
  </si>
  <si>
    <t>7328-121</t>
  </si>
  <si>
    <t>7328-122</t>
  </si>
  <si>
    <t>7328-123</t>
  </si>
  <si>
    <t>Prestar los servicios profesionales para apoyar desde el componente jurídico,  la ejecución de actividades asociadas a la estructuración de proyectos del subsidio distrital para el mejoramiento de vivienda</t>
  </si>
  <si>
    <t>7328-124</t>
  </si>
  <si>
    <t>7328-125</t>
  </si>
  <si>
    <t>Prestar los servicios para apoyar desde el componente de sistematización, la ejecución de actividades asociadas a la estructuración de proyectos del subsidio distrital para el mejoramiento de vivienda.</t>
  </si>
  <si>
    <t>7328-126</t>
  </si>
  <si>
    <t>7328-127</t>
  </si>
  <si>
    <t>Prestar los servicios asistenciales en la gestión documental, captura de datos, inventario y manejo de archivo físico, en cumplimiento de los procedimientos de la Direccion de Mejoramiento de Vivienda.</t>
  </si>
  <si>
    <t>MV - 110</t>
  </si>
  <si>
    <t>NINI JOJANA ALDANA ROJAS</t>
  </si>
  <si>
    <t>7328-128</t>
  </si>
  <si>
    <t>MV - 111</t>
  </si>
  <si>
    <t>12/072018</t>
  </si>
  <si>
    <t>FREDY HERNANDO SANTIAGO ROMERO</t>
  </si>
  <si>
    <t>7328-129</t>
  </si>
  <si>
    <t>MV-112</t>
  </si>
  <si>
    <t>MONICA LIZETTE CALDERON URREGO</t>
  </si>
  <si>
    <t>7328-130</t>
  </si>
  <si>
    <t>Prestar los servicios profesionales a la Dirección de Mejoramiento de Vivienda, en la proyección de conceptos, revisión de oficios y demás actuaciones administrativas y juridicas requeridas, en concordancia con los procesos propios de la Direccion.</t>
  </si>
  <si>
    <t>MV-113 (Anulada)</t>
  </si>
  <si>
    <t>Viavilidad anulada mediante oficio número 2018IE10209</t>
  </si>
  <si>
    <t>7328-131</t>
  </si>
  <si>
    <t>Prestar los servicios profesionales para apoyar y acompañar en el proceso de Supervisión de Interventoría de Obras de la Dirección de Mejoramiento de Vivienda, además de prestar asesoría en la asistencia técnica, para la obtención  de actos de reconocimiento o licencias de construcción ante las curadurías urbanas.</t>
  </si>
  <si>
    <t>MV-114</t>
  </si>
  <si>
    <t>OSCAR JAVIER ZUÑIGA GOMEZ</t>
  </si>
  <si>
    <t>7328-132</t>
  </si>
  <si>
    <t>Prestar los servicios profesionales en el área social, para apoyar el proceso de asistencia técnica a las familias inscritas en la Dirección de Mejoramiento de Vivienda que solicitan y/o requieren adelantar trámite de licencia de construcción y/o actos de reconocimiento, así como soporte a las actividades que se desarrollan dentro del marco de los proyectos de Mejoramiento Integral de la DMV de la CVP.</t>
  </si>
  <si>
    <t>MV-115</t>
  </si>
  <si>
    <t>SANDRA PATRICIA SALGUERO CELIS</t>
  </si>
  <si>
    <t>7328-133</t>
  </si>
  <si>
    <t xml:space="preserve">Prestar los servicios profesionales para apoyar desde el componente jurídico, la ejecución de actividades asociadas a la estructuración de proyectos del subsidio distrital para el mejoramiento de vivienda.  </t>
  </si>
  <si>
    <t>MV-116</t>
  </si>
  <si>
    <t>DAYANA PAOLA NIÑO CARCAMO</t>
  </si>
  <si>
    <t>7328-134</t>
  </si>
  <si>
    <t xml:space="preserve">Prestar los servicios profesionales para apoyar la gestión de campo con componente técnico, para la ejecución de actividades durante la ejecución de todo el proceso de estructuración de proyectos que optan por el subsidio distrital de vivienda en especie. </t>
  </si>
  <si>
    <t>MV-117</t>
  </si>
  <si>
    <t>RICARDO  SARMIENTO CHAVES</t>
  </si>
  <si>
    <t>7328-135</t>
  </si>
  <si>
    <t>MV-118</t>
  </si>
  <si>
    <t>HERNAN ALONSO CORREA MENDEZ</t>
  </si>
  <si>
    <t>7328-136</t>
  </si>
  <si>
    <t>MV-119</t>
  </si>
  <si>
    <t>ALBERTO  QUINTERO PARIAS</t>
  </si>
  <si>
    <t>7328-137</t>
  </si>
  <si>
    <t>MV-120</t>
  </si>
  <si>
    <t>7328-138</t>
  </si>
  <si>
    <t>Prestaer los servicios para apoyar en el manejo documental, la ejecución de actividades asociadas a la estructuración de proyectos del subcidio distrital para el mejoramiento de vivienda.</t>
  </si>
  <si>
    <t>MV-121</t>
  </si>
  <si>
    <t>LUIS ORLANDO TORRES ROMERO</t>
  </si>
  <si>
    <t>7328-139</t>
  </si>
  <si>
    <t>MV-122</t>
  </si>
  <si>
    <t>MARCO FERNANDO NUÑEZ JIMENEZ</t>
  </si>
  <si>
    <t>7328-140</t>
  </si>
  <si>
    <t>MV-123 (Anulada)</t>
  </si>
  <si>
    <t>7328-141</t>
  </si>
  <si>
    <t>MV-124</t>
  </si>
  <si>
    <t xml:space="preserve"> 32.359.167   
</t>
  </si>
  <si>
    <t>RAUL ALFONSO SORIANO GUZMAN</t>
  </si>
  <si>
    <t>7328-142</t>
  </si>
  <si>
    <t>MV-125</t>
  </si>
  <si>
    <t>CRISTIAN MAURICIO MORA MONTOYA</t>
  </si>
  <si>
    <t>7328-143</t>
  </si>
  <si>
    <t>MV-126</t>
  </si>
  <si>
    <t>CARLOS ADOLFO GRISALES IBARRA</t>
  </si>
  <si>
    <t>7328-144</t>
  </si>
  <si>
    <t>Prestar los servicios profesionales para apoyar desde el componente jurídico, la ejecución de actividades asociadas  a la estructuración de proyectos del subsidio distrital para el mejoramiento de vivienda.</t>
  </si>
  <si>
    <t>MV-127</t>
  </si>
  <si>
    <t>01/082018</t>
  </si>
  <si>
    <t>STEPHANIE  MURCIA MAYORGA</t>
  </si>
  <si>
    <t>7328-145</t>
  </si>
  <si>
    <t>Prestar los servicios profesionales para apoyar la gestión de campo con componente técnico, para la ejecución de actividades durante la ejecución de todo el proceso de estructuración de proyectos que optan por el subsidio distrital de vivienda en especie.</t>
  </si>
  <si>
    <t>MV-128</t>
  </si>
  <si>
    <t>02/082018</t>
  </si>
  <si>
    <t>RAMIRO EDUARDO PACHON VEGA</t>
  </si>
  <si>
    <t>7328-146</t>
  </si>
  <si>
    <t>MV-129</t>
  </si>
  <si>
    <t>LAURA JULIANA CUERVO MORALES</t>
  </si>
  <si>
    <t>7328-147</t>
  </si>
  <si>
    <t>7328-148</t>
  </si>
  <si>
    <t>7328-149</t>
  </si>
  <si>
    <t>Prestar los servicios profesionales para apoyar desde el componente de sistematización, la ejecución de actividades asociadas a la estructuración de proyectos del subsidio distrital para el mejoramiento de vivienda.</t>
  </si>
  <si>
    <t>7328-150</t>
  </si>
  <si>
    <t>Prestar los servicios para apoyar en el manejo documental, la ejecución de actividades asociadas a la estructuración de proyectos del subsidio distrital para el mejoramiento de vivienda.</t>
  </si>
  <si>
    <t>7328-151</t>
  </si>
  <si>
    <t>MV-130</t>
  </si>
  <si>
    <t>LIZETH ZORANY PARDO TORRES</t>
  </si>
  <si>
    <t>7328-152</t>
  </si>
  <si>
    <t>MV-131</t>
  </si>
  <si>
    <t>7328-153</t>
  </si>
  <si>
    <t>MV-132</t>
  </si>
  <si>
    <t>7328-154</t>
  </si>
  <si>
    <t>MV-133</t>
  </si>
  <si>
    <t>MARIA ISABEL MEJIA LONDOÑO</t>
  </si>
  <si>
    <t>7328-155</t>
  </si>
  <si>
    <t>MV-134</t>
  </si>
  <si>
    <t>7328-156</t>
  </si>
  <si>
    <t>MV-135</t>
  </si>
  <si>
    <t>7328-157</t>
  </si>
  <si>
    <t>MV-136</t>
  </si>
  <si>
    <t>7328-158</t>
  </si>
  <si>
    <t>MV-137</t>
  </si>
  <si>
    <t>JOHN SEBASTIAN ZAPATA CALLEJAS</t>
  </si>
  <si>
    <t>7328-159</t>
  </si>
  <si>
    <t>01-Adquisición y/o producción de equipo, suministros y servicios propios del sector</t>
  </si>
  <si>
    <t xml:space="preserve">Contratar los servicios de un operador logístico para que lleve a cabo la organización, administración y realización de actividades y estrategias necesarios para la promoción de los programas y servicios prestados por la caja de la vivienda popular, así como el cumplimiento y socializacion de las metas misionales de la entidad.   </t>
  </si>
  <si>
    <t>MV-138</t>
  </si>
  <si>
    <t>7328-160</t>
  </si>
  <si>
    <t>MV-139</t>
  </si>
  <si>
    <t>7328-161</t>
  </si>
  <si>
    <t>MV-140</t>
  </si>
  <si>
    <t>7328-162</t>
  </si>
  <si>
    <t>Prestar los servicios profesionales para apoyar la supervisión Social de las obras de los proyectos territoriales, además efectuar la gestión social a los hogares de los territoriales dirigidos que se presenten para optar al subsidio distrital de vivienda en especie.</t>
  </si>
  <si>
    <t>MV-141</t>
  </si>
  <si>
    <t>7328-163</t>
  </si>
  <si>
    <t>MV-142</t>
  </si>
  <si>
    <t>CAMILO  GUAJE NIETO</t>
  </si>
  <si>
    <t>7328-164</t>
  </si>
  <si>
    <t>Prestar los servicios técnicos para apoyar desde el componente social, la ejecución de actividades asociadas a la estructuración de proyectos del subsidio distrital para el mejoramiento de vivienda.</t>
  </si>
  <si>
    <t>MV-143</t>
  </si>
  <si>
    <t>LILIANA RAMIREZ CANO</t>
  </si>
  <si>
    <t>7328-165</t>
  </si>
  <si>
    <t>MV-144 (Anulada)</t>
  </si>
  <si>
    <t>Viavilidad anulada mediante oficio número 2018IE11605</t>
  </si>
  <si>
    <t>7328-166</t>
  </si>
  <si>
    <t>MV-145</t>
  </si>
  <si>
    <t>7328-167</t>
  </si>
  <si>
    <t xml:space="preserve">Prestar los servicios para apoyar en el manejo documental , la ejecución de actividades asociadas a la estructuración de proyectos del subsidio distrital para el mejoramiento de vivienda. </t>
  </si>
  <si>
    <t>MV-146</t>
  </si>
  <si>
    <t>7328-168</t>
  </si>
  <si>
    <t>Prestar los servicios profesionales para apoyar desde el componente social, la ejecuciónde actividades asociadas a la estructuración de proyectos del subsidio distrital para el mejoramiento de vivienda.</t>
  </si>
  <si>
    <t>MV-147</t>
  </si>
  <si>
    <t>7328-169</t>
  </si>
  <si>
    <t>MV-148</t>
  </si>
  <si>
    <t>7328-170</t>
  </si>
  <si>
    <t>MV-149</t>
  </si>
  <si>
    <t>7328-171</t>
  </si>
  <si>
    <t>Prestar los servicios técnicos en el área social para apoyar el proceso de asistencia técnica a las familias inscritas en la Direción de Mejoramiento de Vivienda, además de efectuar la gestión social a los hogares que se presenten para optar al Subsidio Distrital de Vivienda en Especie</t>
  </si>
  <si>
    <t>MV-150</t>
  </si>
  <si>
    <t>7328-172</t>
  </si>
  <si>
    <t xml:space="preserve">Prestar los servicios profecionales para apoyar la supervisión Social de las obras de proyectos territoriales, además de efectuar la gestión social a los hogares de los territoriales dirigidos que se presenten para optar al Subsidio Distrital de Vivienda en Especie. </t>
  </si>
  <si>
    <t>MV-151</t>
  </si>
  <si>
    <t>7328-173</t>
  </si>
  <si>
    <t>Prestación de servicios profesionales, para apoyar el proceso de asistencia técnica a las familias inscritas en la Dirección de Mejoramiento de Vivienda que solicitan y/o requieren adelantar trámite de licencia de construcción y/o actos de reconocimiento, en cuanto al diseño estructural, claculo memorias y planos estructurales requeridos por la normatividad vigente de las curadurías urbanas; así como soporte a las actividades que se desarrollan dentro del marco de los proyectos de Mejoramiento Integral de la DMVde la CVP</t>
  </si>
  <si>
    <t>MV-152</t>
  </si>
  <si>
    <t>ANGELA PATRICIA HERNANDEZ NARANJO</t>
  </si>
  <si>
    <t>7328-174</t>
  </si>
  <si>
    <t xml:space="preserve">Prestación de servicios profesionales relacionados con la elaboración de levantamientos arquitectonicos, planos urbanísticos, arquitectónicos, estructurales, detalles constructivos y respuesta de requerimientos y actas de observación y/o condiciones exigidos por las Curadurías Urbanas solicitados por estas entidades para la expedición de licencias de construcción y/o actos de reconocimiento, para los proyectos de familias inscritas en la Dirección de Mejoramiento de Vivienda. </t>
  </si>
  <si>
    <t>MV-153</t>
  </si>
  <si>
    <t>7328-175</t>
  </si>
  <si>
    <t>Prestación de servicios técnicos relacionados con la elaboración de levantamientos arquitectónicos, planos urbanísticos, arquitectónicos, estructurales, detalles constructivos y respuesta de requerimientos y actas de observaciones y/o condiciones exigidos por Curadurías Urbanas, solicitados por estas entidades para la expedición de licencias de construcción y/o actos de reconocimiento, para los proyectos de familias inscritas en la Dirección de Mejoramiento de Vivienda.</t>
  </si>
  <si>
    <t>MV-154</t>
  </si>
  <si>
    <t>7328-176</t>
  </si>
  <si>
    <t>7328-177</t>
  </si>
  <si>
    <t>7328-178</t>
  </si>
  <si>
    <t>7328-179</t>
  </si>
  <si>
    <t>7328-180</t>
  </si>
  <si>
    <t>7328-181</t>
  </si>
  <si>
    <t>7328-182</t>
  </si>
  <si>
    <t>"Prestación de servicios profesionales, para apoyar el proceso de asistencia técnica a las familias inscritas en la Dirección de Mejoramiento de Vivienda que solicitan y/o requieren adelantar trámite de licencia de construcción y/o actos de reconocimiento, así como soporte a las actividades que se desarrollan dentro del marco de los proyectos de Mejoramiento Integral de la DMV de la CVP".</t>
  </si>
  <si>
    <t>MV-155 (Anulada)</t>
  </si>
  <si>
    <t>7328-183</t>
  </si>
  <si>
    <t>Prestación de servicios profesionales para apoyar la gestión de campo con componente técnico, para la ejecución de todo el proceso de estructuración de proyectos que optan por el subsidio distrital de vivienda en especie.</t>
  </si>
  <si>
    <t>MV-156</t>
  </si>
  <si>
    <t>7328-184</t>
  </si>
  <si>
    <t>Prestar los servicios profecionales para apoyar la supervisión Social de las obras de proyectos territoriales, además de efectuar la gestión social a los hogares de los territoriales dirigidos que se presenten para optar al Subsidio Distrital de Vivienda en Especie.</t>
  </si>
  <si>
    <t>MV-157</t>
  </si>
  <si>
    <t>7328-185</t>
  </si>
  <si>
    <t>Prestar servicios profesionales para apoyar la estructuración, seguimiento y supervisión de los proyectos asignados por la Dirección de Mejoramiento de Vivienda de la CVP.</t>
  </si>
  <si>
    <t>MV-158</t>
  </si>
  <si>
    <t>MV - 176, 179</t>
  </si>
  <si>
    <t>7328-186</t>
  </si>
  <si>
    <t>Prestar los servicios profecionales en el área Social para apoyar el proceso de asistencia técnica a las familias inscritas en la Dirección de Mejoramiento de Vivienda, además de efectuar la gestión social a los hogares que se presenten para optar al Subsidio Distrital de Vivienda en Especie.</t>
  </si>
  <si>
    <t>MV-159</t>
  </si>
  <si>
    <t>7328-187</t>
  </si>
  <si>
    <t>MV-160</t>
  </si>
  <si>
    <t>MV - 177, 178</t>
  </si>
  <si>
    <t>7328-188</t>
  </si>
  <si>
    <t>MV-161</t>
  </si>
  <si>
    <t>MV - 178</t>
  </si>
  <si>
    <t>7328-189</t>
  </si>
  <si>
    <t xml:space="preserve">Prestar los servicios profesionales a la Dirección de Mejoramiento de Vivienda, en la proyección de conceptos, revisión de oficios y demás actuaciones administrativas y juridicas requeridas, en concordancia con los procesos propios de la Direccón. </t>
  </si>
  <si>
    <t>MV-162</t>
  </si>
  <si>
    <t>MV - 178, 179</t>
  </si>
  <si>
    <t>7328-190</t>
  </si>
  <si>
    <t>Prestar los servicios profecionales para apoyar la gestión de campo con componente técnico, para la ejecución de actividades durante la ejecución de todo el proceso de estructuración de proyectos que optan por el subsidio distrital de vivienda en especie.</t>
  </si>
  <si>
    <t>MV-163</t>
  </si>
  <si>
    <t>MV - 128, 140, 142,158</t>
  </si>
  <si>
    <t>FUN-001</t>
  </si>
  <si>
    <t>3-1-1-02-03-01-0000-00</t>
  </si>
  <si>
    <t>Honorarios Entidad</t>
  </si>
  <si>
    <t>04-JAN-18</t>
  </si>
  <si>
    <t>0-0-0</t>
  </si>
  <si>
    <t>Prestar servicios profesionales para apoyar la planeación, seguimiento y evaluación de los subsistemas del Sistema Integrado de Gestión de la Caja de la Vivienda Popular.</t>
  </si>
  <si>
    <t>12-Otros Distrito</t>
  </si>
  <si>
    <t>HECTOR ANDRES MEJIA MEJIA</t>
  </si>
  <si>
    <t>PRESTAR SERVICIOS PROFESIONALES PARA APOYAR LA PLANEACIÓN, SEGUIMIENTO Y EVALUACIÓN DE LOS SUBSISTEMAS DEL SISTEMA INTEGRADO DE GESTIÓN DE LA CAJA DE LA VIVIENDA POPULAR.</t>
  </si>
  <si>
    <t>FUN-003</t>
  </si>
  <si>
    <t>Prestar los servicios profesionales para ejercer la representación judicial y extrajudicial, en defensa de los intereses de la Caja de la Vivienda Popular, así como realizar el seguimiento al cumplimiento de sentencias a nivel interno y llevar a cabo las actuaciones necesarias para el saneamiento de los predios que asi lo requieran.</t>
  </si>
  <si>
    <t>ALEJANDRO  GUAYARA MURILLO</t>
  </si>
  <si>
    <t>FUN-004</t>
  </si>
  <si>
    <t>Prestar los servicios profesionales especializados para llevar a cabo la representacion judicial y extrajudicial de la Caja de la Vivienda Popular, en materia laboral y laboral administrativa.</t>
  </si>
  <si>
    <t>JUAN MANUEL RUSSY ESCOBAR</t>
  </si>
  <si>
    <t>FUN-005</t>
  </si>
  <si>
    <t>Prestar los servicios profesionales a la Dirección Jurídica para el desarrollo de actividades tales como la elaboración de conceptos jurídicos, seguimiento a los negocios fiduciarios en los cuales hace parte la CVP, y demás actividades propias de la Dirección.</t>
  </si>
  <si>
    <t>YAMILE PATRICIA CASTIBLANCO VENEGAS</t>
  </si>
  <si>
    <t>FUN-006</t>
  </si>
  <si>
    <t>Prestación de servicios profesionales especializados para representar como apoderado judicial y extrajudicial a la Caja de la Vivienda Popular en materia administrativa y constitucional, atendiendo los procesos asignados ante los Despachos judiciales competentes.</t>
  </si>
  <si>
    <t>ESTUDIO ASESORIAS PROFESIONALES S.A.S.</t>
  </si>
  <si>
    <t>PRESTACIÓN DE SERVICIOS PROFESIONALES ESPECIALIZADOS PARA REPRESENTAR COMO APODERADO JUDICIAL Y EXTRAJUDICIAL A LA CAJA DE LA VIVIENDA POPULAR EN MATERIA ADMINISTRATIVA Y CONSTITUCIONAL, ATENDIENDO LOS PROCESOS ASIGNADOS ANTE LOS DESPACHOS JUDICIALES COMPETENTES.</t>
  </si>
  <si>
    <t>FUN-007</t>
  </si>
  <si>
    <t>Prestación de servicios profesionales en derecho a la Direccion Juridica en desarrollo de las actividades de conceptualización jurídica, seguimiento a acciones constitucionales y demas actuaciones administrativas requeridas en la ejecución de las actividades propias de la Entidad.</t>
  </si>
  <si>
    <t>DAVID ANDRES GIRALDO UMBARILA</t>
  </si>
  <si>
    <t>PRESTACIÓN DE SERVICIOS PROFESIONALES EN DERECHO A LA DIRECCION JURIDICA EN DESARROLLO DE LAS ACTIVIDADES DE CONCEPTUALIZACIÓN JURÍDICA, SEGUIMIENTO A ACCIONES CONSTITUCIONALES Y DEMAS ACTUACIONES ADMINISTRATIVAS REQUERIDAS EN LA EJECUCIÓN DE LAS ACTIVIDADES PROPIAS DE LA ENTIDAD.</t>
  </si>
  <si>
    <t>FUN-008</t>
  </si>
  <si>
    <t>Prestar los servicios profesionales para apoyar a la Subdirección Administrativa con el mantenimiento, actualización e implementación del Subsistema de Seguridad y Salud en el Trabajo y con los Sistemas de Evaluación de los Funcionarios de la Entidad.</t>
  </si>
  <si>
    <t>MAYERLI  AZUERO LOZANO</t>
  </si>
  <si>
    <t>FUN-010</t>
  </si>
  <si>
    <t>Prestar los servicios profesionales para brindar apoyo  en temas relacionados con la gestión de calidad de los procesos que lidera la Subdirección.</t>
  </si>
  <si>
    <t>GINETH VIVIANA FRANCO PRADA</t>
  </si>
  <si>
    <t>FUN-011</t>
  </si>
  <si>
    <t>Prestación de servicios profesionales para el acompañamiento de las diferentes etapas de los procesos contractuales y la revisión jurídica de los temas a cargo de la Subdirección Administrativa.</t>
  </si>
  <si>
    <t>IVAN DARIO GOMEZ HENAO</t>
  </si>
  <si>
    <t>FUN-012</t>
  </si>
  <si>
    <t>Prestar los servicios profesionales para llevar a cabo las actividades del Plan Anual de Adquisiciones a través de procesos de contratación y realizar la revisión de carácter jurídico en los temas inherentes a la Subdirección Administrativa.</t>
  </si>
  <si>
    <t>HAMILTON  DIAZ GARCIA</t>
  </si>
  <si>
    <t>FUN-013</t>
  </si>
  <si>
    <t>Prestación de servicios profesionales para realizar el monitoreo, acompañamiento y mejora continua desde el punto de vista jurídico, al proceso de adquisición de bienes y servicios a cargo de la Dirección de Gestión Corporativa y CID.</t>
  </si>
  <si>
    <t>ELITE CONSULTORA  S A S</t>
  </si>
  <si>
    <t>PRESTACIÓN DE SERVICIOS PROFESIONALES PARA LA ASISTENCIA, ACOMPAÑAMIENTO, CONTROL Y SEGUIMIENTO JURÍDICO EN TODO LO CONCERNIENTE AL PROCESO DE ADQUISICIÓN DE BIENES Y SERVICIOS A CARGO DE LA DIRECCIÓN DE GESTIÓN CORPORATIVA Y CID.</t>
  </si>
  <si>
    <t>FUN-014</t>
  </si>
  <si>
    <t>Prestación de servicios profesionales para brindar asesoria juridica y acompañamiento externo en la gestion contractual y demás trámites administrativos que sean requeridos.</t>
  </si>
  <si>
    <t>FUN-015</t>
  </si>
  <si>
    <t>Prestación de servicios profesionales para realizar el acompañamiento administrativo y financiero en la elaboración y revisión de las actas de liquidación y de cierre de expediente, así como demás actuaciones administrativas requeridas en la etapa de ejecución de los procesos de contratación adelantados por la Caja de la Vivienda Popular.</t>
  </si>
  <si>
    <t>LUIS DARIO SOTELO CARREÑO</t>
  </si>
  <si>
    <t>FUN-017</t>
  </si>
  <si>
    <t>03-JAN-18</t>
  </si>
  <si>
    <t>Prestación de servicios profesionales para realizar el acompañamiento en el cumplimiento de los lineamientos relacionados con la atención y prestación del servicio a la ciudadanía, a cargo de la Caja de la Vivienda Popular</t>
  </si>
  <si>
    <t>ROBERTO CARLOS NARVAEZ CORTES</t>
  </si>
  <si>
    <t>FUN-018</t>
  </si>
  <si>
    <t>Prestación de servicios profesionales para apoyar a la Oficina Asesora de Planeación en actividades de gestión y administración del Sistema Integrado de Gestión.</t>
  </si>
  <si>
    <t>CRISTHIAN CAMILO RODRIGUEZ MELO</t>
  </si>
  <si>
    <t>FUN-020</t>
  </si>
  <si>
    <t>Prestación de servicios profesionales para apoyar en la  formulación, seguimiento, ejecución y programación presupuestal de la Caja de la Vivienda Popular.</t>
  </si>
  <si>
    <t>DORIS  CARVAJAL MOJICA</t>
  </si>
  <si>
    <t>FUN-021</t>
  </si>
  <si>
    <t>Prestación de servicios profesionales para registrar, depurar, analizar y ajustar la información contable de la Caja de la Vivienda Popular, encumplimiento a la normatividad, los procedimientos y lineamientos establecidos por la entidad.</t>
  </si>
  <si>
    <t>SANDRA YAMILE ROJAS RICO</t>
  </si>
  <si>
    <t>FUN-022</t>
  </si>
  <si>
    <t>Prestación de servicios profesionales para apoyar a la Subdirección Financiera en la estructuración, revisión y evaluación del componente financiero y de documentos de análisis del sector que se requieran en los diferentes procesos de contratación.</t>
  </si>
  <si>
    <t>JOSE LEONARDO PINTO COLORADO</t>
  </si>
  <si>
    <t>FUN-024</t>
  </si>
  <si>
    <t>Prestación de servicios profesionales para analizar, registrar, consolidar y presentar la información contable y tributaria de la Caja de la Vivienda Popular.</t>
  </si>
  <si>
    <t>RUTH YEIMMY CIPRIAN HUERTAS</t>
  </si>
  <si>
    <t>PRESTACIÓN DE SERVICIOS PROFESIONALES PARA ANALIZAR, REGISTRAR, CONSOLIDAR Y PRESENTAR LA INFORMACIÓN CONTABLE Y TRIBUTARIA DE LA CAJA DE LA VIVIENDA POPULAR.</t>
  </si>
  <si>
    <t>FUN-025</t>
  </si>
  <si>
    <t>3-1-1-02-04-00-0000-00</t>
  </si>
  <si>
    <t>Remuneración Servicios Técnicos</t>
  </si>
  <si>
    <t>Prestar los servicios de apoyo a la gestión a la Dirección Jurídica en lo relacionado con el archivo, seguimiento y control de los procesos judiciales y extrajudiciales en los que hace parte la Caja de la Vivienda Popular.</t>
  </si>
  <si>
    <t>WALTER ARLEY RINCON QUINTERO</t>
  </si>
  <si>
    <t>FUN-026</t>
  </si>
  <si>
    <t>Prestación de servicios de apoyo a la gestión para realizar ela compañamiento técnico en los temas relacionados con el proceso de Gestión Documental a cargo de la Subdirección Administrativa.</t>
  </si>
  <si>
    <t>ARNULFO  MACIAS MUÑOZ</t>
  </si>
  <si>
    <t>FUN-027</t>
  </si>
  <si>
    <t>Prestación de servicios de apoyo a la gestión en las actividades operativas requeridas en el proceso de Gestión Documental a cargo de la Subdirección Administrativa.</t>
  </si>
  <si>
    <t>CARLOS EDUARDO GARCIA AVILAN</t>
  </si>
  <si>
    <t>FUN-028</t>
  </si>
  <si>
    <t>Prestación de servicios de apoyo a la gestión para realizar el acompañamiento técnico en los temas relacionados con el proceso de Gestión Documental a cargo de la Subdirección Administrativa.</t>
  </si>
  <si>
    <t>LUZ MERY PEDRAZA PEDRAZA</t>
  </si>
  <si>
    <t>FUN-029</t>
  </si>
  <si>
    <t>Prestación de servicios para apoyar las actividades operativas requeridas en la organización y consulta de los archivos de gestión de la Caja de la Vivienda Popular</t>
  </si>
  <si>
    <t>NELLY  NOVA PINZON</t>
  </si>
  <si>
    <t>PRESTACIÓN DE SERVICIOS PARA APOYAR LAS ACTIVIDADES OPERATIVAS REQUERIDAS EN LA ORGANIZACIÓN Y CONSULTA DE LOS ARCHIVOS DE GESTIÓN DE LA CAJA DE LA VIVIENDA POPULAR.</t>
  </si>
  <si>
    <t>FUN-030</t>
  </si>
  <si>
    <t>Prestación de servicios para apoyar a la Subdirección Financiera en el desarrollo de las actividades propias de su gestión, en especial las relacionadas con tesorería, de acuerdo con las normas vigentes, los procedimientos y los lineamientos internos de la CVP.</t>
  </si>
  <si>
    <t>LEYDY YOJANA FLOREZ SOLANO</t>
  </si>
  <si>
    <t>FUN-031</t>
  </si>
  <si>
    <t>DAVID FELIPE CASTAÑEDA RUBIO</t>
  </si>
  <si>
    <t>FUN-033</t>
  </si>
  <si>
    <t>Prestación de servicios de apoyo a la gestión en actividades relacionadas con el proceso financiero, que permitan el pago opotuno de los compromisos adquiridos por la Caja de la Vivienda Popular con terceros.</t>
  </si>
  <si>
    <t>ANDRES FELIPE CELY LUQUE</t>
  </si>
  <si>
    <t>FUN-034</t>
  </si>
  <si>
    <t>Prestar los servicios de apoyo para el trámite, seguimiento y control de las PQRS y realizar la gestión documental de la Subdirección Financiera, aplicando los lineamientos y normatividad vigentes.</t>
  </si>
  <si>
    <t>ELIZABETH  CARRILLO MEDINA</t>
  </si>
  <si>
    <t>FUN-035</t>
  </si>
  <si>
    <t>Prestación de servicios de apoyo a la gestión en las actividades administrativas y operativas relacionadas con los procesos a cargo de la Dirección de Gestión Corporativa y CID, especificamente en el de adquisición de bienes y servicios.</t>
  </si>
  <si>
    <t>NELLY MARIA GUZMAN NEUTA</t>
  </si>
  <si>
    <t>PRESTACIÓN DE SERVICIOS DE APOYO A LA GESTIÓN EN LAS ACTIVIDADES ADMINISTRATIVAS Y OPERATIVAS RELACIONADAS CON LOS PROCESOS A CARGO DE LA DIRECCIÓN DE GESTIÓN CORPORATIVA Y CID, ESPECIFICAMENTE EN EL DE ADQUISICIÓN DE BIENES Y SERVICIOS.</t>
  </si>
  <si>
    <t>FUN-036</t>
  </si>
  <si>
    <t>DIANA SOFIA MELO CASTRO</t>
  </si>
  <si>
    <t>FUN-037</t>
  </si>
  <si>
    <t>Prestación de servicios de apoyo a la gestión para llevar a cabo las actividades relacionadas  con el proceso de órdenes de pago en los módulos dispuestos para tal fin por la Secretaria de Hacienda Distrital y/o utilizados por la Subdirección Financiera de la Caja de la Vivienda Popular.</t>
  </si>
  <si>
    <t>DIEGO ALEXANDER ROMERO PORRAS</t>
  </si>
  <si>
    <t>FUN-038</t>
  </si>
  <si>
    <t>Prestación de servicios para apoyar las actividades de administración y control de las bases de datos y de los sistemas de información utilizados por la Dirección de Gestión Corporativa y CID en el proceso de adquisición de bienes y servicios.</t>
  </si>
  <si>
    <t>ANDREA VANESSA JAIMES CARDENAS</t>
  </si>
  <si>
    <t>FUN-039</t>
  </si>
  <si>
    <t>LAURA VANESA MARTINEZ PEÑA</t>
  </si>
  <si>
    <t>FUN-040</t>
  </si>
  <si>
    <t>MARTHA CECILIA PERDOMO ORTIZ</t>
  </si>
  <si>
    <t>FUN-041</t>
  </si>
  <si>
    <t>MARIA LUISA VILLARREAL HERNANDEZ</t>
  </si>
  <si>
    <t>FUN-042</t>
  </si>
  <si>
    <t>Prestación de servicios de apoyo a la gestión en la Dirección de Gestión Corporativa y CID, para apoyar operativamente las actividades realacionadas con la aplicación de los instrumentos archivísticos de la entidad.</t>
  </si>
  <si>
    <t>MARIA ANGELICA AMEZQUITA GUZMAN</t>
  </si>
  <si>
    <t>FUN-044</t>
  </si>
  <si>
    <t>Prestación de servicios de apoyo a la gestion en las actividades relacionadas con el análisis y depuración de la cartera de la Entidad que se encuentran a cargo de la Subdireccion Financiera.</t>
  </si>
  <si>
    <t>JEIMY KATHERINE BERNAL GARCIA</t>
  </si>
  <si>
    <t>FUN-045</t>
  </si>
  <si>
    <t>10-JAN-18</t>
  </si>
  <si>
    <t>Prestar servicios profesionales para apoyar la formulación, seguimiento, evaluación, mantenimiento y mejora del Subsistema de Gestion Ambiental,  acorde a los lineamientos y normatividad vigente.</t>
  </si>
  <si>
    <t>PHILLIP  KLEIN GARAVITO</t>
  </si>
  <si>
    <t>FUN-046</t>
  </si>
  <si>
    <t>12-JAN-18</t>
  </si>
  <si>
    <t>Prestar los servicios profesionales para brindar apoyo respecto al seguimiento financiero y presupuestal de los contratos a cargo de la Subdirección Administrativa.</t>
  </si>
  <si>
    <t>AMALIA JEANNETTE SANCHEZ GUIO</t>
  </si>
  <si>
    <t>FUN-047</t>
  </si>
  <si>
    <t>11-JAN-18</t>
  </si>
  <si>
    <t>Prestación de servicios de apoyo a la gestión para el adelantamiento de actividades administrativas y operativas relacionadas con los procesos a cargo de la Dirección de Gestión Corporativa y CID.</t>
  </si>
  <si>
    <t>JESSICA VIVIAN JIMENEZ BERNAL</t>
  </si>
  <si>
    <t>FUN-048</t>
  </si>
  <si>
    <t>18-JAN-18</t>
  </si>
  <si>
    <t>Prestación de servicios profesionales para realizar el seguimiento, monitoreo y articulación de los diferentes proyectos misionales de la entidad, con énfasis en el control de los procesos y actividades de obra, para su correspondiente reporte ante la Dirección general de la Caja de la Vivienda Popular.</t>
  </si>
  <si>
    <t>FUN-050</t>
  </si>
  <si>
    <t>3-1-2-02-03-00-0000-00</t>
  </si>
  <si>
    <t>Gastos de Transporte y Comunicación</t>
  </si>
  <si>
    <t>Pago de internet de la Caja de la Vivienda Popular</t>
  </si>
  <si>
    <t>EMPRESA DE TELECOMUNICACIONES DE BOGOTA SA ESP</t>
  </si>
  <si>
    <t>PAGO DE INTERNET DE LA CAJA DE LA VIVIENDA POPULAR, PERIODO FACTURADO 01 DE DICIEMBRE DE 2017-31 DE DICIEMBRE DE 2017</t>
  </si>
  <si>
    <t>FUN-051</t>
  </si>
  <si>
    <t>Servicio de Telefonía Celular</t>
  </si>
  <si>
    <t>COLOMBIA TELECOMUNICACIONES S A E S P</t>
  </si>
  <si>
    <t>PAGO DE SERVICIO DE TELEFONÍA CELULAR DE LA CAJA DE CICIENDA POPULAR, PERIODO FACTURADO 17 DE ENERO DE 2018- 16 DE FEBRERO DE 2018</t>
  </si>
  <si>
    <t>PAGO DE SERVICIO DE TELEFONÍA CELULAR DE LA CAJA DE VIVIENDA POPULAR, PERÍODO FACTURADO 17 DE FEBRERO DE 2018 - 16 DE MARZO DE 2018</t>
  </si>
  <si>
    <t>PAGO DE SERVICIO DE TELEFONÍA CELULAR DE LA CAJA DE VIVIENDA POPULAR, PERÍODO FACTURADO 17 DE MARZO AL 16 DE ABRIL DE 2018</t>
  </si>
  <si>
    <t>PAGO SERVICIO DE TELEFONÍA CELULAR CVP PERIODO 17 ABRIL A 16 MAYO DE 2018</t>
  </si>
  <si>
    <t>SERVICIO DE TELEFONÍA CELULAR DE LA CAJA DE LA VIVIENDA POPULAR, PERIODO FACTURADO: MAYO 17 A JUNIO 16 DE 2018</t>
  </si>
  <si>
    <t>SERVICIO DE TELEFONÍA CELULAR CVP PERIODO JUNIO 17 A JULIO 16 DE 2018 S/G FACTURA EC178061701</t>
  </si>
  <si>
    <t>PAGO SERVICIO DE TELEFONÍA CELULAR, PERIODO FACTURADO: JULIO 17 A AGOSTO 16 DE 2018.</t>
  </si>
  <si>
    <t>SERVICIO DE TELEFONÍA CELULAR PERIODO AGOSTO 17 A SEPTIEMBRE 16 DE 2018 S/F 183652520</t>
  </si>
  <si>
    <t>PAGO DE SERVICIO DE TELEFONÍA CELULAR DE LA CAJA DE VIVIENDA POPULAR, PERÍODO FACTURADO: SEPTIEMBRE 17 A OCTUBRE 16 DE 2018.</t>
  </si>
  <si>
    <t>FUN-052</t>
  </si>
  <si>
    <t>3-1-2-01-04-00-0000-00</t>
  </si>
  <si>
    <t>Materiales y Suministros</t>
  </si>
  <si>
    <t>19-JAN-18</t>
  </si>
  <si>
    <t>CONSTITUCION CAJA MENOR DE LA CAJA DE LA VIVIENDA POPULAR PARA LA VIGENCIA 2018.</t>
  </si>
  <si>
    <t>REEMBOLSO DE CAJA MENOR DEL MES DE FEBRERO DE 2018</t>
  </si>
  <si>
    <t>REEMBOLSO CAJA MENOR DEL MES DE MARZO DE 2018.</t>
  </si>
  <si>
    <t>REEMBOLSO DE CAJA MENOR MES ABRIL DEL 2018</t>
  </si>
  <si>
    <t>REEMBOLSO DE CAJA MENOR MES DE MAYO DE 2018</t>
  </si>
  <si>
    <t>REEMBOLSO DE CAJA MENOR MES DE JUNIO DE 2018</t>
  </si>
  <si>
    <t>REEMBOLSO DE CAJA MENOR DEL MES DE JULIO 2018</t>
  </si>
  <si>
    <t>FUN-053</t>
  </si>
  <si>
    <t>REEMBOLSO DE CAJA MENOR DEL MES DE ENERO DE 2018</t>
  </si>
  <si>
    <t>FUN-054</t>
  </si>
  <si>
    <t>3-1-2-02-04-00-0000-00</t>
  </si>
  <si>
    <t>Impresos y  Publicaciones</t>
  </si>
  <si>
    <t>22-JAN-18</t>
  </si>
  <si>
    <t>CONSTITUCION CAJA MENOR DE LA CAJA DE LA VIVIENDA POPULAR PARA LA VIGENCIA 2018</t>
  </si>
  <si>
    <t>FUN-055</t>
  </si>
  <si>
    <t>3-1-2-02-05-01-0000-00</t>
  </si>
  <si>
    <t>Mantenimiento Entidad</t>
  </si>
  <si>
    <t>CONSTITUCIÓN CAJA MENOR DE LA CAJA DE LA VIVIENDA POPULAR PARA LA VIGENCIA 2018</t>
  </si>
  <si>
    <t>REEMBOLSO DE CAJA MENOR DEL MES DE MARZO DE 2018</t>
  </si>
  <si>
    <t>REEMBOLSO DE CAJA MENOR  DEL MES DE AGOSTO DE 2018</t>
  </si>
  <si>
    <t>FUN-056</t>
  </si>
  <si>
    <t>3-1-2-03-02-00-0000-00</t>
  </si>
  <si>
    <t>Impuestos, Tasas, Contribuciones, Derechos y Multas</t>
  </si>
  <si>
    <t>FUN-057</t>
  </si>
  <si>
    <t>PAGO DE INTERNET DE LA CAJA DE LA VIVIENDA POPULAR, FACTURA 247565515</t>
  </si>
  <si>
    <t>FUN-059</t>
  </si>
  <si>
    <t>ADQUISICIÓN DE ELEMENTOS DE FERRETERÍA PARA LA CAJA DE LA VIVIENDA POPULAR</t>
  </si>
  <si>
    <t>WILLIAM ALFONSO LAGUNA VARGAS</t>
  </si>
  <si>
    <t>FUN-060</t>
  </si>
  <si>
    <t>3-1-2-02-10-00-0000-00</t>
  </si>
  <si>
    <t>Bienestar e Incentivos</t>
  </si>
  <si>
    <t>PAGO AUXILIO DE ESTUDIO SEGÚN CONVENCIÓN COLECTIVA DE TRABAJADORES DE NOVIEMBRE 29 DE 1990 CLAUSULA 10</t>
  </si>
  <si>
    <t>JOSE IGNACIO BLANCO TORRES</t>
  </si>
  <si>
    <t>FUN-061</t>
  </si>
  <si>
    <t>PRESTACIÓN DEL SERVICIO INTEGRAL DE ASEO Y CAFETERIA PARA LA CAJA DE LA VIVIENDA POPULAR</t>
  </si>
  <si>
    <t>UNION TEMPORAL BIOLIMPIEZA</t>
  </si>
  <si>
    <t>FUN-062</t>
  </si>
  <si>
    <t>Pago de internet de la Caja de la Viviewnda Popular</t>
  </si>
  <si>
    <t>PAGO DE SERVICIO DE INTERNET DE LA CAJA DE VIVIENDA POPULAR, PERIODO FACTURADO 01 DE ENERO DE 2018 - 31 DE ENERO DE 2018</t>
  </si>
  <si>
    <t>FUN-063</t>
  </si>
  <si>
    <t>Adición y prórroga al contrato 419 de 2017 cuyo objeto es "Prestar el servicio de mensajería expresa y motorizada para la recolección, transporte y entrega de la correspondencia de la Caja de la Vivienda Popular."</t>
  </si>
  <si>
    <t>REDEX S A S</t>
  </si>
  <si>
    <t>FUN-065</t>
  </si>
  <si>
    <t>3-1-2-01-02-00-0000-00</t>
  </si>
  <si>
    <t>Gastos de Computador</t>
  </si>
  <si>
    <t>Adición al contrato 587 de 2017 cuyo objeto es "Suministro de tonner, cintas y demás elementos requeridos para equipos de impresión de la Caja de la Vivienda Popular." tarjetas canjeables.</t>
  </si>
  <si>
    <t>SISTEMAS Y DISTRIBUCIONES FORMACON LTDA</t>
  </si>
  <si>
    <t>FUN-071</t>
  </si>
  <si>
    <t>Adición y prorroga al contrato 423 de 2017 cuyo objeto es "Prestar el servicio de vigilancia, guarda, custodia y seguridad privada con armas y/ o sin armas; medios tecnológicos y control de acceso para los/as usuarios/as, funcionarios/as y personas en general mediante el establecimiento de controles de ingreso y salida de las instalaciones de la entidad y para los bienes muebles e inmuebles en los cuales se desarrolle la misionalidad de la caja de la vivienda popular  y de todos aquellos por los cuales llegase a ser legalmente responsable de acuerdo a los lineamientos previstos en el pliego de condiciones y en la propuesta presentada"</t>
  </si>
  <si>
    <t>UNION TEMPORAL SS 2017</t>
  </si>
  <si>
    <t>ADICIÓN Y PRORROGA AL CONTRATO 423 DE 2017 CUYO OBJETO ES "PRESTAR EL SERVICIO DE VIGILANCIA, GUARDA, CUSTODIA Y SEGURIDAD PRIVADA CON ARMAS Y/ O SIN ARMAS; MEDIOS TECNOLÓGICOS Y CONTROL DE ACCESO PARA LOS/AS USUARIOS/AS, FUNCIONARIOS/AS Y PERSONAS EN GENERAL MEDIANTE EL ESTABLECIMIENTO DE CONTROLES DE INGRESO Y SALIDA DE LAS INSTALACIONES DE LA ENTIDAD Y PARA LOS BIENES MUEBLES E INMUEBLES EN LOS CUALES SE DESARROLLE LA MISIONALIDAD DE LA CAJA DE LA VIVIENDA POPULAR  Y DE TODOS AQUELLOS POR LOS CUALES LLEGASE A SER LEGALMENTE RESPONSABLE.</t>
  </si>
  <si>
    <t>FUN-072</t>
  </si>
  <si>
    <t>REEMPLAZO DEL CDP 549 DE 2018 PARA LA CONSTITUCION DE CAJA MENOR DE LA CAJA DE LA VIVIENDA POPULAR PARA LA VIGENCIA 2018</t>
  </si>
  <si>
    <t>FUN-073</t>
  </si>
  <si>
    <t>PAGO DE INTERNET DE LA CAJA DE LA VIVIENDA POPULAR</t>
  </si>
  <si>
    <t>PAGO DE INTERNET DE LA CAJA DE LA VIVIENDA POPULAR PERIODO FACTURADO FEBRERO 01 AL 28 DE 2018</t>
  </si>
  <si>
    <t>FUN-074</t>
  </si>
  <si>
    <t>Pago auxilio funerario de acuerdo a la cláusula novena, capítulo III de la Convención Colectiva de Trabajo firmada entre LA CAJA DE LA VIVIENDA POPULAR y el SINDICATO DE TRABAJADORES, del veintinueve (29) de noviembre de mil novecientos noventa (1990), ¿En caso de fallecimiento de alguno de los padres del trabajador, LA CAJA DE LA VIVIENDA POPULAR, reconocerá y pagará un auxilio funerario equivalente a un salario mínimo convencional, el cual se dará directamente al trabajador.</t>
  </si>
  <si>
    <t>MARISOL  MALAGON PARRA</t>
  </si>
  <si>
    <t>PAGO AUXILIO FUNERARIO A MARISOL MALAGON PARRA POR LA MUERTE DE SU SEÑOR PADRE, SERVILIO MALAGON MENJURA, PARA LO CUAL ANEXO COPIA DEL REGISTRO CIVIL DE DEFUNCION INDICATIVO SERIAL 09529960. DE ACUERDO A LA CLÁUSULA NOVENA, CAPÍTULO III DE LA CONVENCIÓN COLECTIVA DE TRABAJO FIRMADA ENTRE LA CAJA DE LA VIVIENDA POPULAR Y EL SINDICATO DE TRABAJADORES, DEL VEINTINUEVE (29) DE NOVIEMBRE DE MIL NOVECIENTOS NOVENTA (1990), ¿EN CASO DE FALLECIMIENTO DE ALGUNO DE LOS PADRES DEL TRABAJADOR, LA CAJA DE LA VIVIENDA POPULAR, RECONOCERÁ Y PAGARÁ UN AUXILIO FUNERARIO EQUIVALENTE A UN SALARIO MÍNIMO CONVENCIONAL, EL CUAL SE DARÁ DIRECTAMENTE AL TRABAJADOR.</t>
  </si>
  <si>
    <t>FUN-075</t>
  </si>
  <si>
    <t>12-APR-18</t>
  </si>
  <si>
    <t>Prestación de servicio integral de fotocopiado, anillado y fotoplanos que requiera la Caja de la Vivienda Popular, de acuerdo con las especificaciones técnicas.</t>
  </si>
  <si>
    <t>T &amp; G MINOLTA LIMITADA</t>
  </si>
  <si>
    <t>FUN-076</t>
  </si>
  <si>
    <t>17-APR-18</t>
  </si>
  <si>
    <t>PAGO DE INTERNET DE LA CAJA DE LA VIVIENDA POPULAR PERIODO FACTURADO : MARZO 1-31 DE 2018</t>
  </si>
  <si>
    <t>FUN-077</t>
  </si>
  <si>
    <t>Prestación del servicio de mensajería expresa y motorizada para la recolección, transporte y entrega de la correspondencia de la Caja de la Vivienda Popular.</t>
  </si>
  <si>
    <t>SERVICIOS POSTALES NACIONALES S A</t>
  </si>
  <si>
    <t>FUN-078</t>
  </si>
  <si>
    <t>Prestación del servicio de vigilancia, guarda, custodia y seguridad privada con armas y/ o sin armas; medios tecnológicos y control de acceso para los/as usuarios/as, funcionarios/as y personas en general mediante el establecimiento de controles de ingreso y salida de las instalaciones de la entidad, y para los bienes muebles e inmuebles en los cuales se desarrolle la misionalidad de la caja de la vivienda popular  y de todos aquellos por los cuales llegase a ser legalmente responsable.</t>
  </si>
  <si>
    <t>CUIDAR LIMITADA</t>
  </si>
  <si>
    <t>PRESTACIÓN DEL SERVICIO DE VIGILANCIA, GUARDA, CUSTODIA Y SEGURIDAD PRIVADA CON ARMAS Y/ O SIN ARMAS; MEDIOS TECNOLÓGICOS Y CONTROL DE ACCESO PARA LOS/AS USUARIOS/AS, FUNCIONARIOS/AS Y PERSONAS EN GENERAL MEDIANTE EL ESTABLECIMIENTO DE CONTROLES DE INGRESO Y SALIDA DE LAS INSTALACIONES DE LA ENTIDAD, Y PARA LOS BIENES MUEBLES E INMUEBLES EN LOS CUALES SE DESARROLLE LA MISIONALIDAD DE LA CAJA DE LA VIVIENDA POPULAR  Y DE TODOS AQUELLOS POR LOS CUALES LLEGASE A SER LEGALMENTE RESPONSABLE.</t>
  </si>
  <si>
    <t>FUN-079</t>
  </si>
  <si>
    <t>3-1-2-02-12-00-0000-00</t>
  </si>
  <si>
    <t>Salud Ocupacional</t>
  </si>
  <si>
    <t>Contratar los servicios en salud ocupacional en especial lo relacionado con los exámenes médicos ocupacionales, de pre-ingreso, por cambio de ocupación, post-incapacidad y de egreso para la Caja de la Vivienda Popular.</t>
  </si>
  <si>
    <t>BIENESTAR Y SALUD EMPRESARIAL S A S</t>
  </si>
  <si>
    <t>FUN-086</t>
  </si>
  <si>
    <t>Contratar la adquisición de un desfibrilador externo automático que permita la aplicación de descargas eléctricas para lograr el restablecimiento del ritmo cardíaco normal en caso de requerirse.</t>
  </si>
  <si>
    <t>IMCOLMEDICA S A</t>
  </si>
  <si>
    <t>FUN-087</t>
  </si>
  <si>
    <t>Contratar la prestación de servicios de bienestar social e incentivos y apoyo logístico de las actividades recreativas, culturales, pecuniarios, sede social, salones y demás actividades de bienestar, las cuales tienen como fin contribuir al fortalecimiento de los procesos motivacionales, actitudinales y comportamentales de los Servidores Públicos de la Caja de la Vivienda Popular (CVP).</t>
  </si>
  <si>
    <t>CAJA DE COMPENSACION FAMILIAR - COMPENSAR</t>
  </si>
  <si>
    <t>FUN-088</t>
  </si>
  <si>
    <t>Contratar la adquisición de elementos de protección personal requeridos para el personal de la Caja de la Vivienda Popular de conformidad con las especificaciones técnicas establecidas por la Entidad.</t>
  </si>
  <si>
    <t>LABORUM FASHION LTDA</t>
  </si>
  <si>
    <t>FUN-089</t>
  </si>
  <si>
    <t>Adición al contrato 646 de 2017 cuyo objeto es: "Contratar los servicios en salud ocupacional referente a la realización de los exámenes médicos ocupacionales, de pre-ingreso, periódicos programados, por cambio de ocupación, post-incapacidad y de egreso para la Caja de la Vivienda Popular.</t>
  </si>
  <si>
    <t>PROTEGER IPS SAS</t>
  </si>
  <si>
    <t>FUN-090</t>
  </si>
  <si>
    <t>3-1-2-02-09-01-0000-00</t>
  </si>
  <si>
    <t>Capacitación Interna</t>
  </si>
  <si>
    <t>Prestación de servicios para la implementación del plan institucional de capacitación de la CVP a través de diplomados, talleres, conferencia, cursos, en procura del fortalecimiento institucional</t>
  </si>
  <si>
    <t>UNIVERSIDAD DISTRITAL FRANCISCO JOSE DE CALDAS</t>
  </si>
  <si>
    <t>FUN-091</t>
  </si>
  <si>
    <t>3-1-2-01-01-00-0000-00</t>
  </si>
  <si>
    <t>Dotación</t>
  </si>
  <si>
    <t>Contratar el suministro de dotación del vestido labor y calzado para los funcionarios de la Caja de la Vivienda Popular durante la vigencia 2018 a través del sistema de bonos, vales o tarjetas canjeables.</t>
  </si>
  <si>
    <t>FUN-092</t>
  </si>
  <si>
    <t>Prestación de servicios profesionales para asesorar a la Dirección General, en el desarrollo y seguimiento de actividades jurídicas, presupuestales y contractuales de los diferentes proyectos de la Caja de la Vivienda Popular.</t>
  </si>
  <si>
    <t>L&amp;L ASESORES</t>
  </si>
  <si>
    <t>FUN-094</t>
  </si>
  <si>
    <t>Contratar la prestación del servicio de mantenimiento preventivo y correctivo con suministro de repuestos para el elevador de la Caja de la Vivienda Popular</t>
  </si>
  <si>
    <t>ASCENSORES SCHINDLER DE COLOMBIA SAS</t>
  </si>
  <si>
    <t>CONTRATAR LA PRESTACIÓN DEL SERVICIO DE MANTENIMIENTO PREVENTIVO Y CORRECTIVO CON SUMINISTRO DE REPUESTOS PARA EL ELEVADOR DE LA CAJA DE LA VIVIENDA POPULAR.</t>
  </si>
  <si>
    <t>FUN-095</t>
  </si>
  <si>
    <t>Prestación de servicios de apoyo a la gestion de la Subdirección Financiera, en el desarrollo de actividades propias de su gestion, en especial las relacionadas con tesoreria, de acuerdo con las normas vigentes, los procedimientos y los lineamientos internos de la Caja de la Vivienda Popular.</t>
  </si>
  <si>
    <t>JUAN EDUARDO GUERRERO QUIROGA</t>
  </si>
  <si>
    <t>FUN-096</t>
  </si>
  <si>
    <t>Prestar el servicio de mantenimiento preventivo y correctivo para el sistema de bombeo de la Caja de la Vivienda Popular.</t>
  </si>
  <si>
    <t>GPS ELECTRONICS LTDA</t>
  </si>
  <si>
    <t>FUN-097</t>
  </si>
  <si>
    <t>Contratar la realización del diagnóstico, identificación, evaluación y propuesta de intervención de los factores de riesgo Psicosocial presentes en la Caja de la Vivienda Popular.</t>
  </si>
  <si>
    <t>BELISARIO VELASQUEZ &amp; ASOCIADOS SAS</t>
  </si>
  <si>
    <t>FUN-098</t>
  </si>
  <si>
    <t>SUMINISTRO DE TONNER, CINTAS Y DEMÁS ELEMENTOS REQUERIDOS PARA EQUIPOS DE IMPRESIÓN DE LA CAJA DE LA VIVIENDA POPULAR.</t>
  </si>
  <si>
    <t>FUN-099</t>
  </si>
  <si>
    <t>Prestación de servicios profesionales para el acompañamiento jurídico en las diferentes etapas de los procesos de contratación que adelante la Caja de la Vivienda Popular.</t>
  </si>
  <si>
    <t>LEYLA MARJIT BOTIVA RAMOS</t>
  </si>
  <si>
    <t>FUN-101</t>
  </si>
  <si>
    <t>Contratar la prestación del servicio de mantenimiento (revisión y recarga) de los extintores y Gabinetes Contra incendio de la Caja de la Vivienda Popular.</t>
  </si>
  <si>
    <t>FUN-102</t>
  </si>
  <si>
    <t>3-1-2-02-06-01-0000-00</t>
  </si>
  <si>
    <t>Seguros Entidad</t>
  </si>
  <si>
    <t>Contratar los seguros que amparen los intereses patrimoniales actuales y futuros, así como los bienes de propiedad de la Caja de la Vivienda Popular, que estén bajo su responsabilidad y custodia y aquellos que sean adquiridos para desarrollar las funciones inherentes a su actividad.</t>
  </si>
  <si>
    <t>FUN-104</t>
  </si>
  <si>
    <t>Contratar la adquisición de elementos ergonómicos con los cuales se cumpla las normas ergonómicas de los puestos de trabajo de la Caja de la Vivienda Popular.</t>
  </si>
  <si>
    <t>FUN-105</t>
  </si>
  <si>
    <t>Suscripción para acceder en línea a la versión digital de las publicaciones de LEGIS ¿ MULTILEGIS, obras físicas, electrónicas, de forma de consulta a través de la dirección IP de la entidad, para mejorar la eficiencia y productividad de las dependencias y los servidores públicos de la Caja de la Vivienda Popular.</t>
  </si>
  <si>
    <t>SIN</t>
  </si>
  <si>
    <t>3-1-2-02-08-01-0000-00</t>
  </si>
  <si>
    <t>Energía</t>
  </si>
  <si>
    <t>PAGO DEL SERVICIOS DE ENERGIA DE LA CAJA DE LA VIVIENDA POPULAR</t>
  </si>
  <si>
    <t>CODENSA S. A. ESP</t>
  </si>
  <si>
    <t>PAGO DEL SERVICIOS DE ENERGIA DE LA CAJA DE LA VIVIENDA POPULAR PERIODO DEL12 DICIEMBRE AL 11 DE ENERO 2018</t>
  </si>
  <si>
    <t>PAGO DEL SERVICIOS DE ENERGIA DE LA CAJA DE LA VIVIENDA POPULAR, PERIODO FACTURADO AL 11 DE ENERO DE 2018 AL 09 DE FEBRERO DE 2018.</t>
  </si>
  <si>
    <t>PAGO DEL SERVICIOS DE ENERGIA DE LA CAJA DE LA VIVIENDA POPULAR, PERIODO FACTURADO AL 09 DE FEBRERO DE 2018 AL 09 DE MARZO DE 2018</t>
  </si>
  <si>
    <t>PAGO DEL SERVICIOS DE ENERGIA DE LA CAJA DE LA VIVIENDA POPULAR- CUENTA N°0429213-0, PERIODO FACTURADO: MARZO 9- ABRIL 11 DE 2018</t>
  </si>
  <si>
    <t>PAGO DEL SERVICIOS DE ENERGIA DE LA CAJA DE LA VIVIENDA POPULAR- CUENTA N0429213-0,PERIODO FCATURADO: ABRIL 11 A MAYO 10 DE 2018</t>
  </si>
  <si>
    <t>PAGO DEL SERVICIOS DE ENERGIA DE LA CAJA DE LA VIVIENDA POPULAR S/G FACTURA 513023709 PERIODO MAYO 10 A JUNIO 12 DE 2018</t>
  </si>
  <si>
    <t>PAGO DEL SERVICIOS DE ENERGIA DE LA CAJA DE LA VIVIENDA POPULAR S/G FACTURA 516384559 PERIODO 12 JUNIO A 11 JULIO DE 2018</t>
  </si>
  <si>
    <t>PAGO DEL SERVICIOS DE ENERGIA DE LA CAJA DE LA VIVIENDA POPULAR CUENTA N°0429213-0, PERIODO FACTURADO : 11 DE JULIO A AGOSTO 10 DE 2018</t>
  </si>
  <si>
    <t>PAGO DEL SERVICIOS DE ENERGIA DE LA CAJA DE LA VIVIENDA POPULAR- CUENTA N°0429213-0 , PERIODO FACTURADO: AGOSTO 10 A SEPTIEMBRE 11 DE 2018</t>
  </si>
  <si>
    <t>3-1-2-02-08-02-0000-00</t>
  </si>
  <si>
    <t>Acueducto y Alcantarillado</t>
  </si>
  <si>
    <t>PAGO DEL SERVICIO DE ACUEDUCTO Y ALCANTARILLADO DE LA CAJA DE LA VIVIENDA POPULAR</t>
  </si>
  <si>
    <t>EMPRESA DE ACUEDUCTO ALCANTARILLADO Y ASEO DE BOGOTA ESP</t>
  </si>
  <si>
    <t>PAGO DEL SERVICIO DE ACUEDUCTO Y ALCANTARILLADO DE LA CAJA DE LA VIVIENDA POPULAR, PERIODO FACTURADO 16 DE NOVIEMBRE DE 2017-16 DE ENERO DE 2018</t>
  </si>
  <si>
    <t>PAGO DEL SERVICIO DE ACUEDUCTO DE LA CAJA DE LA VIVIENDA POPULAR- PERIODO FACTURADO: ENERO 17 A MARZO 15 DE 2018</t>
  </si>
  <si>
    <t>PAGO DEL SERVICIO DE ACUEDUCTO Y ALCANTARILLADO DE LA CAJA DE LA VIVIENDA POPULAR PERIODO FACTURADO MARZO 16 A MAYO 16 DE 2018 S/G FACTURA 29420961012</t>
  </si>
  <si>
    <t>PAGO DEL SERVICIO DE ACUEDUCTO Y ALCANTARILLADO DE LA CAJA DE LA VIVIENDA POPULAR, PERIODO FACTURADO: MAYO17 A JULIO 13 DE 2018</t>
  </si>
  <si>
    <t>3-1-2-02-08-03-0000-00</t>
  </si>
  <si>
    <t>Aseo</t>
  </si>
  <si>
    <t>PAGO DEL SERVICIO DE ASEO DE LA CAJA DE LA VIVIENDA POPULAR</t>
  </si>
  <si>
    <t>PAGO DEL SERVICIO DE ASEO DE LA CAJA DE LA VIVIENDA POPULAR, PERIODO FACTURADO 18 DE OCTUBRE DE 2017- 16 DE DICIEMBRE DE 2017</t>
  </si>
  <si>
    <t>PAGO DEL SERVICIO DE ASEO DE LA CAJA DE LA VIVIENDA POPULAR- PERIODO FACTURADO : DICIEMBRE 17 DE 2017 A FEBRERO 14 DE 2018</t>
  </si>
  <si>
    <t>PROMOAMBIENTAL DISTRITO S A S ESP</t>
  </si>
  <si>
    <t>PAGO DEL SERVICIO DE ASEO DE LA CAJA DE LA VIVIENDA POPULAR- PERIODO FACTURADO: FEBRERO 12 A ABRIL 30 DE 2018</t>
  </si>
  <si>
    <t>PAGO DE SERVICIO DE ASEO DE LA CAJA DE LA VIVIENDA POPULAR - PERIODO FACTURADO: MAYO 1 A JUNIO 30 DE 2018</t>
  </si>
  <si>
    <t>3-1-2-02-08-04-0000-00</t>
  </si>
  <si>
    <t>Teléfono</t>
  </si>
  <si>
    <t>PAGO DEL SERVICIO DE TELEFO DE LA CAJA DE LA VIVIENDA POPULAR</t>
  </si>
  <si>
    <t>PAGO DEL SERVICIO DE TELEFONO DE LA CAJA DE LA VIVIENDA POPULAR PERIODO FACTURADO DEL 01 DE DICIEMBRE AL 31 DICIEMBRE DE 2017</t>
  </si>
  <si>
    <t>PAGO DE SERVICIO DE TELEFONO DE LA CAJA DE VIVIENDA POPULAR, PERIODO FACTURADO 01 DE ENERO DE 2018 - 31 DE ENERO DE 2018</t>
  </si>
  <si>
    <t>PAGO DEL SERVICIO DE TELEFO DE LA CAJA DE LA VIVIENDA POPULAR PERIODO FACTURADO FEBRERO 01 AL 28 DE 2018</t>
  </si>
  <si>
    <t>PAGO DEL SERVICIO DE TELEFO DE LA CAJA DE LA VIVIENDA POPULAR PERIODO FACTURADO: MARZO 1-31 DE 2018</t>
  </si>
  <si>
    <t>PAGO DEL SERVICIO DE TELEFO DE LA CAJA DE LA VIVIENDA POPULAR. PERIODO FACTURADO : ABRIL 1-30 DE 2018</t>
  </si>
  <si>
    <t>PAGO DEL SERVICIO DE TELEFONO DE LA CAJA DE LA VIVIENDA POPULAR, PERIODO FACTURADO : MAYO 1-31 DE 2018</t>
  </si>
  <si>
    <t>PAGO DEL SERVICIO DE TELEFONO DE LA CAJA DE LA VIVIENDA POPULAR, PERIODO FACTURADO : JUNIO1-30 DE 2018</t>
  </si>
  <si>
    <t>PAGO DEL SERVICIO DE TELEFO DE LA CAJA DE LA VIVIENDA POPULAR. PERIODO FACTURADO: JULIO 1-31 DE 2018</t>
  </si>
  <si>
    <t>PAGO DEL SERVICIO DE TELEFONO DE LA CAJA DE LA VIVIENDA POPULAR PERIODO AGOSTO 01 A 31 AGOSTO 2018</t>
  </si>
  <si>
    <t>Cubrir el pago de incripción de los dos servidores públicos de la entidad para entidad para participar en la 40a JORNADAS INTERNACIONALES DE DERECHO PROCESAL en Bogotá DC.</t>
  </si>
  <si>
    <t>FUNDACION UNIVERSIDAD EXTERNADO DE COLOMBIA</t>
  </si>
  <si>
    <t>3-1-5-00-00-00-0000-00</t>
  </si>
  <si>
    <t>PASIVOS EXIGIBLES</t>
  </si>
  <si>
    <t>Pago de Pasivo Exigible a nombre de la señora GELEN LIZETH LOAIZA PARRA  identificada con CC. 1.031.150.800 Contrato 246 de 2015 Acta de fenecimiento del 31/12/2016.</t>
  </si>
  <si>
    <t>74-Recursos Pasivos Exigibles Otros Distrito</t>
  </si>
  <si>
    <t>GELEN LIZETH LOAIZA PARRA</t>
  </si>
  <si>
    <t>SEGUIMIENTO PLAN DE CONTRATACIÓN
VIGENCIA 2017</t>
  </si>
  <si>
    <t>Código:208-PLA-Ft-11</t>
  </si>
  <si>
    <t>Versión: 8</t>
  </si>
  <si>
    <t>Pág: 1 de 1</t>
  </si>
  <si>
    <t>Vigente desde:  02/10/2017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</si>
</sst>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 #,##0.00_);_(* \(#,##0.00\);_(* &quot;-&quot;??_);_(@_)"/>
    <numFmt numFmtId="165" formatCode="_(* #,##0_);_(* \(#,##0\);_(* &quot;-&quot;??_);_(@_)"/>
    <numFmt numFmtId="166" formatCode="_-&quot;$&quot;\ * #,##0.00_-;\-&quot;$&quot;\ * #,##0.00_-;_-&quot;$&quot;\ * &quot;-&quot;_-;_-@_-"/>
    <numFmt numFmtId="167" formatCode="[$$-240A]\ #,##0;\-[$$-240A]\ #,##0"/>
    <numFmt numFmtId="168" formatCode="_-* #,##0.00\ _€_-;\-* #,##0.00\ _€_-;_-* &quot;-&quot;??\ _€_-;_-@_-"/>
    <numFmt numFmtId="169" formatCode="_-* #,##0\ _€_-;\-* #,##0\ _€_-;_-* &quot;-&quot;??\ _€_-;_-@_-"/>
    <numFmt numFmtId="170" formatCode="#,##0.0"/>
    <numFmt numFmtId="171" formatCode="_(&quot;$&quot;\ * #,##0.00_);_(&quot;$&quot;\ * \(#,##0.00\);_(&quot;$&quot;\ * &quot;-&quot;??_);_(@_)"/>
    <numFmt numFmtId="172" formatCode="_-&quot;$&quot;* #,##0_-;\-&quot;$&quot;* #,##0_-;_-&quot;$&quot;* &quot;-&quot;_-;_-@_-"/>
    <numFmt numFmtId="173" formatCode="_ * #,##0_ ;_ * \-#,##0_ ;_ * &quot;-&quot;??_ ;_ @_ "/>
    <numFmt numFmtId="174" formatCode="_ * #,##0.00_ ;_ * \-#,##0.00_ ;_ * &quot;-&quot;??_ ;_ @_ "/>
    <numFmt numFmtId="175" formatCode="_-&quot;$&quot;* #,##0.00_-;\-&quot;$&quot;* #,##0.00_-;_-&quot;$&quot;* &quot;-&quot;_-;_-@_-"/>
    <numFmt numFmtId="176" formatCode="0.0"/>
    <numFmt numFmtId="177" formatCode="#,##0_ ;\-#,##0\ "/>
    <numFmt numFmtId="178" formatCode="#,##0.0_ ;\-#,##0.0\ "/>
    <numFmt numFmtId="179" formatCode="dd\-mm\-yy;@"/>
  </numFmts>
  <fonts count="28" x14ac:knownFonts="1">
    <font>
      <sz val="11"/>
      <color theme="1"/>
      <name val="Calibri"/>
      <family val="2"/>
      <scheme val="minor"/>
    </font>
    <font>
      <sz val="11"/>
      <color theme="1"/>
      <name val="Calibri"/>
      <family val="2"/>
      <scheme val="minor"/>
    </font>
    <font>
      <b/>
      <sz val="11"/>
      <color theme="1"/>
      <name val="Calibri"/>
      <family val="2"/>
      <scheme val="minor"/>
    </font>
    <font>
      <b/>
      <sz val="9"/>
      <name val="Arial Narrow"/>
      <family val="2"/>
    </font>
    <font>
      <sz val="10"/>
      <name val="Arial"/>
      <family val="2"/>
    </font>
    <font>
      <b/>
      <sz val="7"/>
      <name val="Verdana"/>
      <family val="2"/>
    </font>
    <font>
      <sz val="11"/>
      <color rgb="FF222222"/>
      <name val="Arial"/>
      <family val="2"/>
    </font>
    <font>
      <sz val="11"/>
      <color rgb="FF000000"/>
      <name val="Arial"/>
      <family val="2"/>
    </font>
    <font>
      <sz val="10"/>
      <color indexed="81"/>
      <name val="Tahoma"/>
      <family val="2"/>
    </font>
    <font>
      <b/>
      <sz val="8"/>
      <color indexed="81"/>
      <name val="Tahoma"/>
      <family val="2"/>
    </font>
    <font>
      <sz val="8"/>
      <color indexed="81"/>
      <name val="Tahoma"/>
      <family val="2"/>
    </font>
    <font>
      <b/>
      <sz val="10"/>
      <color indexed="81"/>
      <name val="Tahoma"/>
      <family val="2"/>
    </font>
    <font>
      <sz val="10"/>
      <color theme="1"/>
      <name val="Calibri"/>
      <family val="2"/>
      <scheme val="minor"/>
    </font>
    <font>
      <b/>
      <sz val="10"/>
      <color theme="1"/>
      <name val="Calibri"/>
      <family val="2"/>
      <scheme val="minor"/>
    </font>
    <font>
      <sz val="12"/>
      <color theme="1"/>
      <name val="Calibri"/>
      <family val="2"/>
      <scheme val="minor"/>
    </font>
    <font>
      <b/>
      <sz val="9"/>
      <color indexed="81"/>
      <name val="Tahoma"/>
      <family val="2"/>
    </font>
    <font>
      <sz val="9"/>
      <color indexed="81"/>
      <name val="Tahoma"/>
      <family val="2"/>
    </font>
    <font>
      <sz val="11"/>
      <color indexed="81"/>
      <name val="Tahoma"/>
      <family val="2"/>
    </font>
    <font>
      <sz val="12"/>
      <color indexed="81"/>
      <name val="Tahoma"/>
      <family val="2"/>
    </font>
    <font>
      <sz val="11"/>
      <color theme="1"/>
      <name val="Arial"/>
      <family val="2"/>
    </font>
    <font>
      <sz val="11"/>
      <name val="Arial"/>
      <family val="2"/>
    </font>
    <font>
      <b/>
      <sz val="11"/>
      <name val="Arial"/>
      <family val="2"/>
    </font>
    <font>
      <sz val="11"/>
      <color theme="5" tint="-0.249977111117893"/>
      <name val="Arial"/>
      <family val="2"/>
    </font>
    <font>
      <b/>
      <sz val="11"/>
      <color theme="1"/>
      <name val="Arial"/>
      <family val="2"/>
    </font>
    <font>
      <b/>
      <sz val="11"/>
      <color theme="5" tint="-0.249977111117893"/>
      <name val="Arial"/>
      <family val="2"/>
    </font>
    <font>
      <sz val="10"/>
      <name val="Arial Narrow"/>
      <family val="2"/>
    </font>
    <font>
      <b/>
      <sz val="10"/>
      <name val="Arial Narrow"/>
      <family val="2"/>
    </font>
    <font>
      <sz val="9"/>
      <name val="Arial Narrow"/>
      <family val="2"/>
    </font>
  </fonts>
  <fills count="10">
    <fill>
      <patternFill patternType="none"/>
    </fill>
    <fill>
      <patternFill patternType="gray125"/>
    </fill>
    <fill>
      <patternFill patternType="solid">
        <fgColor theme="7" tint="0.39997558519241921"/>
        <bgColor indexed="64"/>
      </patternFill>
    </fill>
    <fill>
      <patternFill patternType="solid">
        <fgColor rgb="FFFFFF00"/>
        <bgColor indexed="64"/>
      </patternFill>
    </fill>
    <fill>
      <patternFill patternType="solid">
        <fgColor theme="9" tint="0.79998168889431442"/>
        <bgColor rgb="FFB2A1C7"/>
      </patternFill>
    </fill>
    <fill>
      <patternFill patternType="solid">
        <fgColor rgb="FFB2A1C7"/>
        <bgColor rgb="FFB2A1C7"/>
      </patternFill>
    </fill>
    <fill>
      <patternFill patternType="solid">
        <fgColor rgb="FFFFFF00"/>
        <bgColor rgb="FFB2A1C7"/>
      </patternFill>
    </fill>
    <fill>
      <patternFill patternType="solid">
        <fgColor theme="0"/>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ouble">
        <color indexed="64"/>
      </left>
      <right/>
      <top style="double">
        <color indexed="64"/>
      </top>
      <bottom style="double">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s>
  <cellStyleXfs count="15">
    <xf numFmtId="0" fontId="0" fillId="0" borderId="0"/>
    <xf numFmtId="43"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164" fontId="4" fillId="0" borderId="0" applyFont="0" applyFill="0" applyBorder="0" applyAlignment="0" applyProtection="0"/>
    <xf numFmtId="0" fontId="4" fillId="0" borderId="0"/>
    <xf numFmtId="0" fontId="1" fillId="0" borderId="0"/>
    <xf numFmtId="168" fontId="4" fillId="0" borderId="0" applyFont="0" applyFill="0" applyBorder="0" applyAlignment="0" applyProtection="0"/>
    <xf numFmtId="168" fontId="1" fillId="0" borderId="0" applyFont="0" applyFill="0" applyBorder="0" applyAlignment="0" applyProtection="0"/>
    <xf numFmtId="168" fontId="4" fillId="0" borderId="0" applyFont="0" applyFill="0" applyBorder="0" applyAlignment="0" applyProtection="0"/>
    <xf numFmtId="0" fontId="4" fillId="0" borderId="0"/>
    <xf numFmtId="171" fontId="4" fillId="0" borderId="0" applyFont="0" applyFill="0" applyBorder="0" applyAlignment="0" applyProtection="0"/>
    <xf numFmtId="0" fontId="4" fillId="0" borderId="0"/>
    <xf numFmtId="168" fontId="4" fillId="0" borderId="0" applyFont="0" applyFill="0" applyBorder="0" applyAlignment="0" applyProtection="0"/>
  </cellStyleXfs>
  <cellXfs count="244">
    <xf numFmtId="0" fontId="0" fillId="0" borderId="0" xfId="0"/>
    <xf numFmtId="0" fontId="3" fillId="2" borderId="1" xfId="0" applyFont="1" applyFill="1" applyBorder="1" applyAlignment="1">
      <alignment horizontal="center" vertical="center" wrapText="1"/>
    </xf>
    <xf numFmtId="15" fontId="3" fillId="2" borderId="1" xfId="0" applyNumberFormat="1" applyFont="1" applyFill="1" applyBorder="1" applyAlignment="1">
      <alignment horizontal="center" vertical="center" wrapText="1"/>
    </xf>
    <xf numFmtId="165" fontId="3" fillId="3" borderId="1" xfId="5" applyNumberFormat="1" applyFont="1" applyFill="1" applyBorder="1" applyAlignment="1">
      <alignment horizontal="center" vertical="center" wrapText="1"/>
    </xf>
    <xf numFmtId="165" fontId="3" fillId="2" borderId="1" xfId="5" applyNumberFormat="1" applyFont="1" applyFill="1" applyBorder="1" applyAlignment="1">
      <alignment horizontal="center" vertical="center" wrapText="1"/>
    </xf>
    <xf numFmtId="0" fontId="3" fillId="4" borderId="1" xfId="0" applyNumberFormat="1" applyFont="1" applyFill="1" applyBorder="1" applyAlignment="1">
      <alignment horizontal="center" vertical="center" wrapText="1"/>
    </xf>
    <xf numFmtId="0" fontId="3" fillId="5" borderId="1" xfId="0" applyNumberFormat="1" applyFont="1" applyFill="1" applyBorder="1" applyAlignment="1">
      <alignment horizontal="center" vertical="center" wrapText="1"/>
    </xf>
    <xf numFmtId="42" fontId="3" fillId="4" borderId="1" xfId="4" applyFont="1" applyFill="1" applyBorder="1" applyAlignment="1">
      <alignment horizontal="center" vertical="center" wrapText="1"/>
    </xf>
    <xf numFmtId="0" fontId="3" fillId="5" borderId="1" xfId="0" applyFont="1" applyFill="1" applyBorder="1" applyAlignment="1">
      <alignment horizontal="center" vertical="center" wrapText="1"/>
    </xf>
    <xf numFmtId="1" fontId="3" fillId="4" borderId="1" xfId="0" applyNumberFormat="1" applyFont="1" applyFill="1" applyBorder="1" applyAlignment="1">
      <alignment vertical="center" wrapText="1"/>
    </xf>
    <xf numFmtId="1" fontId="3" fillId="4" borderId="1" xfId="0" applyNumberFormat="1" applyFont="1" applyFill="1" applyBorder="1" applyAlignment="1">
      <alignment horizontal="center" vertical="center" wrapText="1"/>
    </xf>
    <xf numFmtId="41" fontId="3" fillId="4" borderId="1" xfId="2"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41" fontId="0" fillId="0" borderId="1" xfId="2" applyFont="1" applyBorder="1"/>
    <xf numFmtId="0" fontId="0" fillId="0" borderId="1" xfId="0" applyBorder="1"/>
    <xf numFmtId="0" fontId="0" fillId="7" borderId="1" xfId="0" applyFill="1" applyBorder="1"/>
    <xf numFmtId="0" fontId="0" fillId="0" borderId="1" xfId="0" applyFont="1" applyBorder="1" applyAlignment="1">
      <alignment horizontal="center"/>
    </xf>
    <xf numFmtId="0" fontId="0" fillId="0" borderId="1" xfId="0" applyBorder="1" applyAlignment="1">
      <alignment horizontal="center"/>
    </xf>
    <xf numFmtId="0" fontId="2" fillId="0" borderId="1" xfId="0" applyFont="1" applyBorder="1" applyAlignment="1">
      <alignment horizontal="center"/>
    </xf>
    <xf numFmtId="179" fontId="0" fillId="0" borderId="1" xfId="0" applyNumberFormat="1" applyBorder="1" applyAlignment="1">
      <alignment horizontal="center"/>
    </xf>
    <xf numFmtId="0" fontId="14" fillId="7" borderId="1" xfId="0" applyFont="1" applyFill="1" applyBorder="1" applyAlignment="1">
      <alignment horizontal="center"/>
    </xf>
    <xf numFmtId="0" fontId="0" fillId="7" borderId="1" xfId="0" applyFill="1" applyBorder="1" applyAlignment="1">
      <alignment horizontal="center"/>
    </xf>
    <xf numFmtId="41" fontId="0" fillId="7" borderId="1" xfId="2" applyFont="1" applyFill="1" applyBorder="1"/>
    <xf numFmtId="15" fontId="0" fillId="0" borderId="1" xfId="0" applyNumberFormat="1" applyBorder="1" applyAlignment="1">
      <alignment horizontal="center"/>
    </xf>
    <xf numFmtId="41" fontId="0" fillId="8" borderId="1" xfId="2" applyFont="1" applyFill="1" applyBorder="1"/>
    <xf numFmtId="0" fontId="0" fillId="0" borderId="1" xfId="0" applyNumberFormat="1" applyFont="1" applyBorder="1" applyAlignment="1">
      <alignment horizontal="center"/>
    </xf>
    <xf numFmtId="0" fontId="12" fillId="0" borderId="1" xfId="0" applyFont="1" applyBorder="1" applyAlignment="1">
      <alignment horizontal="center"/>
    </xf>
    <xf numFmtId="41" fontId="0" fillId="0" borderId="1" xfId="2" applyFont="1" applyBorder="1" applyAlignment="1">
      <alignment horizontal="center"/>
    </xf>
    <xf numFmtId="0" fontId="0" fillId="9" borderId="1" xfId="0" applyFill="1" applyBorder="1" applyAlignment="1">
      <alignment horizontal="center"/>
    </xf>
    <xf numFmtId="0" fontId="0" fillId="9" borderId="1" xfId="0" applyFill="1" applyBorder="1"/>
    <xf numFmtId="14" fontId="0" fillId="9" borderId="1" xfId="0" applyNumberFormat="1" applyFill="1" applyBorder="1" applyAlignment="1">
      <alignment horizontal="center"/>
    </xf>
    <xf numFmtId="41" fontId="0" fillId="9" borderId="1" xfId="2" applyFont="1" applyFill="1" applyBorder="1"/>
    <xf numFmtId="14" fontId="0" fillId="0" borderId="1" xfId="0" applyNumberFormat="1" applyBorder="1"/>
    <xf numFmtId="0" fontId="2" fillId="7" borderId="1" xfId="0" applyFont="1" applyFill="1" applyBorder="1" applyAlignment="1">
      <alignment horizontal="center"/>
    </xf>
    <xf numFmtId="0" fontId="2" fillId="7" borderId="1" xfId="1" applyNumberFormat="1" applyFont="1" applyFill="1" applyBorder="1" applyAlignment="1">
      <alignment horizontal="center" vertical="center"/>
    </xf>
    <xf numFmtId="179" fontId="13" fillId="7" borderId="1" xfId="1" applyNumberFormat="1" applyFont="1" applyFill="1" applyBorder="1" applyAlignment="1">
      <alignment horizontal="center"/>
    </xf>
    <xf numFmtId="0" fontId="2" fillId="7" borderId="1" xfId="0" applyNumberFormat="1" applyFont="1" applyFill="1" applyBorder="1" applyAlignment="1">
      <alignment horizontal="center"/>
    </xf>
    <xf numFmtId="165" fontId="2" fillId="7" borderId="1" xfId="1" applyNumberFormat="1" applyFont="1" applyFill="1" applyBorder="1" applyAlignment="1">
      <alignment horizontal="center"/>
    </xf>
    <xf numFmtId="41" fontId="2" fillId="7" borderId="1" xfId="2" applyFont="1" applyFill="1" applyBorder="1" applyAlignment="1">
      <alignment horizontal="center"/>
    </xf>
    <xf numFmtId="0" fontId="0" fillId="0" borderId="1" xfId="0" applyFont="1" applyBorder="1"/>
    <xf numFmtId="41" fontId="1" fillId="0" borderId="1" xfId="2" applyFont="1" applyBorder="1"/>
    <xf numFmtId="41" fontId="14" fillId="0" borderId="1" xfId="2" applyFont="1" applyBorder="1" applyAlignment="1">
      <alignment horizontal="center"/>
    </xf>
    <xf numFmtId="41" fontId="14" fillId="0" borderId="1" xfId="2" applyFont="1" applyBorder="1"/>
    <xf numFmtId="42" fontId="19" fillId="0" borderId="1" xfId="4" applyFont="1" applyFill="1" applyBorder="1" applyAlignment="1">
      <alignment horizontal="right" vertical="center"/>
    </xf>
    <xf numFmtId="0" fontId="19" fillId="0" borderId="1" xfId="0" applyFont="1" applyFill="1" applyBorder="1" applyAlignment="1">
      <alignment horizontal="right" vertical="center" wrapText="1"/>
    </xf>
    <xf numFmtId="166" fontId="19" fillId="0" borderId="1" xfId="4" applyNumberFormat="1" applyFont="1" applyFill="1" applyBorder="1" applyAlignment="1">
      <alignment horizontal="right" vertical="center"/>
    </xf>
    <xf numFmtId="0" fontId="19" fillId="0" borderId="1" xfId="0" applyFont="1" applyFill="1" applyBorder="1" applyAlignment="1">
      <alignment vertical="center" wrapText="1"/>
    </xf>
    <xf numFmtId="0" fontId="19" fillId="0" borderId="1" xfId="0" applyFont="1" applyFill="1" applyBorder="1" applyAlignment="1">
      <alignment horizontal="center" vertical="center" wrapText="1"/>
    </xf>
    <xf numFmtId="14" fontId="19" fillId="0" borderId="1" xfId="0" applyNumberFormat="1" applyFont="1" applyFill="1" applyBorder="1" applyAlignment="1">
      <alignment horizontal="center" vertical="center" wrapText="1"/>
    </xf>
    <xf numFmtId="0" fontId="19" fillId="0" borderId="1" xfId="0" applyFont="1" applyFill="1" applyBorder="1" applyAlignment="1">
      <alignment horizontal="center" vertical="center"/>
    </xf>
    <xf numFmtId="14" fontId="19" fillId="0" borderId="1" xfId="0" applyNumberFormat="1" applyFont="1" applyFill="1" applyBorder="1" applyAlignment="1">
      <alignment horizontal="center" vertical="center"/>
    </xf>
    <xf numFmtId="42" fontId="19" fillId="0" borderId="1" xfId="4" applyFont="1" applyFill="1" applyBorder="1" applyAlignment="1">
      <alignment vertical="center"/>
    </xf>
    <xf numFmtId="14" fontId="19" fillId="0" borderId="1" xfId="0" applyNumberFormat="1" applyFont="1" applyFill="1" applyBorder="1" applyAlignment="1">
      <alignment horizontal="right" vertical="center"/>
    </xf>
    <xf numFmtId="42" fontId="19" fillId="0" borderId="1" xfId="0" applyNumberFormat="1" applyFont="1" applyFill="1" applyBorder="1" applyAlignment="1">
      <alignment horizontal="right" vertical="center"/>
    </xf>
    <xf numFmtId="41" fontId="19" fillId="0" borderId="1" xfId="2" applyFont="1" applyFill="1" applyBorder="1" applyAlignment="1">
      <alignment horizontal="center" vertical="center"/>
    </xf>
    <xf numFmtId="0" fontId="19" fillId="0" borderId="1" xfId="0" applyFont="1" applyFill="1" applyBorder="1"/>
    <xf numFmtId="41" fontId="19" fillId="0" borderId="1" xfId="2" applyFont="1" applyFill="1" applyBorder="1"/>
    <xf numFmtId="0" fontId="19" fillId="0" borderId="1" xfId="0" applyFont="1" applyFill="1" applyBorder="1" applyAlignment="1">
      <alignment horizontal="justify" vertical="center"/>
    </xf>
    <xf numFmtId="0" fontId="19" fillId="0" borderId="0" xfId="0" applyFont="1" applyFill="1"/>
    <xf numFmtId="14" fontId="19" fillId="0" borderId="1" xfId="0" applyNumberFormat="1" applyFont="1" applyFill="1" applyBorder="1" applyAlignment="1">
      <alignment vertical="center"/>
    </xf>
    <xf numFmtId="14" fontId="19" fillId="0" borderId="1" xfId="0" applyNumberFormat="1" applyFont="1" applyFill="1" applyBorder="1" applyAlignment="1">
      <alignment horizontal="justify" vertical="center"/>
    </xf>
    <xf numFmtId="0" fontId="20" fillId="0" borderId="1" xfId="0" applyFont="1" applyFill="1" applyBorder="1" applyAlignment="1">
      <alignment wrapText="1"/>
    </xf>
    <xf numFmtId="0" fontId="20" fillId="0" borderId="1" xfId="0" applyFont="1" applyFill="1" applyBorder="1" applyAlignment="1">
      <alignment horizontal="center" vertical="center" wrapText="1"/>
    </xf>
    <xf numFmtId="0" fontId="19" fillId="0" borderId="1" xfId="0" applyFont="1" applyFill="1" applyBorder="1" applyAlignment="1">
      <alignment vertical="center"/>
    </xf>
    <xf numFmtId="167" fontId="19" fillId="0" borderId="1" xfId="1" applyNumberFormat="1" applyFont="1" applyFill="1" applyBorder="1" applyAlignment="1">
      <alignment horizontal="center" vertical="center"/>
    </xf>
    <xf numFmtId="0" fontId="19" fillId="0" borderId="1" xfId="0" applyFont="1" applyFill="1" applyBorder="1" applyAlignment="1">
      <alignment horizontal="right" vertical="center"/>
    </xf>
    <xf numFmtId="42" fontId="19" fillId="0" borderId="1" xfId="4" applyNumberFormat="1" applyFont="1" applyFill="1" applyBorder="1" applyAlignment="1">
      <alignment horizontal="right" vertical="center"/>
    </xf>
    <xf numFmtId="42" fontId="19" fillId="0" borderId="1" xfId="0" applyNumberFormat="1" applyFont="1" applyFill="1" applyBorder="1" applyAlignment="1">
      <alignment horizontal="center" vertical="center"/>
    </xf>
    <xf numFmtId="41" fontId="19" fillId="0" borderId="1" xfId="2" applyFont="1" applyFill="1" applyBorder="1" applyAlignment="1">
      <alignment vertical="center"/>
    </xf>
    <xf numFmtId="42" fontId="19" fillId="0" borderId="1" xfId="0" applyNumberFormat="1" applyFont="1" applyFill="1" applyBorder="1" applyAlignment="1">
      <alignment vertical="center"/>
    </xf>
    <xf numFmtId="167" fontId="19" fillId="0" borderId="1" xfId="0" applyNumberFormat="1" applyFont="1" applyFill="1" applyBorder="1" applyAlignment="1">
      <alignment vertical="center"/>
    </xf>
    <xf numFmtId="167" fontId="19" fillId="0" borderId="1" xfId="1" applyNumberFormat="1" applyFont="1" applyFill="1" applyBorder="1" applyAlignment="1">
      <alignment horizontal="center" vertical="center" wrapText="1"/>
    </xf>
    <xf numFmtId="166" fontId="19" fillId="0" borderId="1" xfId="0" applyNumberFormat="1" applyFont="1" applyFill="1" applyBorder="1" applyAlignment="1">
      <alignment vertical="center"/>
    </xf>
    <xf numFmtId="14" fontId="19" fillId="0" borderId="1" xfId="4" applyNumberFormat="1" applyFont="1" applyFill="1" applyBorder="1" applyAlignment="1">
      <alignment vertical="center"/>
    </xf>
    <xf numFmtId="0" fontId="19" fillId="0" borderId="1" xfId="0" applyFont="1" applyFill="1" applyBorder="1" applyAlignment="1">
      <alignment horizontal="center"/>
    </xf>
    <xf numFmtId="0" fontId="20" fillId="0" borderId="1" xfId="13" applyFont="1" applyFill="1" applyBorder="1" applyAlignment="1">
      <alignment horizontal="center" vertical="center" wrapText="1"/>
    </xf>
    <xf numFmtId="0" fontId="20" fillId="0" borderId="1" xfId="13" quotePrefix="1" applyFont="1" applyFill="1" applyBorder="1" applyAlignment="1">
      <alignment horizontal="center" vertical="center" wrapText="1"/>
    </xf>
    <xf numFmtId="0" fontId="20" fillId="0" borderId="1" xfId="13" quotePrefix="1" applyFont="1" applyFill="1" applyBorder="1" applyAlignment="1">
      <alignment horizontal="left" vertical="center" wrapText="1"/>
    </xf>
    <xf numFmtId="172" fontId="20" fillId="0" borderId="1" xfId="0" applyNumberFormat="1" applyFont="1" applyFill="1" applyBorder="1" applyAlignment="1">
      <alignment horizontal="center" vertical="center" wrapText="1"/>
    </xf>
    <xf numFmtId="41" fontId="20" fillId="0" borderId="1" xfId="2" applyNumberFormat="1" applyFont="1" applyFill="1" applyBorder="1" applyAlignment="1">
      <alignment horizontal="center" vertical="center" wrapText="1"/>
    </xf>
    <xf numFmtId="14" fontId="20" fillId="0" borderId="1" xfId="0" applyNumberFormat="1" applyFont="1" applyFill="1" applyBorder="1" applyAlignment="1">
      <alignment horizontal="center" vertical="center" wrapText="1"/>
    </xf>
    <xf numFmtId="1" fontId="20" fillId="0" borderId="1" xfId="0" applyNumberFormat="1" applyFont="1" applyFill="1" applyBorder="1" applyAlignment="1">
      <alignment horizontal="center" vertical="center" wrapText="1"/>
    </xf>
    <xf numFmtId="42" fontId="20" fillId="0" borderId="1" xfId="4" applyFont="1" applyFill="1" applyBorder="1" applyAlignment="1">
      <alignment horizontal="center" vertical="center" wrapText="1"/>
    </xf>
    <xf numFmtId="165" fontId="20" fillId="0" borderId="1" xfId="5" applyNumberFormat="1" applyFont="1" applyFill="1" applyBorder="1" applyAlignment="1">
      <alignment horizontal="center" vertical="center" wrapText="1"/>
    </xf>
    <xf numFmtId="0" fontId="21" fillId="0" borderId="1" xfId="0" applyFont="1" applyFill="1" applyBorder="1" applyAlignment="1">
      <alignment horizontal="center" vertical="center" wrapText="1"/>
    </xf>
    <xf numFmtId="41" fontId="20" fillId="0" borderId="1" xfId="2" applyFont="1" applyFill="1" applyBorder="1" applyAlignment="1">
      <alignment horizontal="center" vertical="center" wrapText="1"/>
    </xf>
    <xf numFmtId="41" fontId="20" fillId="0" borderId="1" xfId="0" applyNumberFormat="1" applyFont="1" applyFill="1" applyBorder="1" applyAlignment="1">
      <alignment horizontal="center" vertical="center" wrapText="1"/>
    </xf>
    <xf numFmtId="0" fontId="20" fillId="0" borderId="1" xfId="0" quotePrefix="1" applyFont="1" applyFill="1" applyBorder="1" applyAlignment="1">
      <alignment horizontal="center" vertical="center" wrapText="1"/>
    </xf>
    <xf numFmtId="14" fontId="20" fillId="0" borderId="1" xfId="5" applyNumberFormat="1" applyFont="1" applyFill="1" applyBorder="1" applyAlignment="1">
      <alignment horizontal="center" vertical="center" wrapText="1"/>
    </xf>
    <xf numFmtId="43" fontId="20" fillId="0" borderId="1" xfId="1" applyFont="1" applyFill="1" applyBorder="1" applyAlignment="1">
      <alignment horizontal="center" vertical="center" wrapText="1"/>
    </xf>
    <xf numFmtId="175" fontId="20" fillId="0" borderId="1" xfId="0" applyNumberFormat="1" applyFont="1" applyFill="1" applyBorder="1" applyAlignment="1">
      <alignment horizontal="center" vertical="center" wrapText="1"/>
    </xf>
    <xf numFmtId="0" fontId="20" fillId="0" borderId="1" xfId="0" quotePrefix="1" applyFont="1" applyFill="1" applyBorder="1" applyAlignment="1">
      <alignment horizontal="left" vertical="center" wrapText="1"/>
    </xf>
    <xf numFmtId="1" fontId="20" fillId="0" borderId="1" xfId="13" applyNumberFormat="1" applyFont="1" applyFill="1" applyBorder="1" applyAlignment="1">
      <alignment horizontal="center" vertical="center" wrapText="1"/>
    </xf>
    <xf numFmtId="0" fontId="20" fillId="0" borderId="0" xfId="0" applyFont="1" applyFill="1" applyBorder="1" applyAlignment="1">
      <alignment horizontal="center" vertical="center" wrapText="1"/>
    </xf>
    <xf numFmtId="176" fontId="20" fillId="0" borderId="1" xfId="0" applyNumberFormat="1" applyFont="1" applyFill="1" applyBorder="1" applyAlignment="1">
      <alignment horizontal="center" vertical="center" wrapText="1"/>
    </xf>
    <xf numFmtId="172" fontId="20" fillId="0" borderId="1" xfId="4" applyNumberFormat="1" applyFont="1" applyFill="1" applyBorder="1" applyAlignment="1">
      <alignment horizontal="center" vertical="center" wrapText="1"/>
    </xf>
    <xf numFmtId="175" fontId="20" fillId="0" borderId="1" xfId="4" applyNumberFormat="1" applyFont="1" applyFill="1" applyBorder="1" applyAlignment="1">
      <alignment horizontal="center" vertical="center" wrapText="1"/>
    </xf>
    <xf numFmtId="177" fontId="20" fillId="0" borderId="1" xfId="0" applyNumberFormat="1" applyFont="1" applyFill="1" applyBorder="1" applyAlignment="1">
      <alignment horizontal="center" vertical="center" wrapText="1"/>
    </xf>
    <xf numFmtId="3" fontId="20" fillId="0" borderId="1" xfId="0" applyNumberFormat="1" applyFont="1" applyFill="1" applyBorder="1" applyAlignment="1">
      <alignment horizontal="center" vertical="center" wrapText="1"/>
    </xf>
    <xf numFmtId="49" fontId="20" fillId="0" borderId="1" xfId="0" applyNumberFormat="1" applyFont="1" applyFill="1" applyBorder="1" applyAlignment="1">
      <alignment horizontal="center" vertical="center" wrapText="1"/>
    </xf>
    <xf numFmtId="49" fontId="20" fillId="0" borderId="1" xfId="13" quotePrefix="1" applyNumberFormat="1" applyFont="1" applyFill="1" applyBorder="1" applyAlignment="1">
      <alignment horizontal="left" vertical="center" wrapText="1"/>
    </xf>
    <xf numFmtId="14" fontId="20" fillId="0" borderId="1" xfId="0" applyNumberFormat="1" applyFont="1" applyFill="1" applyBorder="1" applyAlignment="1">
      <alignment horizontal="center" vertical="center"/>
    </xf>
    <xf numFmtId="42" fontId="20" fillId="0" borderId="1" xfId="4" applyFont="1" applyFill="1" applyBorder="1" applyAlignment="1">
      <alignment horizontal="right" vertical="center"/>
    </xf>
    <xf numFmtId="42" fontId="20" fillId="0" borderId="1" xfId="4" applyFont="1" applyFill="1" applyBorder="1" applyAlignment="1">
      <alignment vertical="center"/>
    </xf>
    <xf numFmtId="0" fontId="20" fillId="0" borderId="5"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3" xfId="0" applyFont="1" applyFill="1" applyBorder="1" applyAlignment="1">
      <alignment horizontal="left" vertical="center" wrapText="1"/>
    </xf>
    <xf numFmtId="165" fontId="20" fillId="0" borderId="3" xfId="5" applyNumberFormat="1" applyFont="1" applyFill="1" applyBorder="1" applyAlignment="1">
      <alignment horizontal="left" vertical="center" wrapText="1"/>
    </xf>
    <xf numFmtId="14" fontId="20" fillId="0" borderId="3" xfId="0" applyNumberFormat="1" applyFont="1" applyFill="1" applyBorder="1" applyAlignment="1">
      <alignment horizontal="center" vertical="center" wrapText="1"/>
    </xf>
    <xf numFmtId="165" fontId="20" fillId="0" borderId="3" xfId="5" applyNumberFormat="1" applyFont="1" applyFill="1" applyBorder="1" applyAlignment="1">
      <alignment horizontal="center" vertical="center" wrapText="1"/>
    </xf>
    <xf numFmtId="0" fontId="20" fillId="0" borderId="1" xfId="0" applyFont="1" applyFill="1" applyBorder="1" applyAlignment="1">
      <alignment horizontal="left" vertical="center" wrapText="1"/>
    </xf>
    <xf numFmtId="165" fontId="20" fillId="0" borderId="1" xfId="5" applyNumberFormat="1" applyFont="1" applyFill="1" applyBorder="1" applyAlignment="1">
      <alignment horizontal="left" vertical="center" wrapText="1"/>
    </xf>
    <xf numFmtId="0" fontId="22" fillId="0" borderId="1" xfId="0" applyFont="1" applyFill="1" applyBorder="1" applyAlignment="1">
      <alignment horizontal="center" vertical="center" wrapText="1"/>
    </xf>
    <xf numFmtId="14" fontId="22" fillId="0" borderId="1" xfId="0" applyNumberFormat="1" applyFont="1" applyFill="1" applyBorder="1" applyAlignment="1">
      <alignment horizontal="center" vertical="center" wrapText="1"/>
    </xf>
    <xf numFmtId="169" fontId="20" fillId="0" borderId="1" xfId="0" applyNumberFormat="1" applyFont="1" applyFill="1" applyBorder="1" applyAlignment="1">
      <alignment horizontal="center" vertical="center" wrapText="1"/>
    </xf>
    <xf numFmtId="165" fontId="21" fillId="0" borderId="1" xfId="5" applyNumberFormat="1" applyFont="1" applyFill="1" applyBorder="1" applyAlignment="1">
      <alignment horizontal="center" vertical="center" wrapText="1"/>
    </xf>
    <xf numFmtId="0" fontId="20" fillId="0" borderId="0" xfId="0" applyFont="1" applyFill="1" applyAlignment="1">
      <alignment wrapText="1"/>
    </xf>
    <xf numFmtId="169" fontId="20" fillId="0" borderId="1" xfId="0" applyNumberFormat="1" applyFont="1" applyFill="1" applyBorder="1" applyAlignment="1">
      <alignment vertical="center" wrapText="1"/>
    </xf>
    <xf numFmtId="0" fontId="20" fillId="0" borderId="7"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3" fillId="0" borderId="1" xfId="0" applyFont="1" applyFill="1" applyBorder="1" applyAlignment="1">
      <alignment horizontal="center"/>
    </xf>
    <xf numFmtId="179" fontId="19" fillId="0" borderId="1" xfId="0" applyNumberFormat="1" applyFont="1" applyFill="1" applyBorder="1" applyAlignment="1">
      <alignment horizontal="center"/>
    </xf>
    <xf numFmtId="0" fontId="7" fillId="0" borderId="1" xfId="0" applyFont="1" applyFill="1" applyBorder="1" applyAlignment="1">
      <alignment horizontal="center" vertical="center" wrapText="1"/>
    </xf>
    <xf numFmtId="0" fontId="7" fillId="0" borderId="1" xfId="0" applyFont="1" applyFill="1" applyBorder="1" applyAlignment="1">
      <alignment horizontal="justify" vertical="center" wrapText="1"/>
    </xf>
    <xf numFmtId="49" fontId="20" fillId="0" borderId="1" xfId="6" applyNumberFormat="1" applyFont="1" applyFill="1" applyBorder="1" applyAlignment="1">
      <alignment horizontal="left" vertical="center" wrapText="1"/>
    </xf>
    <xf numFmtId="0" fontId="6" fillId="0" borderId="1" xfId="0" applyFont="1" applyFill="1" applyBorder="1" applyAlignment="1">
      <alignment vertical="center"/>
    </xf>
    <xf numFmtId="1" fontId="6" fillId="0" borderId="1" xfId="0" applyNumberFormat="1" applyFont="1" applyFill="1" applyBorder="1" applyAlignment="1">
      <alignment vertical="center"/>
    </xf>
    <xf numFmtId="0" fontId="20" fillId="0" borderId="1" xfId="7" applyFont="1" applyFill="1" applyBorder="1" applyAlignment="1">
      <alignment horizontal="center" vertical="center" wrapText="1"/>
    </xf>
    <xf numFmtId="165" fontId="20" fillId="0" borderId="1" xfId="8" applyNumberFormat="1" applyFont="1" applyFill="1" applyBorder="1" applyAlignment="1">
      <alignment vertical="center" wrapText="1"/>
    </xf>
    <xf numFmtId="0" fontId="20" fillId="0" borderId="1" xfId="7" applyFont="1" applyFill="1" applyBorder="1" applyAlignment="1">
      <alignment vertical="center" wrapText="1"/>
    </xf>
    <xf numFmtId="0" fontId="20" fillId="0" borderId="2" xfId="7" applyFont="1" applyFill="1" applyBorder="1" applyAlignment="1">
      <alignment horizontal="left" vertical="center" wrapText="1"/>
    </xf>
    <xf numFmtId="0" fontId="20" fillId="0" borderId="2" xfId="0" applyFont="1" applyFill="1" applyBorder="1" applyAlignment="1">
      <alignment horizontal="left" vertical="center" wrapText="1"/>
    </xf>
    <xf numFmtId="0" fontId="20" fillId="0" borderId="1" xfId="0" applyFont="1" applyFill="1" applyBorder="1" applyAlignment="1">
      <alignment vertical="center" wrapText="1"/>
    </xf>
    <xf numFmtId="168" fontId="20" fillId="0" borderId="2" xfId="8" applyNumberFormat="1" applyFont="1" applyFill="1" applyBorder="1" applyAlignment="1">
      <alignment horizontal="right" vertical="center" wrapText="1"/>
    </xf>
    <xf numFmtId="169" fontId="20" fillId="0" borderId="2" xfId="3" applyNumberFormat="1" applyFont="1" applyFill="1" applyBorder="1" applyAlignment="1">
      <alignment horizontal="center" vertical="center" wrapText="1"/>
    </xf>
    <xf numFmtId="168" fontId="20" fillId="0" borderId="1" xfId="8" applyNumberFormat="1" applyFont="1" applyFill="1" applyBorder="1" applyAlignment="1">
      <alignment vertical="center" wrapText="1"/>
    </xf>
    <xf numFmtId="168" fontId="20" fillId="0" borderId="1" xfId="9" applyNumberFormat="1" applyFont="1" applyFill="1" applyBorder="1" applyAlignment="1">
      <alignment vertical="center" wrapText="1"/>
    </xf>
    <xf numFmtId="17" fontId="20" fillId="0" borderId="2" xfId="7" applyNumberFormat="1" applyFont="1" applyFill="1" applyBorder="1" applyAlignment="1">
      <alignment horizontal="center" vertical="center" wrapText="1"/>
    </xf>
    <xf numFmtId="3" fontId="20" fillId="0" borderId="2" xfId="3" applyNumberFormat="1" applyFont="1" applyFill="1" applyBorder="1" applyAlignment="1">
      <alignment horizontal="center" vertical="center" wrapText="1"/>
    </xf>
    <xf numFmtId="165" fontId="20" fillId="0" borderId="1" xfId="5" applyNumberFormat="1" applyFont="1" applyFill="1" applyBorder="1" applyAlignment="1">
      <alignment vertical="center" wrapText="1"/>
    </xf>
    <xf numFmtId="1" fontId="20" fillId="0" borderId="1" xfId="5" applyNumberFormat="1" applyFont="1" applyFill="1" applyBorder="1" applyAlignment="1">
      <alignment vertical="center" wrapText="1"/>
    </xf>
    <xf numFmtId="0" fontId="21" fillId="0" borderId="1" xfId="0" applyFont="1" applyFill="1" applyBorder="1" applyAlignment="1">
      <alignment vertical="center" wrapText="1"/>
    </xf>
    <xf numFmtId="42" fontId="20" fillId="0" borderId="1" xfId="4" applyFont="1" applyFill="1" applyBorder="1" applyAlignment="1">
      <alignment vertical="center" wrapText="1"/>
    </xf>
    <xf numFmtId="43" fontId="20" fillId="0" borderId="1" xfId="0" applyNumberFormat="1" applyFont="1" applyFill="1" applyBorder="1" applyAlignment="1">
      <alignment vertical="center" wrapText="1"/>
    </xf>
    <xf numFmtId="0" fontId="20" fillId="0" borderId="1" xfId="7" applyFont="1" applyFill="1" applyBorder="1" applyAlignment="1">
      <alignment horizontal="left" vertical="center" wrapText="1"/>
    </xf>
    <xf numFmtId="169" fontId="20" fillId="0" borderId="1" xfId="3" applyNumberFormat="1" applyFont="1" applyFill="1" applyBorder="1" applyAlignment="1">
      <alignment horizontal="center" vertical="center" wrapText="1"/>
    </xf>
    <xf numFmtId="3" fontId="20" fillId="0" borderId="1" xfId="3" applyNumberFormat="1" applyFont="1" applyFill="1" applyBorder="1" applyAlignment="1">
      <alignment horizontal="center" vertical="center" wrapText="1"/>
    </xf>
    <xf numFmtId="17" fontId="20" fillId="0" borderId="1" xfId="7" applyNumberFormat="1" applyFont="1" applyFill="1" applyBorder="1" applyAlignment="1">
      <alignment horizontal="center" vertical="center" wrapText="1"/>
    </xf>
    <xf numFmtId="0" fontId="6" fillId="0" borderId="1" xfId="0" applyFont="1" applyFill="1" applyBorder="1" applyAlignment="1">
      <alignment horizontal="center" vertical="center"/>
    </xf>
    <xf numFmtId="14" fontId="20" fillId="0" borderId="1" xfId="0" applyNumberFormat="1" applyFont="1" applyFill="1" applyBorder="1" applyAlignment="1">
      <alignment vertical="center" wrapText="1"/>
    </xf>
    <xf numFmtId="168" fontId="20" fillId="0" borderId="1" xfId="10" applyNumberFormat="1" applyFont="1" applyFill="1" applyBorder="1" applyAlignment="1">
      <alignment vertical="center" wrapText="1"/>
    </xf>
    <xf numFmtId="43" fontId="20" fillId="0" borderId="1" xfId="0" applyNumberFormat="1" applyFont="1" applyFill="1" applyBorder="1" applyAlignment="1">
      <alignment horizontal="center" vertical="center" wrapText="1"/>
    </xf>
    <xf numFmtId="170" fontId="20" fillId="0" borderId="1" xfId="3" applyNumberFormat="1" applyFont="1" applyFill="1" applyBorder="1" applyAlignment="1">
      <alignment horizontal="center" vertical="center" wrapText="1"/>
    </xf>
    <xf numFmtId="168" fontId="20" fillId="0" borderId="1" xfId="0" applyNumberFormat="1" applyFont="1" applyFill="1" applyBorder="1" applyAlignment="1">
      <alignment vertical="center" wrapText="1"/>
    </xf>
    <xf numFmtId="42" fontId="20" fillId="0" borderId="0" xfId="4" applyFont="1" applyFill="1" applyAlignment="1">
      <alignment vertical="center" wrapText="1"/>
    </xf>
    <xf numFmtId="0" fontId="20" fillId="0" borderId="1" xfId="0" applyNumberFormat="1" applyFont="1" applyFill="1" applyBorder="1" applyAlignment="1">
      <alignment vertical="center" wrapText="1"/>
    </xf>
    <xf numFmtId="42" fontId="20" fillId="0" borderId="1" xfId="4" applyNumberFormat="1" applyFont="1" applyFill="1" applyBorder="1" applyAlignment="1">
      <alignment vertical="center" wrapText="1"/>
    </xf>
    <xf numFmtId="168" fontId="20" fillId="0" borderId="2" xfId="8" applyNumberFormat="1" applyFont="1" applyFill="1" applyBorder="1" applyAlignment="1">
      <alignment vertical="center" wrapText="1"/>
    </xf>
    <xf numFmtId="168" fontId="20" fillId="0" borderId="2" xfId="9" applyNumberFormat="1" applyFont="1" applyFill="1" applyBorder="1" applyAlignment="1">
      <alignment vertical="center" wrapText="1"/>
    </xf>
    <xf numFmtId="170" fontId="20" fillId="0" borderId="2" xfId="3" applyNumberFormat="1" applyFont="1" applyFill="1" applyBorder="1" applyAlignment="1">
      <alignment horizontal="center" vertical="center" wrapText="1"/>
    </xf>
    <xf numFmtId="0" fontId="20" fillId="0" borderId="2" xfId="0" applyFont="1" applyFill="1" applyBorder="1" applyAlignment="1">
      <alignment vertical="center" wrapText="1"/>
    </xf>
    <xf numFmtId="168" fontId="20" fillId="0" borderId="2" xfId="0" applyNumberFormat="1" applyFont="1" applyFill="1" applyBorder="1" applyAlignment="1">
      <alignment vertical="center" wrapText="1"/>
    </xf>
    <xf numFmtId="165" fontId="20" fillId="0" borderId="2" xfId="5" applyNumberFormat="1" applyFont="1" applyFill="1" applyBorder="1" applyAlignment="1">
      <alignment vertical="center" wrapText="1"/>
    </xf>
    <xf numFmtId="1" fontId="20" fillId="0" borderId="2" xfId="5" applyNumberFormat="1" applyFont="1" applyFill="1" applyBorder="1" applyAlignment="1">
      <alignment vertical="center" wrapText="1"/>
    </xf>
    <xf numFmtId="0" fontId="21" fillId="0" borderId="2" xfId="0" applyFont="1" applyFill="1" applyBorder="1" applyAlignment="1">
      <alignment vertical="center" wrapText="1"/>
    </xf>
    <xf numFmtId="42" fontId="20" fillId="0" borderId="2" xfId="4" applyFont="1" applyFill="1" applyBorder="1" applyAlignment="1">
      <alignment vertical="center" wrapText="1"/>
    </xf>
    <xf numFmtId="0" fontId="21" fillId="0" borderId="2" xfId="0" applyFont="1" applyFill="1" applyBorder="1" applyAlignment="1">
      <alignment horizontal="center" vertical="center" wrapText="1"/>
    </xf>
    <xf numFmtId="0" fontId="20" fillId="0" borderId="2" xfId="0" applyFont="1" applyFill="1" applyBorder="1" applyAlignment="1">
      <alignment horizontal="center" vertical="center" wrapText="1"/>
    </xf>
    <xf numFmtId="43" fontId="20" fillId="0" borderId="2" xfId="0" applyNumberFormat="1" applyFont="1" applyFill="1" applyBorder="1" applyAlignment="1">
      <alignment vertical="center" wrapText="1"/>
    </xf>
    <xf numFmtId="14" fontId="20" fillId="0" borderId="2" xfId="0" applyNumberFormat="1" applyFont="1" applyFill="1" applyBorder="1" applyAlignment="1">
      <alignment vertical="center" wrapText="1"/>
    </xf>
    <xf numFmtId="1" fontId="20" fillId="0" borderId="1" xfId="0" applyNumberFormat="1" applyFont="1" applyFill="1" applyBorder="1" applyAlignment="1">
      <alignment vertical="center" wrapText="1"/>
    </xf>
    <xf numFmtId="168" fontId="20" fillId="0" borderId="1" xfId="8" applyNumberFormat="1" applyFont="1" applyFill="1" applyBorder="1" applyAlignment="1">
      <alignment horizontal="right" vertical="center" wrapText="1"/>
    </xf>
    <xf numFmtId="0" fontId="20" fillId="0" borderId="1" xfId="6" applyFont="1" applyFill="1" applyBorder="1" applyAlignment="1">
      <alignment horizontal="center" vertical="center" wrapText="1"/>
    </xf>
    <xf numFmtId="0" fontId="20" fillId="0" borderId="1" xfId="11" applyFont="1" applyFill="1" applyBorder="1" applyAlignment="1">
      <alignment horizontal="center" vertical="center" wrapText="1"/>
    </xf>
    <xf numFmtId="0" fontId="20" fillId="0" borderId="1" xfId="6" applyFont="1" applyFill="1" applyBorder="1" applyAlignment="1">
      <alignment horizontal="left" vertical="center" wrapText="1"/>
    </xf>
    <xf numFmtId="14" fontId="20" fillId="0" borderId="1" xfId="12" applyNumberFormat="1" applyFont="1" applyFill="1" applyBorder="1" applyAlignment="1">
      <alignment horizontal="center" vertical="center" wrapText="1"/>
    </xf>
    <xf numFmtId="170" fontId="20" fillId="0" borderId="1" xfId="12" applyNumberFormat="1" applyFont="1" applyFill="1" applyBorder="1" applyAlignment="1">
      <alignment horizontal="center" vertical="center" wrapText="1"/>
    </xf>
    <xf numFmtId="172" fontId="20" fillId="0" borderId="1" xfId="0" applyNumberFormat="1" applyFont="1" applyFill="1" applyBorder="1" applyAlignment="1">
      <alignment vertical="center" wrapText="1"/>
    </xf>
    <xf numFmtId="0" fontId="20" fillId="0" borderId="1" xfId="6" applyFont="1" applyFill="1" applyBorder="1" applyAlignment="1">
      <alignment vertical="center" wrapText="1"/>
    </xf>
    <xf numFmtId="0" fontId="20" fillId="0" borderId="2" xfId="6" applyFont="1" applyFill="1" applyBorder="1" applyAlignment="1">
      <alignment vertical="center" wrapText="1"/>
    </xf>
    <xf numFmtId="0" fontId="20" fillId="0" borderId="3" xfId="6" applyFont="1" applyFill="1" applyBorder="1" applyAlignment="1">
      <alignment vertical="center" wrapText="1"/>
    </xf>
    <xf numFmtId="165" fontId="20" fillId="0" borderId="1" xfId="5" applyNumberFormat="1" applyFont="1" applyFill="1" applyBorder="1" applyAlignment="1">
      <alignment horizontal="right" vertical="center" wrapText="1"/>
    </xf>
    <xf numFmtId="0" fontId="20" fillId="0" borderId="1" xfId="11" applyFont="1" applyFill="1" applyBorder="1" applyAlignment="1">
      <alignment horizontal="left" vertical="center" wrapText="1"/>
    </xf>
    <xf numFmtId="3" fontId="20" fillId="0" borderId="1" xfId="12" applyNumberFormat="1" applyFont="1" applyFill="1" applyBorder="1" applyAlignment="1">
      <alignment horizontal="center" vertical="center" wrapText="1"/>
    </xf>
    <xf numFmtId="173" fontId="20" fillId="0" borderId="1" xfId="9" applyNumberFormat="1" applyFont="1" applyFill="1" applyBorder="1" applyAlignment="1">
      <alignment horizontal="center" vertical="center" wrapText="1"/>
    </xf>
    <xf numFmtId="0" fontId="23" fillId="0" borderId="1" xfId="0" applyFont="1" applyFill="1" applyBorder="1" applyAlignment="1">
      <alignment vertical="center"/>
    </xf>
    <xf numFmtId="173" fontId="21" fillId="0" borderId="1" xfId="9" applyNumberFormat="1" applyFont="1" applyFill="1" applyBorder="1" applyAlignment="1">
      <alignment horizontal="center" vertical="center" wrapText="1"/>
    </xf>
    <xf numFmtId="173" fontId="21" fillId="0" borderId="1" xfId="9" applyNumberFormat="1" applyFont="1" applyFill="1" applyBorder="1" applyAlignment="1">
      <alignment horizontal="right" vertical="center" wrapText="1"/>
    </xf>
    <xf numFmtId="0" fontId="20" fillId="0" borderId="1" xfId="0" applyFont="1" applyFill="1" applyBorder="1" applyAlignment="1">
      <alignment horizontal="center" vertical="center"/>
    </xf>
    <xf numFmtId="0" fontId="6" fillId="0" borderId="0" xfId="0" applyFont="1" applyFill="1" applyAlignment="1">
      <alignment vertical="center" wrapText="1"/>
    </xf>
    <xf numFmtId="0" fontId="20" fillId="0" borderId="1" xfId="9" applyNumberFormat="1" applyFont="1" applyFill="1" applyBorder="1" applyAlignment="1">
      <alignment horizontal="center" vertical="center" wrapText="1"/>
    </xf>
    <xf numFmtId="43" fontId="20" fillId="0" borderId="1" xfId="9" applyNumberFormat="1" applyFont="1" applyFill="1" applyBorder="1" applyAlignment="1">
      <alignment horizontal="center" vertical="center" wrapText="1"/>
    </xf>
    <xf numFmtId="0" fontId="21" fillId="0" borderId="4" xfId="0" applyFont="1" applyFill="1" applyBorder="1" applyAlignment="1">
      <alignment horizontal="center" vertical="center" wrapText="1"/>
    </xf>
    <xf numFmtId="169" fontId="20" fillId="0" borderId="3" xfId="0" applyNumberFormat="1" applyFont="1" applyFill="1" applyBorder="1" applyAlignment="1">
      <alignment vertical="center"/>
    </xf>
    <xf numFmtId="169" fontId="20" fillId="0" borderId="3" xfId="14" applyNumberFormat="1" applyFont="1" applyFill="1" applyBorder="1" applyAlignment="1">
      <alignment vertical="center" wrapText="1"/>
    </xf>
    <xf numFmtId="169" fontId="20" fillId="0" borderId="1" xfId="14" applyNumberFormat="1" applyFont="1" applyFill="1" applyBorder="1" applyAlignment="1">
      <alignment horizontal="center" vertical="center" wrapText="1"/>
    </xf>
    <xf numFmtId="169" fontId="20" fillId="0" borderId="1" xfId="0" applyNumberFormat="1" applyFont="1" applyFill="1" applyBorder="1" applyAlignment="1">
      <alignment vertical="center"/>
    </xf>
    <xf numFmtId="169" fontId="20" fillId="0" borderId="1" xfId="14" applyNumberFormat="1" applyFont="1" applyFill="1" applyBorder="1" applyAlignment="1">
      <alignment vertical="center" wrapText="1"/>
    </xf>
    <xf numFmtId="177" fontId="20" fillId="0" borderId="1" xfId="14" applyNumberFormat="1" applyFont="1" applyFill="1" applyBorder="1" applyAlignment="1">
      <alignment horizontal="center" vertical="center"/>
    </xf>
    <xf numFmtId="0" fontId="24" fillId="0" borderId="1" xfId="0" applyFont="1" applyFill="1" applyBorder="1" applyAlignment="1">
      <alignment horizontal="center" vertical="center" wrapText="1"/>
    </xf>
    <xf numFmtId="169" fontId="22" fillId="0" borderId="6" xfId="14" applyNumberFormat="1" applyFont="1" applyFill="1" applyBorder="1" applyAlignment="1">
      <alignment horizontal="center" vertical="center" wrapText="1"/>
    </xf>
    <xf numFmtId="169" fontId="24" fillId="0" borderId="1" xfId="14" applyNumberFormat="1" applyFont="1" applyFill="1" applyBorder="1" applyAlignment="1">
      <alignment horizontal="center" vertical="center" wrapText="1"/>
    </xf>
    <xf numFmtId="14" fontId="20" fillId="0" borderId="1" xfId="14" applyNumberFormat="1" applyFont="1" applyFill="1" applyBorder="1" applyAlignment="1">
      <alignment horizontal="center" vertical="center" wrapText="1"/>
    </xf>
    <xf numFmtId="169" fontId="22" fillId="0" borderId="1" xfId="14" applyNumberFormat="1" applyFont="1" applyFill="1" applyBorder="1" applyAlignment="1">
      <alignment horizontal="center" vertical="center" wrapText="1"/>
    </xf>
    <xf numFmtId="14" fontId="20" fillId="0" borderId="6" xfId="14" applyNumberFormat="1" applyFont="1" applyFill="1" applyBorder="1" applyAlignment="1">
      <alignment horizontal="center" vertical="center" wrapText="1"/>
    </xf>
    <xf numFmtId="178" fontId="20" fillId="0" borderId="1" xfId="14" applyNumberFormat="1" applyFont="1" applyFill="1" applyBorder="1" applyAlignment="1">
      <alignment horizontal="center" vertical="center"/>
    </xf>
    <xf numFmtId="17" fontId="20" fillId="0" borderId="1" xfId="0" applyNumberFormat="1" applyFont="1" applyFill="1" applyBorder="1" applyAlignment="1">
      <alignment horizontal="center" vertical="center" wrapText="1"/>
    </xf>
    <xf numFmtId="169" fontId="20" fillId="0" borderId="2" xfId="14" applyNumberFormat="1" applyFont="1" applyFill="1" applyBorder="1" applyAlignment="1">
      <alignment vertical="center" wrapText="1"/>
    </xf>
    <xf numFmtId="0" fontId="21" fillId="0" borderId="0"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6" fillId="0" borderId="9"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10" xfId="0" applyFont="1" applyFill="1" applyBorder="1" applyAlignment="1">
      <alignment horizontal="center" vertical="center" wrapText="1"/>
    </xf>
    <xf numFmtId="0" fontId="25" fillId="0" borderId="1" xfId="0" applyFont="1" applyFill="1" applyBorder="1" applyAlignment="1">
      <alignment horizontal="left" vertical="center" wrapText="1"/>
    </xf>
    <xf numFmtId="0" fontId="27" fillId="0" borderId="0" xfId="0" applyFont="1" applyFill="1" applyBorder="1" applyAlignment="1">
      <alignment vertical="center" wrapText="1"/>
    </xf>
    <xf numFmtId="0" fontId="25" fillId="0" borderId="1" xfId="0" applyFont="1" applyFill="1" applyBorder="1" applyAlignment="1">
      <alignment horizontal="left" vertical="center"/>
    </xf>
    <xf numFmtId="0" fontId="26" fillId="0" borderId="11" xfId="0" applyFont="1" applyFill="1" applyBorder="1" applyAlignment="1">
      <alignment horizontal="center" vertical="center" wrapText="1"/>
    </xf>
    <xf numFmtId="0" fontId="26" fillId="0" borderId="1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19" fillId="0" borderId="0" xfId="0" applyFont="1" applyFill="1" applyAlignment="1">
      <alignment vertical="center"/>
    </xf>
    <xf numFmtId="0" fontId="0" fillId="0" borderId="0" xfId="0" applyAlignment="1">
      <alignment vertical="center"/>
    </xf>
    <xf numFmtId="0" fontId="20" fillId="0" borderId="1" xfId="0" applyNumberFormat="1" applyFont="1" applyFill="1" applyBorder="1" applyAlignment="1">
      <alignment horizontal="justify" vertical="center" wrapText="1"/>
    </xf>
    <xf numFmtId="17" fontId="19" fillId="0" borderId="1" xfId="0" applyNumberFormat="1" applyFont="1" applyFill="1" applyBorder="1" applyAlignment="1">
      <alignment vertical="center"/>
    </xf>
    <xf numFmtId="44" fontId="19" fillId="0" borderId="1" xfId="0" applyNumberFormat="1" applyFont="1" applyFill="1" applyBorder="1" applyAlignment="1">
      <alignment vertical="center"/>
    </xf>
    <xf numFmtId="0" fontId="7" fillId="0" borderId="1" xfId="0" applyFont="1" applyFill="1" applyBorder="1" applyAlignment="1">
      <alignment horizontal="justify" vertical="center"/>
    </xf>
    <xf numFmtId="0" fontId="19" fillId="0" borderId="2" xfId="0" applyFont="1" applyFill="1" applyBorder="1" applyAlignment="1">
      <alignment horizontal="left" vertical="center" wrapText="1"/>
    </xf>
    <xf numFmtId="0" fontId="19" fillId="0" borderId="1" xfId="0" applyFont="1" applyFill="1" applyBorder="1" applyAlignment="1">
      <alignment horizontal="left" vertical="center" wrapText="1"/>
    </xf>
    <xf numFmtId="14" fontId="20" fillId="0" borderId="2" xfId="0" applyNumberFormat="1" applyFont="1" applyFill="1" applyBorder="1" applyAlignment="1">
      <alignment horizontal="center" vertical="center" wrapText="1"/>
    </xf>
    <xf numFmtId="169" fontId="20" fillId="0" borderId="1" xfId="1" applyNumberFormat="1" applyFont="1" applyFill="1" applyBorder="1" applyAlignment="1">
      <alignment vertical="center" wrapText="1"/>
    </xf>
    <xf numFmtId="169" fontId="19" fillId="0" borderId="1" xfId="1" applyNumberFormat="1" applyFont="1" applyFill="1" applyBorder="1" applyAlignment="1">
      <alignment vertical="center"/>
    </xf>
    <xf numFmtId="169" fontId="19" fillId="0" borderId="1" xfId="0" applyNumberFormat="1" applyFont="1" applyFill="1" applyBorder="1" applyAlignment="1">
      <alignment vertical="center"/>
    </xf>
    <xf numFmtId="165" fontId="19" fillId="0" borderId="1" xfId="1" applyNumberFormat="1" applyFont="1" applyFill="1" applyBorder="1" applyAlignment="1">
      <alignment vertical="center"/>
    </xf>
    <xf numFmtId="165" fontId="20" fillId="0" borderId="1" xfId="0" applyNumberFormat="1" applyFont="1" applyFill="1" applyBorder="1" applyAlignment="1">
      <alignment vertical="center" wrapText="1"/>
    </xf>
    <xf numFmtId="0" fontId="23" fillId="0" borderId="1" xfId="0" applyFont="1" applyFill="1" applyBorder="1" applyAlignment="1">
      <alignment horizontal="left" vertical="center"/>
    </xf>
    <xf numFmtId="174" fontId="19" fillId="0" borderId="1" xfId="0" applyNumberFormat="1" applyFont="1" applyFill="1" applyBorder="1" applyAlignment="1">
      <alignment vertical="center"/>
    </xf>
    <xf numFmtId="165" fontId="19" fillId="0" borderId="1" xfId="0" applyNumberFormat="1" applyFont="1" applyFill="1" applyBorder="1" applyAlignment="1">
      <alignment vertical="center"/>
    </xf>
    <xf numFmtId="168" fontId="19" fillId="0" borderId="1" xfId="0" applyNumberFormat="1" applyFont="1" applyFill="1" applyBorder="1" applyAlignment="1">
      <alignment vertical="center"/>
    </xf>
    <xf numFmtId="173" fontId="19" fillId="0" borderId="1" xfId="0" applyNumberFormat="1" applyFont="1" applyFill="1" applyBorder="1" applyAlignment="1">
      <alignment vertical="center"/>
    </xf>
    <xf numFmtId="169" fontId="19" fillId="0" borderId="1" xfId="5" applyNumberFormat="1" applyFont="1" applyFill="1" applyBorder="1" applyAlignment="1">
      <alignment vertical="center"/>
    </xf>
    <xf numFmtId="169" fontId="23" fillId="0" borderId="1" xfId="5" applyNumberFormat="1" applyFont="1" applyFill="1" applyBorder="1" applyAlignment="1">
      <alignment horizontal="right" vertical="center"/>
    </xf>
    <xf numFmtId="0" fontId="21" fillId="0" borderId="1" xfId="0" applyFont="1" applyFill="1" applyBorder="1" applyAlignment="1">
      <alignment horizontal="left" vertical="center"/>
    </xf>
    <xf numFmtId="41" fontId="20" fillId="0" borderId="1" xfId="2" applyFont="1" applyFill="1" applyBorder="1" applyAlignment="1">
      <alignment vertical="center"/>
    </xf>
    <xf numFmtId="0" fontId="20" fillId="0" borderId="1" xfId="0" applyFont="1" applyFill="1" applyBorder="1" applyAlignment="1">
      <alignment vertical="center"/>
    </xf>
  </cellXfs>
  <cellStyles count="15">
    <cellStyle name="Millares" xfId="1" builtinId="3"/>
    <cellStyle name="Millares [0]" xfId="2" builtinId="6"/>
    <cellStyle name="Millares 2" xfId="9" xr:uid="{00000000-0005-0000-0000-000002000000}"/>
    <cellStyle name="Millares 2 3" xfId="14" xr:uid="{00000000-0005-0000-0000-000003000000}"/>
    <cellStyle name="Millares 58" xfId="10" xr:uid="{00000000-0005-0000-0000-000004000000}"/>
    <cellStyle name="Millares 6" xfId="5" xr:uid="{00000000-0005-0000-0000-000005000000}"/>
    <cellStyle name="Millares 6 2" xfId="8" xr:uid="{00000000-0005-0000-0000-000006000000}"/>
    <cellStyle name="Moneda" xfId="3" builtinId="4"/>
    <cellStyle name="Moneda [0]" xfId="4" builtinId="7"/>
    <cellStyle name="Moneda 3 2" xfId="12" xr:uid="{00000000-0005-0000-0000-000009000000}"/>
    <cellStyle name="Normal" xfId="0" builtinId="0"/>
    <cellStyle name="Normal 2 2" xfId="6" xr:uid="{00000000-0005-0000-0000-00000B000000}"/>
    <cellStyle name="Normal 3" xfId="7" xr:uid="{00000000-0005-0000-0000-00000C000000}"/>
    <cellStyle name="Normal 3 2" xfId="11" xr:uid="{00000000-0005-0000-0000-00000D000000}"/>
    <cellStyle name="Normal 6" xfId="13" xr:uid="{00000000-0005-0000-0000-00000E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312965</xdr:colOff>
      <xdr:row>0</xdr:row>
      <xdr:rowOff>93889</xdr:rowOff>
    </xdr:from>
    <xdr:to>
      <xdr:col>2</xdr:col>
      <xdr:colOff>795130</xdr:colOff>
      <xdr:row>2</xdr:row>
      <xdr:rowOff>419100</xdr:rowOff>
    </xdr:to>
    <xdr:pic>
      <xdr:nvPicPr>
        <xdr:cNvPr id="2" name="Picture 1" descr="Escudo color CVP">
          <a:extLst>
            <a:ext uri="{FF2B5EF4-FFF2-40B4-BE49-F238E27FC236}">
              <a16:creationId xmlns:a16="http://schemas.microsoft.com/office/drawing/2014/main" id="{3F9E3692-5FC1-482C-A3B5-6D592647C96D}"/>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12965" y="93889"/>
          <a:ext cx="2101415" cy="801461"/>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rasanchez/Desktop/Plan%20Adquiciones%201174%20y%20943/Ejecucion%20Septiembre/EJECUCI&#211;N%20TRANSP%20-%200943%20A%20SEPTIEMBRE%2030%20DE%20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MAjiaco/Desktop/FUSS%20AGOSTO%202018/CRP%20a%2031%20Agosto%20de%202018%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PTIEMBRE 2018"/>
      <sheetName val="Hoja2"/>
      <sheetName val="Hoja3"/>
    </sheetNames>
    <sheetDataSet>
      <sheetData sheetId="0" refreshError="1">
        <row r="4">
          <cell r="N4" t="str">
            <v>FECHA</v>
          </cell>
          <cell r="O4" t="str">
            <v>BENEFICIARIO</v>
          </cell>
          <cell r="P4" t="str">
            <v>TIPO</v>
          </cell>
          <cell r="Q4" t="str">
            <v>NUMERO</v>
          </cell>
          <cell r="R4" t="str">
            <v>OBJETO</v>
          </cell>
          <cell r="S4" t="str">
            <v>VALOR</v>
          </cell>
          <cell r="T4" t="str">
            <v>ANUL</v>
          </cell>
          <cell r="U4" t="str">
            <v>AJ</v>
          </cell>
          <cell r="V4" t="str">
            <v>VAL NETO</v>
          </cell>
          <cell r="W4" t="str">
            <v>GIRO</v>
          </cell>
          <cell r="X4" t="str">
            <v>x GIRAR</v>
          </cell>
        </row>
        <row r="5">
          <cell r="N5">
            <v>43116</v>
          </cell>
          <cell r="O5" t="str">
            <v>JUAN FERNANDO BETANCOURT FRANCO</v>
          </cell>
          <cell r="P5">
            <v>145</v>
          </cell>
          <cell r="Q5">
            <v>85</v>
          </cell>
          <cell r="R5" t="str">
            <v>Prestación de servicios profesionales en la Oficina Asesora de Comunicaciones en la pre produccion, produccion y post producción de contenidos audivisuales (Audio y Video), realización fotográfica y demás necesidades de caracter visual para multiples plataformas, conforme al plan estratégico de la Caja de la Vivienda Popular.</v>
          </cell>
          <cell r="S5">
            <v>57922050</v>
          </cell>
          <cell r="T5">
            <v>0</v>
          </cell>
          <cell r="U5">
            <v>0</v>
          </cell>
          <cell r="V5">
            <v>57922050</v>
          </cell>
          <cell r="W5">
            <v>37607360</v>
          </cell>
          <cell r="X5">
            <v>20314690</v>
          </cell>
        </row>
        <row r="6">
          <cell r="N6">
            <v>43118</v>
          </cell>
          <cell r="O6" t="str">
            <v>ROBERT  URREGO RAMOS</v>
          </cell>
          <cell r="P6">
            <v>145</v>
          </cell>
          <cell r="Q6">
            <v>187</v>
          </cell>
          <cell r="R6" t="str">
            <v>Prestación de servicios profesionales en la Oficina Asesora de Comunicaciones en la planeación, creación y presentación de contenidos institucionales para los canales de comunicación interna, conforme al plan estratégico de comunicaciones de la Caja de la Vivienda Popular, cumpliendo con los parámetros de Ley 1712 de 2014 y el manual de imagen de "Bogotá mejor para todos"</v>
          </cell>
          <cell r="S6">
            <v>46968000</v>
          </cell>
          <cell r="T6">
            <v>0</v>
          </cell>
          <cell r="U6">
            <v>0</v>
          </cell>
          <cell r="V6">
            <v>46968000</v>
          </cell>
          <cell r="W6">
            <v>30488000</v>
          </cell>
          <cell r="X6">
            <v>16480000</v>
          </cell>
        </row>
        <row r="7">
          <cell r="N7">
            <v>43116</v>
          </cell>
          <cell r="O7" t="str">
            <v>JULIO ANDRES CENDALES MORA</v>
          </cell>
          <cell r="P7">
            <v>145</v>
          </cell>
          <cell r="Q7">
            <v>90</v>
          </cell>
          <cell r="R7" t="str">
            <v>Prestación de servicios profesionales para la elaboración de Diseño Gráfico,  visualizaciones urbanísticas y arquitectónicas en video (Render), y demás requeridas para la promoción de los proyectos de la Caja de la Vivienda Popular, con el fin de documentar la Estrategia de comunicaciones, bajo la guía de imagen distrital.</v>
          </cell>
          <cell r="S7">
            <v>57922050</v>
          </cell>
          <cell r="T7">
            <v>0</v>
          </cell>
          <cell r="U7">
            <v>0</v>
          </cell>
          <cell r="V7">
            <v>57922050</v>
          </cell>
          <cell r="W7">
            <v>37607360</v>
          </cell>
          <cell r="X7">
            <v>20314690</v>
          </cell>
        </row>
        <row r="8">
          <cell r="N8">
            <v>43118</v>
          </cell>
          <cell r="O8" t="str">
            <v>JOHANA PATRICIA REYES MARCIALES</v>
          </cell>
          <cell r="P8">
            <v>145</v>
          </cell>
          <cell r="Q8">
            <v>198</v>
          </cell>
          <cell r="R8" t="str">
            <v>Prestación de servicios profesionales en la Oficina Asesora de Comunicaciones de la Caja de la Vivienda Popular en el seguimiento y puesta en marcha de las estrategias que permitan el cumplimiento de la Ley 1712 de 2014, conforme a los planes de acción y bajo los principios de  divulgación proactiva y rendición de cuentas permanente</v>
          </cell>
          <cell r="S8">
            <v>71070000</v>
          </cell>
          <cell r="T8">
            <v>0</v>
          </cell>
          <cell r="U8">
            <v>0</v>
          </cell>
          <cell r="V8">
            <v>71070000</v>
          </cell>
          <cell r="W8">
            <v>45732000</v>
          </cell>
          <cell r="X8">
            <v>25338000</v>
          </cell>
        </row>
        <row r="9">
          <cell r="N9">
            <v>43116</v>
          </cell>
          <cell r="O9" t="str">
            <v>JUAN PABLO BOTERO ARAGON</v>
          </cell>
          <cell r="P9">
            <v>145</v>
          </cell>
          <cell r="Q9">
            <v>86</v>
          </cell>
          <cell r="R9" t="str">
            <v>Prestación de servicios profesionales en la Oficina Asesora de Comunicaciones para la  creación  de contenidos de divulgación en medios digitales sobre la gestión de la Caja de la Vivienda Popular, garantizando la  efectividad en los canales de información, redes sociales y otros mecanismos de interacción con la ciudadanía.</v>
          </cell>
          <cell r="S9">
            <v>57922050</v>
          </cell>
          <cell r="T9">
            <v>0</v>
          </cell>
          <cell r="U9">
            <v>0</v>
          </cell>
          <cell r="V9">
            <v>57922050</v>
          </cell>
          <cell r="W9">
            <v>37607360</v>
          </cell>
          <cell r="X9">
            <v>20314690</v>
          </cell>
        </row>
        <row r="10">
          <cell r="N10">
            <v>43126</v>
          </cell>
          <cell r="O10" t="str">
            <v>EDNA MARGARITA GONZALEZ ARANA</v>
          </cell>
          <cell r="P10">
            <v>145</v>
          </cell>
          <cell r="Q10">
            <v>387</v>
          </cell>
          <cell r="R10" t="str">
            <v>Prestación de servicios profesionales para el apoyo de  la estrategia de comunicación externa, relaciones públicas y gestión de medios - Free Press de la Caja de la Vivienda Popular, garantizando la efectividad en medios masivos locales, regionales y nacionales.</v>
          </cell>
          <cell r="S10">
            <v>135960000</v>
          </cell>
          <cell r="T10">
            <v>0</v>
          </cell>
          <cell r="U10">
            <v>0</v>
          </cell>
          <cell r="V10">
            <v>135960000</v>
          </cell>
          <cell r="W10">
            <v>88580000</v>
          </cell>
          <cell r="X10">
            <v>47380000</v>
          </cell>
        </row>
        <row r="11">
          <cell r="N11">
            <v>43116</v>
          </cell>
          <cell r="O11" t="str">
            <v>IVAN RODRIGO ROJAS ARBOLEDA</v>
          </cell>
          <cell r="P11">
            <v>145</v>
          </cell>
          <cell r="Q11">
            <v>68</v>
          </cell>
          <cell r="R11" t="str">
            <v>Prestación de servicios profesionales en la Oficina Asesora de Comunicaciones en la estructuración y seguimiento de las relaciones institucionales, conforme al Decreto 190 de 2010, Decreto 006 de 2009 y Decreto 197 de 2014,  garantizando el fortalecimiento de la entidad con los diversos grupos de interés.</v>
          </cell>
          <cell r="S11">
            <v>82915000</v>
          </cell>
          <cell r="T11">
            <v>0</v>
          </cell>
          <cell r="U11">
            <v>0</v>
          </cell>
          <cell r="V11">
            <v>82915000</v>
          </cell>
          <cell r="W11">
            <v>50229666</v>
          </cell>
          <cell r="X11">
            <v>32685334</v>
          </cell>
        </row>
        <row r="12">
          <cell r="N12">
            <v>43117</v>
          </cell>
          <cell r="O12" t="str">
            <v>DIEGO ALEJANDRO RINCON PEREZ</v>
          </cell>
          <cell r="P12">
            <v>145</v>
          </cell>
          <cell r="Q12">
            <v>104</v>
          </cell>
          <cell r="R12" t="str">
            <v>Prestación de servicios profesionales para apoyar el fortalecimiento de las plataformas tecnológicas de administración web e intranet de la Caja de la Vivienda Popular, en el desarrollo de componentes que permitan crear soluciones con nuevas funcionalidades, cumpliendo con los estándares establecidos por Gobierno en Línea y la ley 1712 de 2014.</v>
          </cell>
          <cell r="S12">
            <v>39088500</v>
          </cell>
          <cell r="T12">
            <v>0</v>
          </cell>
          <cell r="U12">
            <v>0</v>
          </cell>
          <cell r="V12">
            <v>39088500</v>
          </cell>
          <cell r="W12">
            <v>25379200</v>
          </cell>
          <cell r="X12">
            <v>13709300</v>
          </cell>
        </row>
        <row r="13">
          <cell r="N13">
            <v>43116</v>
          </cell>
          <cell r="O13" t="str">
            <v>ALVARO  DAVILA REMOLINA</v>
          </cell>
          <cell r="P13">
            <v>148</v>
          </cell>
          <cell r="Q13">
            <v>51</v>
          </cell>
          <cell r="R13" t="str">
            <v>Prestación de servicios de apoyo a la gestión, en la atención al servicio al ciudadano, teniendo en cuenta los protocolos, procedimientos y lineamientos establecidos por la CVP.</v>
          </cell>
          <cell r="S13">
            <v>34942750</v>
          </cell>
          <cell r="T13">
            <v>0</v>
          </cell>
          <cell r="U13">
            <v>0</v>
          </cell>
          <cell r="V13">
            <v>34942750</v>
          </cell>
          <cell r="W13">
            <v>22687467</v>
          </cell>
          <cell r="X13">
            <v>12255283</v>
          </cell>
        </row>
        <row r="14">
          <cell r="N14">
            <v>43299</v>
          </cell>
          <cell r="O14" t="str">
            <v>JOHNNY ALEXANDER RADA ESTEBAN</v>
          </cell>
          <cell r="P14">
            <v>145</v>
          </cell>
          <cell r="Q14">
            <v>446</v>
          </cell>
          <cell r="R14" t="str">
            <v>PRESTAR LOS SERVICIOS PROFESIONALES A LA OFICINA ASESORA DE COMUNICACIONES COMO APOYO EN LA CONCEPTUALIZACIÓN Y DESARROLLO DE CAMPAÑAS DE COMUNICACIÓN CONFORME AL PLAN ESTRATÉGICO DE COMUNICACIONES DE LA ENTIDAD.</v>
          </cell>
          <cell r="S14">
            <v>24926000</v>
          </cell>
          <cell r="T14">
            <v>0</v>
          </cell>
          <cell r="U14">
            <v>0</v>
          </cell>
          <cell r="V14">
            <v>24926000</v>
          </cell>
          <cell r="W14">
            <v>6344800</v>
          </cell>
          <cell r="X14">
            <v>18581200</v>
          </cell>
        </row>
        <row r="15">
          <cell r="N15">
            <v>43329</v>
          </cell>
          <cell r="O15" t="str">
            <v>MORENO FLOREZ MARIA ANDREA</v>
          </cell>
          <cell r="P15">
            <v>145</v>
          </cell>
          <cell r="Q15">
            <v>507</v>
          </cell>
          <cell r="R15" t="str">
            <v>Contratar los servicios profesionales para apoyar en el diseño e implementación de estrategias de comunicación de la gestión de la caja de vivienda popular, garantizando el efectivo manejo de información destinada a los medios masivos de comunicación y distintos públicos de interés de la entidad.</v>
          </cell>
          <cell r="S15">
            <v>32445000</v>
          </cell>
          <cell r="T15">
            <v>0</v>
          </cell>
          <cell r="U15">
            <v>0</v>
          </cell>
          <cell r="V15">
            <v>32445000</v>
          </cell>
          <cell r="W15">
            <v>2403330</v>
          </cell>
          <cell r="X15">
            <v>30041670</v>
          </cell>
        </row>
        <row r="18">
          <cell r="S18">
            <v>642081400</v>
          </cell>
          <cell r="T18">
            <v>0</v>
          </cell>
          <cell r="U18">
            <v>0</v>
          </cell>
          <cell r="V18">
            <v>642081400</v>
          </cell>
          <cell r="W18">
            <v>384666543</v>
          </cell>
          <cell r="X18">
            <v>257414857</v>
          </cell>
        </row>
      </sheetData>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P a 31 Agosto de 2018"/>
    </sheetNames>
    <sheetDataSet>
      <sheetData sheetId="0" refreshError="1">
        <row r="8">
          <cell r="J8" t="str">
            <v>No_RP</v>
          </cell>
          <cell r="K8" t="str">
            <v>Fech_Registro</v>
          </cell>
          <cell r="L8" t="str">
            <v>Beneficiario</v>
          </cell>
          <cell r="M8" t="str">
            <v>Tip_Compromiso</v>
          </cell>
          <cell r="N8" t="str">
            <v>Desc_Compro</v>
          </cell>
          <cell r="O8" t="str">
            <v>No_Compromiso</v>
          </cell>
          <cell r="P8" t="str">
            <v>Fecha_Inicial</v>
          </cell>
          <cell r="Q8" t="str">
            <v>Objeto</v>
          </cell>
          <cell r="R8" t="str">
            <v>Valor</v>
          </cell>
          <cell r="S8" t="str">
            <v>Anulaciones</v>
          </cell>
          <cell r="T8" t="str">
            <v>Ajustes</v>
          </cell>
          <cell r="U8" t="str">
            <v>Valor_Neto</v>
          </cell>
          <cell r="V8" t="str">
            <v>Giros</v>
          </cell>
        </row>
        <row r="9">
          <cell r="J9">
            <v>1738</v>
          </cell>
          <cell r="K9">
            <v>43199</v>
          </cell>
          <cell r="L9" t="str">
            <v>UNION TEMPORAL SS 2017</v>
          </cell>
          <cell r="M9">
            <v>12</v>
          </cell>
          <cell r="N9" t="str">
            <v>CONTRATO DE PRESTACION DE SERVICIOS</v>
          </cell>
          <cell r="O9">
            <v>423</v>
          </cell>
          <cell r="P9">
            <v>43199</v>
          </cell>
          <cell r="Q9" t="str">
            <v>ADICIÓN Y PRORROGA AL CONTRATO 423 DE 2017 CUYO OBJETO ES "PRESTAR EL SERVICIO DE VIGILANCIA, GUARDA, CUSTODIA Y SEGURIDAD PRIVADA CON ARMAS Y/ O SIN ARMAS; MEDIOS TECNOLÓGICOS Y CONTROL DE ACCESO PARA LOS/AS USUARIOS/AS, FUNCIONARIOS/AS Y PERSONAS EN GENERAL MEDIANTE EL ESTABLECIMIENTO DE CONTROLES DE INGRESO Y SALIDA DE LAS INSTALACIONES DE LA ENTIDAD Y PARA LOS BIENES MUEBLES E INMUEBLES EN LOS CUALES SE DESARROLLE LA MISIONALIDAD DE LA CAJA DE LA VIVIENDA POPULAR  Y DE TODOS AQUELLOS POR LOS CUALES LLEGASE A SER LEGALMENTE RESPONSABLE.</v>
          </cell>
          <cell r="R9">
            <v>95729495</v>
          </cell>
          <cell r="S9">
            <v>95729495</v>
          </cell>
          <cell r="T9">
            <v>0</v>
          </cell>
          <cell r="U9">
            <v>0</v>
          </cell>
          <cell r="V9">
            <v>0</v>
          </cell>
        </row>
        <row r="10">
          <cell r="J10">
            <v>1739</v>
          </cell>
          <cell r="K10">
            <v>43199</v>
          </cell>
          <cell r="L10" t="str">
            <v>UNION TEMPORAL SS 2017</v>
          </cell>
          <cell r="M10">
            <v>12</v>
          </cell>
          <cell r="N10" t="str">
            <v>CONTRATO DE PRESTACION DE SERVICIOS</v>
          </cell>
          <cell r="O10">
            <v>423</v>
          </cell>
          <cell r="P10">
            <v>43199</v>
          </cell>
          <cell r="Q10" t="str">
            <v>ADICIÓN Y PRORROGA AL CONTRATO 423 DE 2017 CUYO OBJETO ES "PRESTAR EL SERVICIO DE VIGILANCIA, GUARDA, CUSTODIA Y SEGURIDAD PRIVADA CON ARMAS Y/ O SIN ARMAS; MEDIOS TECNOLÓGICOS Y CONTROL DE ACCESO PARA LOS/AS USUARIOS/AS, FUNCIONARIOS/AS Y PERSONAS EN GENERAL MEDIANTE EL ESTABLECIMIENTO DE CONTROLES DE INGRESO Y SALIDA DE LAS INSTALACIONES DE LA ENTIDAD Y PARA LOS BIENES MUEBLES E INMUEBLES EN LOS CUALES SE DESARROLLE LA MISIONALIDAD DE LA CAJA DE LA VIVIENDA POPULAR  Y DE TODOS AQUELLOS POR LOS CUALES LLEGASE A SER LEGALMENTE RESPONSABLE.</v>
          </cell>
          <cell r="R10">
            <v>95729459</v>
          </cell>
          <cell r="S10">
            <v>0</v>
          </cell>
          <cell r="T10">
            <v>0</v>
          </cell>
          <cell r="U10">
            <v>95729459</v>
          </cell>
          <cell r="V10">
            <v>95729459</v>
          </cell>
        </row>
        <row r="11">
          <cell r="J11">
            <v>2739</v>
          </cell>
          <cell r="K11">
            <v>43336</v>
          </cell>
          <cell r="L11" t="str">
            <v>CUIDAR LIMITADA</v>
          </cell>
          <cell r="M11">
            <v>12</v>
          </cell>
          <cell r="N11" t="str">
            <v>CONTRATO DE PRESTACION DE SERVICIOS</v>
          </cell>
          <cell r="O11">
            <v>537</v>
          </cell>
          <cell r="P11">
            <v>43336</v>
          </cell>
          <cell r="Q11" t="str">
            <v>PRESTACIÓN DEL SERVICIO DE VIGILANCIA, GUARDA, CUSTODIA Y SEGURIDAD PRIVADA CON ARMAS Y/ O SIN ARMAS; MEDIOS TECNOLÓGICOS Y CONTROL DE ACCESO PARA LOS/AS USUARIOS/AS, FUNCIONARIOS/AS Y PERSONAS EN GENERAL MEDIANTE EL ESTABLECIMIENTO DE CONTROLES DE INGRESO Y SALIDA DE LAS INSTALACIONES DE LA ENTIDAD, Y PARA LOS BIENES MUEBLES E INMUEBLES EN LOS CUALES SE DESARROLLE LA MISIONALIDAD DE LA CAJA DE LA VIVIENDA POPULAR  Y DE TODOS AQUELLOS POR LOS CUALES LLEGASE A SER LEGALMENTE RESPONSABLE.</v>
          </cell>
          <cell r="R11">
            <v>255579128</v>
          </cell>
          <cell r="S11">
            <v>0</v>
          </cell>
          <cell r="T11">
            <v>0</v>
          </cell>
          <cell r="U11">
            <v>255579128</v>
          </cell>
          <cell r="V11">
            <v>0</v>
          </cell>
        </row>
        <row r="12">
          <cell r="J12">
            <v>1281</v>
          </cell>
          <cell r="K12">
            <v>43144</v>
          </cell>
          <cell r="L12" t="str">
            <v>UNION TEMPORAL INTERVENCION VIAL CIV</v>
          </cell>
          <cell r="M12">
            <v>14</v>
          </cell>
          <cell r="N12" t="str">
            <v>CONTRATO DE OBRA</v>
          </cell>
          <cell r="O12">
            <v>597</v>
          </cell>
          <cell r="P12">
            <v>43144</v>
          </cell>
          <cell r="Q12" t="str">
            <v>Adición al contrato de obra número 597 de 2016 cuyo objeto es "Elaborar los estudios, diseños y la construcción de los códigos de identificación vial - CIV priorizados, ubicados en el sector de Caracolí en la localidad de Ciudad Bolívar y en el sector de Compostela en la localidad de Usme en Bogotá D.C.</v>
          </cell>
          <cell r="R12">
            <v>19967239</v>
          </cell>
          <cell r="S12">
            <v>0</v>
          </cell>
          <cell r="T12">
            <v>0</v>
          </cell>
          <cell r="U12">
            <v>19967239</v>
          </cell>
          <cell r="V12">
            <v>0</v>
          </cell>
        </row>
        <row r="13">
          <cell r="J13">
            <v>1547</v>
          </cell>
          <cell r="K13">
            <v>43168</v>
          </cell>
          <cell r="L13" t="str">
            <v>CONSTRUSOCIAL  S A S</v>
          </cell>
          <cell r="M13">
            <v>14</v>
          </cell>
          <cell r="N13" t="str">
            <v>CONTRATO DE OBRA</v>
          </cell>
          <cell r="O13">
            <v>584</v>
          </cell>
          <cell r="P13">
            <v>43168</v>
          </cell>
          <cell r="Q13" t="str">
            <v>Adición al contrato de obra número 584 de 2016 cuyo objeto es "REALIZAR LA REVISIÓN, AJUSTE, ACTUALIZACIÓN, COMPLEMENTACIÓN Y APROPIACIÓN DE LOS ESTUDIOS Y DISEÑOS, Y LA CONSTRUCCIÓN DE LOS CÓDIGOS DE IDENTIFICACIÓN VIAL - CIV PRIORIZADOS, UBICADOS EN LA LOCALIDAD DE SAN CRISTÓBAL EN LA CIUDAD DE BOGOTÁ D.C."</v>
          </cell>
          <cell r="R13">
            <v>331596631</v>
          </cell>
          <cell r="S13">
            <v>0</v>
          </cell>
          <cell r="T13">
            <v>0</v>
          </cell>
          <cell r="U13">
            <v>331596631</v>
          </cell>
          <cell r="V13">
            <v>303409338</v>
          </cell>
        </row>
        <row r="14">
          <cell r="J14">
            <v>2625</v>
          </cell>
          <cell r="K14">
            <v>43325</v>
          </cell>
          <cell r="L14" t="str">
            <v>CONSORCIO  VIAL  BOGOTA</v>
          </cell>
          <cell r="M14">
            <v>14</v>
          </cell>
          <cell r="N14" t="str">
            <v>CONTRATO DE OBRA</v>
          </cell>
          <cell r="O14">
            <v>700</v>
          </cell>
          <cell r="P14">
            <v>43325</v>
          </cell>
          <cell r="Q14" t="str">
            <v>ADICIÓN Y PRORROGA AL CONTRATO 700 DE 2017 CON OBJETO "EJECUTAR LAS OBRAS DE INTERVENCIÓN FÍSICA A ESCALA BARRIAL CONSISTENTES EN LA CONSTRUCCIÓN DE LOS TRAMOS VIALES (CÓDIGOS DE IDENTIFICACIÓN VIAL ¿ CIV), UBICADOS EN LA CIUDAD DE BOGOTÁ D.C., DE CONFORMIDAD CON LOS PLIEGOS DE CONDICIONES, ANEXO TÉCNICO Y DEMÁS DOCUMENTOS DEL PROCESO.</v>
          </cell>
          <cell r="R14">
            <v>140048757</v>
          </cell>
          <cell r="S14">
            <v>0</v>
          </cell>
          <cell r="T14">
            <v>0</v>
          </cell>
          <cell r="U14">
            <v>140048757</v>
          </cell>
          <cell r="V14">
            <v>0</v>
          </cell>
        </row>
        <row r="15">
          <cell r="J15">
            <v>2626</v>
          </cell>
          <cell r="K15">
            <v>43325</v>
          </cell>
          <cell r="L15" t="str">
            <v>BELISARIO ALFREDO DE LEON NARVAEZ</v>
          </cell>
          <cell r="M15">
            <v>14</v>
          </cell>
          <cell r="N15" t="str">
            <v>CONTRATO DE OBRA</v>
          </cell>
          <cell r="O15">
            <v>690</v>
          </cell>
          <cell r="P15">
            <v>43325</v>
          </cell>
          <cell r="Q15" t="str">
            <v>ADICIÓN Y PRORROGA AL CONTRATO 690 DE 2017 CON OBJETO "EJECUTAR LAS OBRAS DE INTERVENCIÓN FÍSICA A ESCALA BARRIAL CONSISTENTES EN LA CONSTRUCCIÓN DE LOS TRAMOS VIALES (CÓDIGOS DE IDENTIFICACIÓN VIAL ¿ CIV), UBICADOS EN LA CIUDAD DE BOGOTÁ D.C., DE CONFORMIDAD CON LOS PLIEGOS DE CONDICIONES, ANEXO TÉCNICO Y DEMÁS DOCUMENTOS DEL PROCESO.</v>
          </cell>
          <cell r="R15">
            <v>108476445</v>
          </cell>
          <cell r="S15">
            <v>0</v>
          </cell>
          <cell r="T15">
            <v>0</v>
          </cell>
          <cell r="U15">
            <v>108476445</v>
          </cell>
          <cell r="V15">
            <v>0</v>
          </cell>
        </row>
        <row r="16">
          <cell r="J16">
            <v>1475</v>
          </cell>
          <cell r="K16">
            <v>43159</v>
          </cell>
          <cell r="L16" t="str">
            <v>AXA COLPATRIA SEGUROS SA</v>
          </cell>
          <cell r="M16">
            <v>53</v>
          </cell>
          <cell r="N16" t="str">
            <v>CONTRATO DE SEGUROS</v>
          </cell>
          <cell r="O16">
            <v>434</v>
          </cell>
          <cell r="P16">
            <v>43159</v>
          </cell>
          <cell r="Q16" t="str">
            <v>ADICIONAR EL CONTRATO 434 DE 2017 CUYO OBJETO ES "CONTRATAR LOS SEGUROS QUE AMPAREN LOS INTERESES PATRIMONIALES ACTUALES Y FUTUROS ASÍ COMO LOS BIENES DE PROPIEDAD DE LA CAJA DE LA VIVIENDA POPULAR, QUE ESTEN BAJO SU RESPONSABILIDAD Y CUSTODIA Y AQUELLOS QUE SEAN ADQUIRIDOS PARA DESARROLLAR LAS FUNCIONES INHERENTES A SU ACTIVIDAD Y CUALQUIER OTRA PÓLIZA QUE REQUIERA LA ENTIDAD EN EL DESARROLLO DE SU ACTIVIDAD.</v>
          </cell>
          <cell r="R16">
            <v>26056087</v>
          </cell>
          <cell r="S16">
            <v>0</v>
          </cell>
          <cell r="T16">
            <v>0</v>
          </cell>
          <cell r="U16">
            <v>26056087</v>
          </cell>
          <cell r="V16">
            <v>0</v>
          </cell>
        </row>
        <row r="17">
          <cell r="J17">
            <v>1910</v>
          </cell>
          <cell r="K17">
            <v>43235</v>
          </cell>
          <cell r="L17" t="str">
            <v>AXA COLPATRIA SEGUROS SA</v>
          </cell>
          <cell r="M17">
            <v>53</v>
          </cell>
          <cell r="N17" t="str">
            <v>CONTRATO DE SEGUROS</v>
          </cell>
          <cell r="O17">
            <v>434</v>
          </cell>
          <cell r="P17">
            <v>43235</v>
          </cell>
          <cell r="Q17" t="str">
            <v>Adicionar el contrato 434 de 2017 cuyo objeto es " Contratar los seguros que amparen los intereses patrimoniales actuales y futuros, así como los bienes de propiedad de la Caja de la Vivienda Popular, que estén bajo su responsabilidad y custodia y aquellos que sean adquiridos para desarrollar las funciones inherentes a su actividad y cualquier otra póliza que requiera la entidad en el desarrollo de su actividad.</v>
          </cell>
          <cell r="R17">
            <v>9098844</v>
          </cell>
          <cell r="S17">
            <v>0</v>
          </cell>
          <cell r="T17">
            <v>0</v>
          </cell>
          <cell r="U17">
            <v>9098844</v>
          </cell>
          <cell r="V17">
            <v>0</v>
          </cell>
        </row>
        <row r="18">
          <cell r="J18">
            <v>2501</v>
          </cell>
          <cell r="K18">
            <v>43298</v>
          </cell>
          <cell r="L18" t="str">
            <v>UNION TEMPORAL SS 2017</v>
          </cell>
          <cell r="M18">
            <v>12</v>
          </cell>
          <cell r="N18" t="str">
            <v>CONTRATO DE PRESTACION DE SERVICIOS</v>
          </cell>
          <cell r="O18">
            <v>423</v>
          </cell>
          <cell r="P18">
            <v>43298</v>
          </cell>
          <cell r="Q18" t="str">
            <v>ADICIÓN Y PRÓRROGA AL CONTRATO 423 DE 2017 CUYO OBJETO ES "PRESTAR EL SERVICIO DE VIGILANCIA, GUARDA, CUSTODIA Y SEGURIDAD PRIVADA CON ARMAS Y/ O SIN ARMAS; MEDIOS TECNOLÓGICOS Y CONTROL DE ACCESO PARA LOS/AS USUARIOS/AS, FUNCIONARIOS/AS Y PERSONAS EN GENERAL MEDIANTE EL ESTABLECIMIENTO DE CONTROLES DE INGRESO Y SALIDA DE LAS INSTALACIONES DE LA ENTIDAD Y PARA LOS BIENES MUEBLES E INMUEBLES EN LOS CUALES SE DESARROLLE LA MISIONALIDAD DE LA CAJA DE LA VIVIENDA POPULAR  Y DE TODOS AQUELLOS POR LOS CUALES LLEGASE A SER LEGALMENTE RESPONSABLE.</v>
          </cell>
          <cell r="R18">
            <v>140000000</v>
          </cell>
          <cell r="S18">
            <v>0</v>
          </cell>
          <cell r="T18">
            <v>0</v>
          </cell>
          <cell r="U18">
            <v>140000000</v>
          </cell>
          <cell r="V18">
            <v>55950803</v>
          </cell>
        </row>
        <row r="19">
          <cell r="J19">
            <v>2689</v>
          </cell>
          <cell r="K19">
            <v>43333</v>
          </cell>
          <cell r="L19" t="str">
            <v>MULTIMODAL EXPRESS S.A.S</v>
          </cell>
          <cell r="M19">
            <v>12</v>
          </cell>
          <cell r="N19" t="str">
            <v>CONTRATO DE PRESTACION DE SERVICIOS</v>
          </cell>
          <cell r="O19">
            <v>506</v>
          </cell>
          <cell r="P19">
            <v>43333</v>
          </cell>
          <cell r="Q19" t="str">
            <v>SUMINISTRO DE ALIMENTACIÓN Y CATERING REQUERIDOS PARA LAS ACTIVIDADES PROGRAMADAS A NIVEL INTERNO Y EXTERNO PARA EL DESARROLLO DE LAS FUNCIONES DE LA CAJA DE LA VIVIENDA POPULAR.</v>
          </cell>
          <cell r="R19">
            <v>296000000</v>
          </cell>
          <cell r="S19">
            <v>0</v>
          </cell>
          <cell r="T19">
            <v>0</v>
          </cell>
          <cell r="U19">
            <v>296000000</v>
          </cell>
          <cell r="V19">
            <v>0</v>
          </cell>
        </row>
        <row r="20">
          <cell r="J20">
            <v>2740</v>
          </cell>
          <cell r="K20">
            <v>43336</v>
          </cell>
          <cell r="L20" t="str">
            <v>CUIDAR LIMITADA</v>
          </cell>
          <cell r="M20">
            <v>12</v>
          </cell>
          <cell r="N20" t="str">
            <v>CONTRATO DE PRESTACION DE SERVICIOS</v>
          </cell>
          <cell r="O20">
            <v>537</v>
          </cell>
          <cell r="P20">
            <v>43336</v>
          </cell>
          <cell r="Q20" t="str">
            <v>Prestación del servicio de vigilancia, guarda, custodia y seguridad privada con armas y/ o sin armas; medios tecnológicos y control de acceso para los/as usuarios/as, funcionarios/as y personas en general mediante el establecimiento de controles de ingreso y salida de las instalaciones de la entidad, y para los bienes muebles e inmuebles en los cuales se desarrolle la misionalidad de la caja de la vivienda popular  y de todos aquellos por los cuales llegase a ser legalmente responsable.</v>
          </cell>
          <cell r="R20">
            <v>518671160</v>
          </cell>
          <cell r="S20">
            <v>0</v>
          </cell>
          <cell r="T20">
            <v>0</v>
          </cell>
          <cell r="U20">
            <v>518671160</v>
          </cell>
          <cell r="V20">
            <v>0</v>
          </cell>
        </row>
        <row r="21">
          <cell r="J21">
            <v>1613</v>
          </cell>
          <cell r="K21">
            <v>43181</v>
          </cell>
          <cell r="L21" t="str">
            <v>REDEX S A S</v>
          </cell>
          <cell r="M21">
            <v>12</v>
          </cell>
          <cell r="N21" t="str">
            <v>CONTRATO DE PRESTACION DE SERVICIOS</v>
          </cell>
          <cell r="O21">
            <v>419</v>
          </cell>
          <cell r="P21">
            <v>43181</v>
          </cell>
          <cell r="Q21" t="str">
            <v>Adición y prórroga al contrato 419 de 2017 cuyo objeto es "Prestar el servicio de mensajería expresa y motorizada para la recolección, transporte y entrega de la correspondencia de la Caja de la Vivienda Popular."</v>
          </cell>
          <cell r="R21">
            <v>22000000</v>
          </cell>
          <cell r="S21">
            <v>0</v>
          </cell>
          <cell r="T21">
            <v>0</v>
          </cell>
          <cell r="U21">
            <v>22000000</v>
          </cell>
          <cell r="V21">
            <v>22000000</v>
          </cell>
        </row>
        <row r="22">
          <cell r="J22">
            <v>2488</v>
          </cell>
          <cell r="K22">
            <v>43294</v>
          </cell>
          <cell r="L22" t="str">
            <v>WILVER FRANCINY RUSSY LADINO</v>
          </cell>
          <cell r="M22">
            <v>14</v>
          </cell>
          <cell r="N22" t="str">
            <v>CONTRATO DE OBRA</v>
          </cell>
          <cell r="O22">
            <v>694</v>
          </cell>
          <cell r="P22">
            <v>43294</v>
          </cell>
          <cell r="Q22" t="str">
            <v>La adición No. 1 al contrato No. 694 de 2017, cuyo objeto es: "Reparaciones locativas de acabados y líneas vitales que se requieran en las unidades de vivienda y zonas comunes de los proyectos de vivienda de in terés prioritario VIP de Bosa El Porvenir, Arborizadora Baja (MZ65) y Candelaria La Nuea (MZ67)</v>
          </cell>
          <cell r="R22">
            <v>24457140</v>
          </cell>
          <cell r="S22">
            <v>0</v>
          </cell>
          <cell r="T22">
            <v>0</v>
          </cell>
          <cell r="U22">
            <v>24457140</v>
          </cell>
          <cell r="V22">
            <v>0</v>
          </cell>
        </row>
        <row r="23">
          <cell r="J23">
            <v>1961</v>
          </cell>
          <cell r="K23">
            <v>43251</v>
          </cell>
          <cell r="L23" t="str">
            <v>REDEX S A S</v>
          </cell>
          <cell r="M23">
            <v>12</v>
          </cell>
          <cell r="N23" t="str">
            <v>CONTRATO DE PRESTACION DE SERVICIOS</v>
          </cell>
          <cell r="O23">
            <v>419</v>
          </cell>
          <cell r="P23">
            <v>43251</v>
          </cell>
          <cell r="Q23" t="str">
            <v>Adición y prorroga al contrato 419 de 2017 cuyo objeto es "Prestar el servicio de mensajería expresa y motorizada para la recolección, transporte y entrega de la correspondencia de la Caja de la Vivienda Popular."</v>
          </cell>
          <cell r="R23">
            <v>3000000</v>
          </cell>
          <cell r="S23">
            <v>0</v>
          </cell>
          <cell r="T23">
            <v>0</v>
          </cell>
          <cell r="U23">
            <v>3000000</v>
          </cell>
          <cell r="V23">
            <v>2746391</v>
          </cell>
        </row>
        <row r="24">
          <cell r="J24">
            <v>2555</v>
          </cell>
          <cell r="K24">
            <v>43313</v>
          </cell>
          <cell r="L24" t="str">
            <v>T &amp; G MINOLTA LIMITADA</v>
          </cell>
          <cell r="M24">
            <v>12</v>
          </cell>
          <cell r="N24" t="str">
            <v>CONTRATO DE PRESTACION DE SERVICIOS</v>
          </cell>
          <cell r="O24">
            <v>468</v>
          </cell>
          <cell r="P24">
            <v>43313</v>
          </cell>
          <cell r="Q24" t="str">
            <v>Prestación de servicio integral de fotocopiado, anillado y fotoplanos que requiera la Caja de la Vivienda Popular, de acuerdo con las especificaciones técnicas.</v>
          </cell>
          <cell r="R24">
            <v>3100000</v>
          </cell>
          <cell r="S24">
            <v>0</v>
          </cell>
          <cell r="T24">
            <v>0</v>
          </cell>
          <cell r="U24">
            <v>3100000</v>
          </cell>
          <cell r="V24">
            <v>0</v>
          </cell>
        </row>
        <row r="25">
          <cell r="J25">
            <v>527</v>
          </cell>
          <cell r="K25">
            <v>43132</v>
          </cell>
          <cell r="L25" t="str">
            <v>EXPRESOS Y SERVICIOS SOCIEDAD POR ACCIONES SIMPLIFICADA</v>
          </cell>
          <cell r="M25">
            <v>12</v>
          </cell>
          <cell r="N25" t="str">
            <v>CONTRATO DE PRESTACION DE SERVICIOS</v>
          </cell>
          <cell r="O25">
            <v>659</v>
          </cell>
          <cell r="P25">
            <v>43132</v>
          </cell>
          <cell r="Q25" t="str">
            <v>Adición al contrato 659 de 2017 cuyo objeto es "Contratar el servicio de transporte terrestre automotor especial en la modalidad de buses, busetas y vans para la caja de la vivienda popular.</v>
          </cell>
          <cell r="R25">
            <v>25000000</v>
          </cell>
          <cell r="S25">
            <v>0</v>
          </cell>
          <cell r="T25">
            <v>0</v>
          </cell>
          <cell r="U25">
            <v>25000000</v>
          </cell>
          <cell r="V25">
            <v>24912380</v>
          </cell>
        </row>
        <row r="26">
          <cell r="J26">
            <v>1667</v>
          </cell>
          <cell r="K26">
            <v>43194</v>
          </cell>
          <cell r="L26" t="str">
            <v>T &amp; G MINOLTA LIMITADA</v>
          </cell>
          <cell r="M26">
            <v>12</v>
          </cell>
          <cell r="N26" t="str">
            <v>CONTRATO DE PRESTACION DE SERVICIOS</v>
          </cell>
          <cell r="O26">
            <v>421</v>
          </cell>
          <cell r="P26">
            <v>43194</v>
          </cell>
          <cell r="Q26" t="str">
            <v>Adición y prórroga al contrato 421 de 2017 cuyo objeto es "Contratar la prestación del servicio integral de fotocopiado, encuadernación y fotoplanos que requiera la Caja de la Vivienda Popular de acuerdo con las especificaciones técnicas".</v>
          </cell>
          <cell r="R26">
            <v>35000000</v>
          </cell>
          <cell r="S26">
            <v>0</v>
          </cell>
          <cell r="T26">
            <v>0</v>
          </cell>
          <cell r="U26">
            <v>35000000</v>
          </cell>
          <cell r="V26">
            <v>35000000</v>
          </cell>
        </row>
        <row r="27">
          <cell r="J27">
            <v>1962</v>
          </cell>
          <cell r="K27">
            <v>43252</v>
          </cell>
          <cell r="L27" t="str">
            <v>T &amp; G MINOLTA LIMITADA</v>
          </cell>
          <cell r="M27">
            <v>12</v>
          </cell>
          <cell r="N27" t="str">
            <v>CONTRATO DE PRESTACION DE SERVICIOS</v>
          </cell>
          <cell r="O27">
            <v>421</v>
          </cell>
          <cell r="P27">
            <v>43252</v>
          </cell>
          <cell r="Q27" t="str">
            <v>ADICIÓN Y PRORROGA AL CONTRATO 421 DE 2017 CUYO OBJETO ES: CONTRATAR LA PRESTACIÓN DEL SERVICIO INTEGRAL DE FOTOCOPIADO, ENCUADERNACIÓN Y FOTOPLANOS QUE REQUIERA LA CAJA DE LA VIVIENDA POPULAR DE ACUERDO CON LAS ESPECIFICACIONES TÉCNICAS.</v>
          </cell>
          <cell r="R27">
            <v>26500000</v>
          </cell>
          <cell r="S27">
            <v>0</v>
          </cell>
          <cell r="T27">
            <v>0</v>
          </cell>
          <cell r="U27">
            <v>26500000</v>
          </cell>
          <cell r="V27">
            <v>25546927</v>
          </cell>
        </row>
        <row r="28">
          <cell r="J28">
            <v>2554</v>
          </cell>
          <cell r="K28">
            <v>43313</v>
          </cell>
          <cell r="L28" t="str">
            <v>T &amp; G MINOLTA LIMITADA</v>
          </cell>
          <cell r="M28">
            <v>12</v>
          </cell>
          <cell r="N28" t="str">
            <v>CONTRATO DE PRESTACION DE SERVICIOS</v>
          </cell>
          <cell r="O28">
            <v>468</v>
          </cell>
          <cell r="P28">
            <v>43313</v>
          </cell>
          <cell r="Q28" t="str">
            <v>Prestación de servicio integral de fotocopiado, anillado y fotoplanos que requiera la Caja de la Vivienda Popular, de acuerdo con las especificaciones técnicas.</v>
          </cell>
          <cell r="R28">
            <v>114537306</v>
          </cell>
          <cell r="S28">
            <v>0</v>
          </cell>
          <cell r="T28">
            <v>0</v>
          </cell>
          <cell r="U28">
            <v>114537306</v>
          </cell>
          <cell r="V28">
            <v>0</v>
          </cell>
        </row>
        <row r="29">
          <cell r="J29">
            <v>2671</v>
          </cell>
          <cell r="K29">
            <v>43329</v>
          </cell>
          <cell r="L29" t="str">
            <v>EXPRESOS Y SERVICIOS SOCIEDAD POR ACCIONES SIMPLIFICADA</v>
          </cell>
          <cell r="M29">
            <v>12</v>
          </cell>
          <cell r="N29" t="str">
            <v>CONTRATO DE PRESTACION DE SERVICIOS</v>
          </cell>
          <cell r="O29">
            <v>490</v>
          </cell>
          <cell r="P29">
            <v>43329</v>
          </cell>
          <cell r="Q29" t="str">
            <v>Contratar el servicio público de transporte terrestre automotor especial en la modalidad de buses, busetas y vans para la Caja de la Vivienda Popular.</v>
          </cell>
          <cell r="R29">
            <v>60000000</v>
          </cell>
          <cell r="S29">
            <v>0</v>
          </cell>
          <cell r="T29">
            <v>0</v>
          </cell>
          <cell r="U29">
            <v>60000000</v>
          </cell>
          <cell r="V29">
            <v>0</v>
          </cell>
        </row>
        <row r="30">
          <cell r="J30">
            <v>1589</v>
          </cell>
          <cell r="K30">
            <v>43175</v>
          </cell>
          <cell r="L30" t="str">
            <v>SISTEMAS Y DISTRIBUCIONES FORMACON LTDA</v>
          </cell>
          <cell r="M30">
            <v>16</v>
          </cell>
          <cell r="N30" t="str">
            <v>CONTRATO DE COMPRAVENTA</v>
          </cell>
          <cell r="O30">
            <v>587</v>
          </cell>
          <cell r="P30">
            <v>43175</v>
          </cell>
          <cell r="Q30" t="str">
            <v>Adición al contrato 587 de 2017 cuyo objeto es "Suministro de tonner, cintas y demás elementos requeridos para equipos de impresión de la Caja de la Vivienda Popular." tarjetas canjeables.</v>
          </cell>
          <cell r="R30">
            <v>16000000</v>
          </cell>
          <cell r="S30">
            <v>0</v>
          </cell>
          <cell r="T30">
            <v>0</v>
          </cell>
          <cell r="U30">
            <v>16000000</v>
          </cell>
          <cell r="V30">
            <v>15909828</v>
          </cell>
        </row>
        <row r="31">
          <cell r="J31">
            <v>1724</v>
          </cell>
          <cell r="K31">
            <v>43195</v>
          </cell>
          <cell r="L31" t="str">
            <v>WILLIAM ALFONSO LAGUNA VARGAS</v>
          </cell>
          <cell r="M31">
            <v>19</v>
          </cell>
          <cell r="N31" t="str">
            <v>CONTRATO DE SUMINISTRO</v>
          </cell>
          <cell r="O31">
            <v>432</v>
          </cell>
          <cell r="P31">
            <v>43195</v>
          </cell>
          <cell r="Q31" t="str">
            <v>ADQUISICIÓN DE ELEMENTOS DE FERRETERÍA PARA LA CAJA DE LA VIVIENDA POPULAR</v>
          </cell>
          <cell r="R31">
            <v>16479150</v>
          </cell>
          <cell r="S31">
            <v>0</v>
          </cell>
          <cell r="T31">
            <v>0</v>
          </cell>
          <cell r="U31">
            <v>16479150</v>
          </cell>
          <cell r="V31">
            <v>2393983</v>
          </cell>
        </row>
        <row r="32">
          <cell r="J32">
            <v>2506</v>
          </cell>
          <cell r="K32">
            <v>43299</v>
          </cell>
          <cell r="L32" t="str">
            <v>PROTEGER IPS SAS</v>
          </cell>
          <cell r="M32">
            <v>12</v>
          </cell>
          <cell r="N32" t="str">
            <v>CONTRATO DE PRESTACION DE SERVICIOS</v>
          </cell>
          <cell r="O32">
            <v>646</v>
          </cell>
          <cell r="P32">
            <v>43299</v>
          </cell>
          <cell r="Q32" t="str">
            <v>Adición al contrato 646 de 2017 cuyo objeto es: "Contratar los servicios en salud ocupacional referente a la realización de los exámenes médicos ocupacionales, de pre-ingreso, periódicos programados, por cambio de ocupación, post-incapacidad y de egreso para la Caja de la Vivienda Popular.</v>
          </cell>
          <cell r="R32">
            <v>2300000</v>
          </cell>
          <cell r="S32">
            <v>0</v>
          </cell>
          <cell r="T32">
            <v>0</v>
          </cell>
          <cell r="U32">
            <v>2300000</v>
          </cell>
          <cell r="V32">
            <v>888000</v>
          </cell>
        </row>
        <row r="33">
          <cell r="J33">
            <v>2550</v>
          </cell>
          <cell r="K33">
            <v>43312</v>
          </cell>
          <cell r="L33" t="str">
            <v>BIENESTAR Y SALUD EMPRESARIAL S A S</v>
          </cell>
          <cell r="M33">
            <v>12</v>
          </cell>
          <cell r="N33" t="str">
            <v>CONTRATO DE PRESTACION DE SERVICIOS</v>
          </cell>
          <cell r="O33">
            <v>467</v>
          </cell>
          <cell r="P33">
            <v>43312</v>
          </cell>
          <cell r="Q33" t="str">
            <v>Contratar los servicios en salud ocupacional en especial lo relacionado con los exámenes médicos ocupacionales, de pre-ingreso, por cambio de ocupación, post-incapacidad y de egreso para la Caja de la Vivienda Popular.</v>
          </cell>
          <cell r="R33">
            <v>5003370</v>
          </cell>
          <cell r="S33">
            <v>0</v>
          </cell>
          <cell r="T33">
            <v>0</v>
          </cell>
          <cell r="U33">
            <v>5003370</v>
          </cell>
          <cell r="V33">
            <v>0</v>
          </cell>
        </row>
        <row r="34">
          <cell r="J34">
            <v>2613</v>
          </cell>
          <cell r="K34">
            <v>43320</v>
          </cell>
          <cell r="L34" t="str">
            <v>LABORUM FASHION LTDA</v>
          </cell>
          <cell r="M34">
            <v>16</v>
          </cell>
          <cell r="N34" t="str">
            <v>CONTRATO DE COMPRAVENTA</v>
          </cell>
          <cell r="O34">
            <v>484</v>
          </cell>
          <cell r="P34">
            <v>43320</v>
          </cell>
          <cell r="Q34" t="str">
            <v>Contratar la adquisición de elementos de protección personal requeridos para el personal de la Caja de la Vivienda Popular de conformidad con las especificaciones técnicas establecidas por la Entidad.</v>
          </cell>
          <cell r="R34">
            <v>2139000</v>
          </cell>
          <cell r="S34">
            <v>0</v>
          </cell>
          <cell r="T34">
            <v>0</v>
          </cell>
          <cell r="U34">
            <v>2139000</v>
          </cell>
          <cell r="V34">
            <v>0</v>
          </cell>
        </row>
        <row r="35">
          <cell r="J35">
            <v>2617</v>
          </cell>
          <cell r="K35">
            <v>43322</v>
          </cell>
          <cell r="L35" t="str">
            <v>IMCOLMEDICA S A</v>
          </cell>
          <cell r="M35">
            <v>16</v>
          </cell>
          <cell r="N35" t="str">
            <v>CONTRATO DE COMPRAVENTA</v>
          </cell>
          <cell r="O35">
            <v>486</v>
          </cell>
          <cell r="P35">
            <v>43322</v>
          </cell>
          <cell r="Q35" t="str">
            <v>Contratar la adquisición de un desfibrilador externo automático que permita la aplicación de descargas eléctricas para lograr el restablecimiento del ritmo cardíaco normal en caso de requerirse.</v>
          </cell>
          <cell r="R35">
            <v>4972353</v>
          </cell>
          <cell r="S35">
            <v>0</v>
          </cell>
          <cell r="T35">
            <v>0</v>
          </cell>
          <cell r="U35">
            <v>4972353</v>
          </cell>
          <cell r="V35">
            <v>0</v>
          </cell>
        </row>
        <row r="36">
          <cell r="J36">
            <v>1725</v>
          </cell>
          <cell r="K36">
            <v>43195</v>
          </cell>
          <cell r="L36" t="str">
            <v>SGS COLOMBIA S.A.S</v>
          </cell>
          <cell r="M36">
            <v>12</v>
          </cell>
          <cell r="N36" t="str">
            <v>CONTRATO DE PRESTACION DE SERVICIOS</v>
          </cell>
          <cell r="O36">
            <v>431</v>
          </cell>
          <cell r="P36">
            <v>43195</v>
          </cell>
          <cell r="Q36" t="str">
            <v>Realizar la auditoria de re-certificación al Sistema de Gestión de Calidad de la Caja de la Vivienda Popular, de acuerdo a los parámetros establecidos en la Norma Técnica de Calidad para el Sector Público NTCGP 1000:2009 e ISO9001:2008</v>
          </cell>
          <cell r="R36">
            <v>8782200</v>
          </cell>
          <cell r="S36">
            <v>0</v>
          </cell>
          <cell r="T36">
            <v>0</v>
          </cell>
          <cell r="U36">
            <v>8782200</v>
          </cell>
          <cell r="V36">
            <v>8782200</v>
          </cell>
        </row>
        <row r="37">
          <cell r="J37">
            <v>1755</v>
          </cell>
          <cell r="K37">
            <v>43200</v>
          </cell>
          <cell r="L37" t="str">
            <v>METALWOOD DE COLOMBIA LTDA</v>
          </cell>
          <cell r="M37">
            <v>122</v>
          </cell>
          <cell r="N37" t="str">
            <v>CONTRATO DE ALQUILER</v>
          </cell>
          <cell r="O37">
            <v>570</v>
          </cell>
          <cell r="P37">
            <v>43200</v>
          </cell>
          <cell r="Q37" t="str">
            <v>ADICIÓN Y PRORROGA AL CONTRATO 570 DE 2017 CUYO OBJETO ES "ALQUILER DE MOBILIARIO DE OFICINA PARA GARANTIZAR LAS CONDICIONES DE OPERACIÓN DEL EQUIPO INTERDISCIPLINARIO, REQUERIDO EN EL MARCO DE LA EJECUCIÓN DEL DECRETO NO. 457 DEL 29 DE AGOSTO DE 2017 EMANADO POR LA ALCALDIA MAYOR DE BOGOTA D.C.</v>
          </cell>
          <cell r="R37">
            <v>5165000</v>
          </cell>
          <cell r="S37">
            <v>0</v>
          </cell>
          <cell r="T37">
            <v>0</v>
          </cell>
          <cell r="U37">
            <v>5165000</v>
          </cell>
          <cell r="V37">
            <v>5165000</v>
          </cell>
        </row>
        <row r="38">
          <cell r="J38">
            <v>2616</v>
          </cell>
          <cell r="K38">
            <v>43321</v>
          </cell>
          <cell r="L38" t="str">
            <v>G.O. COMERCIO DIGITAL SAS</v>
          </cell>
          <cell r="M38">
            <v>16</v>
          </cell>
          <cell r="N38" t="str">
            <v>CONTRATO DE COMPRAVENTA</v>
          </cell>
          <cell r="O38">
            <v>482</v>
          </cell>
          <cell r="P38">
            <v>43321</v>
          </cell>
          <cell r="Q38" t="str">
            <v>Adquisición de dos (2) grabadoras de voz para la Caja de la Vivienda Popular.</v>
          </cell>
          <cell r="R38">
            <v>620000</v>
          </cell>
          <cell r="S38">
            <v>0</v>
          </cell>
          <cell r="T38">
            <v>0</v>
          </cell>
          <cell r="U38">
            <v>620000</v>
          </cell>
          <cell r="V38">
            <v>0</v>
          </cell>
        </row>
        <row r="39">
          <cell r="J39">
            <v>1756</v>
          </cell>
          <cell r="K39">
            <v>43200</v>
          </cell>
          <cell r="L39" t="str">
            <v>SISELCOM SISTEMAS ELECTRICOS Y DE COMUNICACIONES SAS</v>
          </cell>
          <cell r="M39">
            <v>17</v>
          </cell>
          <cell r="N39" t="str">
            <v>CONTRATO DE ARRENDAMIENTO</v>
          </cell>
          <cell r="O39">
            <v>562</v>
          </cell>
          <cell r="P39">
            <v>43200</v>
          </cell>
          <cell r="Q39" t="str">
            <v>ADICIÓN Y PRORROGA AL CONTRATO 562 DE 2017 CUYO OBJETO ES "ENTREGAR EN CALIDAD DE ARRENDAMIENTO UNA (1) UNIDAD DE UN SISTEMA DE ALIMENTACIÓN ININTERRUMPIDA (UPS), PARA LA CAJA DE LA VIVIENDA POPULAR, DE CONFORMIDAD CON LAS ESPECIFICACIONES DEFINIDAS EN LOS DOCUMENTOS DE ESTUDIOS PREVIOS Y ANEXO TÉCNICO.</v>
          </cell>
          <cell r="R39">
            <v>2511218</v>
          </cell>
          <cell r="S39">
            <v>0</v>
          </cell>
          <cell r="T39">
            <v>0</v>
          </cell>
          <cell r="U39">
            <v>2511218</v>
          </cell>
          <cell r="V39">
            <v>2511218</v>
          </cell>
        </row>
        <row r="40">
          <cell r="J40">
            <v>1546</v>
          </cell>
          <cell r="K40">
            <v>43168</v>
          </cell>
          <cell r="L40" t="str">
            <v>MIRS LATINOAMERICA S A S</v>
          </cell>
          <cell r="M40">
            <v>43</v>
          </cell>
          <cell r="N40" t="str">
            <v>CONTRATO DE INTERVENTORIA</v>
          </cell>
          <cell r="O40">
            <v>593</v>
          </cell>
          <cell r="P40">
            <v>43168</v>
          </cell>
          <cell r="Q40" t="str">
            <v>Adición al contrato de interventoría número 593 de 2016 cuyo objeto es "REALIZAR LA INTERVENTORÍA TÉCNICA, ADMINISTRATIVA, FINANCIERA, CONTABLE, AMBIENTAL, SISO, SOCIAL Y JURÍDICA, A LA REVISIÓN, AJUSTE, ACTUALIZACIÓN, COMPLEMENTACIÓN Y APROPIACIÓN DE LOS ESTUDIOS Y DISEÑOS, Y LA CONSTRUCCIÓN DE LOS CÓDIGOS DE IDENTIFICACIÓN VIAL - CIV PRIORIZADOS, UBICADOS EN LA LOCALIDAD DE SAN CRISTÓBAL EN LA CIUDAD DE BOGOTÁ D.C."</v>
          </cell>
          <cell r="R40">
            <v>90752820</v>
          </cell>
          <cell r="S40">
            <v>0</v>
          </cell>
          <cell r="T40">
            <v>0</v>
          </cell>
          <cell r="U40">
            <v>90752820</v>
          </cell>
          <cell r="V40">
            <v>83542479</v>
          </cell>
        </row>
        <row r="41">
          <cell r="J41">
            <v>6</v>
          </cell>
          <cell r="K41">
            <v>43112</v>
          </cell>
          <cell r="L41" t="str">
            <v>HECTOR ANDRES MEJIA MEJIA</v>
          </cell>
          <cell r="M41">
            <v>145</v>
          </cell>
          <cell r="N41" t="str">
            <v>CONTRATO DE PRESTACION DE SERVICIOS PROFESIONALES</v>
          </cell>
          <cell r="O41">
            <v>6</v>
          </cell>
          <cell r="P41">
            <v>43112</v>
          </cell>
          <cell r="Q41" t="str">
            <v>PRESTAR SERVICIOS PROFESIONALES PARA APOYAR LA PLANEACIÓN, SEGUIMIENTO Y EVALUACIÓN DE LOS SUBSISTEMAS DEL SISTEMA INTEGRADO DE GESTIÓN DE LA CAJA DE LA VIVIENDA POPULAR.</v>
          </cell>
          <cell r="R41">
            <v>57922050</v>
          </cell>
          <cell r="S41">
            <v>35089010</v>
          </cell>
          <cell r="T41">
            <v>0</v>
          </cell>
          <cell r="U41">
            <v>22833040</v>
          </cell>
          <cell r="V41">
            <v>22833040</v>
          </cell>
        </row>
        <row r="42">
          <cell r="J42">
            <v>37</v>
          </cell>
          <cell r="K42">
            <v>43116</v>
          </cell>
          <cell r="L42" t="str">
            <v>ROBERTO CARLOS NARVAEZ CORTES</v>
          </cell>
          <cell r="M42">
            <v>145</v>
          </cell>
          <cell r="N42" t="str">
            <v>CONTRATO DE PRESTACION DE SERVICIOS PROFESIONALES</v>
          </cell>
          <cell r="O42">
            <v>47</v>
          </cell>
          <cell r="P42">
            <v>43116</v>
          </cell>
          <cell r="Q42" t="str">
            <v>Prestación de servicios profesionales para realizar el acompañamiento en el cumplimiento de los lineamientos relacionados con la atención y prestación del servicio a la ciudadanía, a cargo de la Caja de la Vivienda Popular</v>
          </cell>
          <cell r="R42">
            <v>47380000</v>
          </cell>
          <cell r="S42">
            <v>0</v>
          </cell>
          <cell r="T42">
            <v>0</v>
          </cell>
          <cell r="U42">
            <v>47380000</v>
          </cell>
          <cell r="V42">
            <v>26642667</v>
          </cell>
        </row>
        <row r="43">
          <cell r="J43">
            <v>47</v>
          </cell>
          <cell r="K43">
            <v>43116</v>
          </cell>
          <cell r="L43" t="str">
            <v>MAYERLI  AZUERO LOZANO</v>
          </cell>
          <cell r="M43">
            <v>145</v>
          </cell>
          <cell r="N43" t="str">
            <v>CONTRATO DE PRESTACION DE SERVICIOS PROFESIONALES</v>
          </cell>
          <cell r="O43">
            <v>37</v>
          </cell>
          <cell r="P43">
            <v>43116</v>
          </cell>
          <cell r="Q43" t="str">
            <v>Prestar los servicios profesionales para apoyar a la Subdirección Administrativa con el mantenimiento, actualización e implementación del Subsistema de Seguridad y Salud en el Trabajo y con los Sistemas de Evaluación de los Funcionarios de la Entidad.</v>
          </cell>
          <cell r="R43">
            <v>47380000</v>
          </cell>
          <cell r="S43">
            <v>0</v>
          </cell>
          <cell r="T43">
            <v>0</v>
          </cell>
          <cell r="U43">
            <v>47380000</v>
          </cell>
          <cell r="V43">
            <v>26642667</v>
          </cell>
        </row>
        <row r="44">
          <cell r="J44">
            <v>48</v>
          </cell>
          <cell r="K44">
            <v>43116</v>
          </cell>
          <cell r="L44" t="str">
            <v>LUIS DARIO SOTELO CARREÑO</v>
          </cell>
          <cell r="M44">
            <v>145</v>
          </cell>
          <cell r="N44" t="str">
            <v>CONTRATO DE PRESTACION DE SERVICIOS PROFESIONALES</v>
          </cell>
          <cell r="O44">
            <v>52</v>
          </cell>
          <cell r="P44">
            <v>43116</v>
          </cell>
          <cell r="Q44" t="str">
            <v>Prestación de servicios profesionales para realizar el acompañamiento administrativo y financiero en la elaboración y revisión de las actas de liquidación y de cierre de expediente, así como demás actuaciones administrativas requeridas en la etapa de ejecución de los procesos de contratación adelantados por la Caja de la Vivienda Popular.</v>
          </cell>
          <cell r="R44">
            <v>71070000</v>
          </cell>
          <cell r="S44">
            <v>0</v>
          </cell>
          <cell r="T44">
            <v>0</v>
          </cell>
          <cell r="U44">
            <v>71070000</v>
          </cell>
          <cell r="V44">
            <v>39964000</v>
          </cell>
        </row>
        <row r="45">
          <cell r="J45">
            <v>69</v>
          </cell>
          <cell r="K45">
            <v>43116</v>
          </cell>
          <cell r="L45" t="str">
            <v>JOSE LEONARDO PINTO COLORADO</v>
          </cell>
          <cell r="M45">
            <v>145</v>
          </cell>
          <cell r="N45" t="str">
            <v>CONTRATO DE PRESTACION DE SERVICIOS PROFESIONALES</v>
          </cell>
          <cell r="O45">
            <v>63</v>
          </cell>
          <cell r="P45">
            <v>43116</v>
          </cell>
          <cell r="Q45" t="str">
            <v>Prestación de servicios profesionales para apoyar a la Subdirección Financiera en la estructuración, revisión y evaluación del componente financiero y de documentos de análisis del sector que se requieran en los diferentes procesos de contratación.</v>
          </cell>
          <cell r="R45">
            <v>52118000</v>
          </cell>
          <cell r="S45">
            <v>0</v>
          </cell>
          <cell r="T45">
            <v>0</v>
          </cell>
          <cell r="U45">
            <v>52118000</v>
          </cell>
          <cell r="V45">
            <v>29306933</v>
          </cell>
        </row>
        <row r="46">
          <cell r="J46">
            <v>76</v>
          </cell>
          <cell r="K46">
            <v>43116</v>
          </cell>
          <cell r="L46" t="str">
            <v>DORIS  CARVAJAL MOJICA</v>
          </cell>
          <cell r="M46">
            <v>145</v>
          </cell>
          <cell r="N46" t="str">
            <v>CONTRATO DE PRESTACION DE SERVICIOS PROFESIONALES</v>
          </cell>
          <cell r="O46">
            <v>64</v>
          </cell>
          <cell r="P46">
            <v>43116</v>
          </cell>
          <cell r="Q46" t="str">
            <v>Prestación de servicios profesionales para apoyar en la  formulación, seguimiento, ejecución y programación presupuestal de la Caja de la Vivienda Popular.</v>
          </cell>
          <cell r="R46">
            <v>65147500</v>
          </cell>
          <cell r="S46">
            <v>0</v>
          </cell>
          <cell r="T46">
            <v>0</v>
          </cell>
          <cell r="U46">
            <v>65147500</v>
          </cell>
          <cell r="V46">
            <v>36633667</v>
          </cell>
        </row>
        <row r="47">
          <cell r="J47">
            <v>105</v>
          </cell>
          <cell r="K47">
            <v>43116</v>
          </cell>
          <cell r="L47" t="str">
            <v>ALEJANDRO  GUAYARA MURILLO</v>
          </cell>
          <cell r="M47">
            <v>145</v>
          </cell>
          <cell r="N47" t="str">
            <v>CONTRATO DE PRESTACION DE SERVICIOS PROFESIONALES</v>
          </cell>
          <cell r="O47">
            <v>92</v>
          </cell>
          <cell r="P47">
            <v>43116</v>
          </cell>
          <cell r="Q47" t="str">
            <v>Prestar los servicios profesionales para ejercer la representación judicial y extrajudicial, en defensa de los intereses de la Caja de la Vivienda Popular, así como realizar el seguimiento al cumplimiento de sentencias a nivel interno y llevar a cabo las actuaciones necesarias para el saneamiento de los predios que asi lo requieran.</v>
          </cell>
          <cell r="R47">
            <v>76992500</v>
          </cell>
          <cell r="S47">
            <v>0</v>
          </cell>
          <cell r="T47">
            <v>0</v>
          </cell>
          <cell r="U47">
            <v>76992500</v>
          </cell>
          <cell r="V47">
            <v>43517500</v>
          </cell>
        </row>
        <row r="48">
          <cell r="J48">
            <v>109</v>
          </cell>
          <cell r="K48">
            <v>43117</v>
          </cell>
          <cell r="L48" t="str">
            <v>HAMILTON  DIAZ GARCIA</v>
          </cell>
          <cell r="M48">
            <v>145</v>
          </cell>
          <cell r="N48" t="str">
            <v>CONTRATO DE PRESTACION DE SERVICIOS PROFESIONALES</v>
          </cell>
          <cell r="O48">
            <v>102</v>
          </cell>
          <cell r="P48">
            <v>43117</v>
          </cell>
          <cell r="Q48" t="str">
            <v>Prestar los servicios profesionales para llevar a cabo las actividades del Plan Anual de Adquisiciones a través de procesos de contratación y realizar la revisión de carácter jurídico en los temas inherentes a la Subdirección Administrativa.</v>
          </cell>
          <cell r="R48">
            <v>60409500</v>
          </cell>
          <cell r="S48">
            <v>0</v>
          </cell>
          <cell r="T48">
            <v>0</v>
          </cell>
          <cell r="U48">
            <v>60409500</v>
          </cell>
          <cell r="V48">
            <v>33794300</v>
          </cell>
        </row>
        <row r="49">
          <cell r="J49">
            <v>110</v>
          </cell>
          <cell r="K49">
            <v>43117</v>
          </cell>
          <cell r="L49" t="str">
            <v>GINETH VIVIANA FRANCO PRADA</v>
          </cell>
          <cell r="M49">
            <v>145</v>
          </cell>
          <cell r="N49" t="str">
            <v>CONTRATO DE PRESTACION DE SERVICIOS PROFESIONALES</v>
          </cell>
          <cell r="O49">
            <v>103</v>
          </cell>
          <cell r="P49">
            <v>43117</v>
          </cell>
          <cell r="Q49" t="str">
            <v>Prestar los servicios profesionales para brindar apoyo  en temas relacionados con la gestión de calidad de los procesos que lidera la Subdirección.</v>
          </cell>
          <cell r="R49">
            <v>39088500</v>
          </cell>
          <cell r="S49">
            <v>0</v>
          </cell>
          <cell r="T49">
            <v>0</v>
          </cell>
          <cell r="U49">
            <v>39088500</v>
          </cell>
          <cell r="V49">
            <v>21980200</v>
          </cell>
        </row>
        <row r="50">
          <cell r="J50">
            <v>112</v>
          </cell>
          <cell r="K50">
            <v>43117</v>
          </cell>
          <cell r="L50" t="str">
            <v>AMALIA JEANNETTE SANCHEZ GUIO</v>
          </cell>
          <cell r="M50">
            <v>145</v>
          </cell>
          <cell r="N50" t="str">
            <v>CONTRATO DE PRESTACION DE SERVICIOS PROFESIONALES</v>
          </cell>
          <cell r="O50">
            <v>105</v>
          </cell>
          <cell r="P50">
            <v>43117</v>
          </cell>
          <cell r="Q50" t="str">
            <v>Prestar los servicios profesionales para brindar apoyo respecto al seguimiento financiero y presupuestal de los contratos a cargo de la Subdirección Administrativa.</v>
          </cell>
          <cell r="R50">
            <v>40865250</v>
          </cell>
          <cell r="S50">
            <v>0</v>
          </cell>
          <cell r="T50">
            <v>0</v>
          </cell>
          <cell r="U50">
            <v>40865250</v>
          </cell>
          <cell r="V50">
            <v>22979300</v>
          </cell>
        </row>
        <row r="51">
          <cell r="J51">
            <v>121</v>
          </cell>
          <cell r="K51">
            <v>43117</v>
          </cell>
          <cell r="L51" t="str">
            <v>YAMILE PATRICIA CASTIBLANCO VENEGAS</v>
          </cell>
          <cell r="M51">
            <v>145</v>
          </cell>
          <cell r="N51" t="str">
            <v>CONTRATO DE PRESTACION DE SERVICIOS PROFESIONALES</v>
          </cell>
          <cell r="O51">
            <v>101</v>
          </cell>
          <cell r="P51">
            <v>43117</v>
          </cell>
          <cell r="Q51" t="str">
            <v>Prestar los servicios profesionales a la Dirección Jurídica para el desarrollo de actividades tales como la elaboración de conceptos jurídicos, seguimiento a los negocios fiduciarios en los cuales hace parte la CVP, y demás actividades propias de la Dirección.</v>
          </cell>
          <cell r="R51">
            <v>106605000</v>
          </cell>
          <cell r="S51">
            <v>0</v>
          </cell>
          <cell r="T51">
            <v>0</v>
          </cell>
          <cell r="U51">
            <v>106605000</v>
          </cell>
          <cell r="V51">
            <v>60255000</v>
          </cell>
        </row>
        <row r="52">
          <cell r="J52">
            <v>150</v>
          </cell>
          <cell r="K52">
            <v>43117</v>
          </cell>
          <cell r="L52" t="str">
            <v>SANDRA YAMILE ROJAS RICO</v>
          </cell>
          <cell r="M52">
            <v>145</v>
          </cell>
          <cell r="N52" t="str">
            <v>CONTRATO DE PRESTACION DE SERVICIOS PROFESIONALES</v>
          </cell>
          <cell r="O52">
            <v>157</v>
          </cell>
          <cell r="P52">
            <v>43117</v>
          </cell>
          <cell r="Q52" t="str">
            <v>Prestación de servicios profesionales para registrar, depurar, analizar y ajustar la información contable de la Caja de la Vivienda Popular, encumplimiento a la normatividad, los procedimientos y lineamientos establecidos por la entidad.</v>
          </cell>
          <cell r="R52">
            <v>60409500</v>
          </cell>
          <cell r="S52">
            <v>0</v>
          </cell>
          <cell r="T52">
            <v>0</v>
          </cell>
          <cell r="U52">
            <v>60409500</v>
          </cell>
          <cell r="V52">
            <v>33794300</v>
          </cell>
        </row>
        <row r="53">
          <cell r="J53">
            <v>164</v>
          </cell>
          <cell r="K53">
            <v>43118</v>
          </cell>
          <cell r="L53" t="str">
            <v>PHILLIP  KLEIN GARAVITO</v>
          </cell>
          <cell r="M53">
            <v>145</v>
          </cell>
          <cell r="N53" t="str">
            <v>CONTRATO DE PRESTACION DE SERVICIOS PROFESIONALES</v>
          </cell>
          <cell r="O53">
            <v>122</v>
          </cell>
          <cell r="P53">
            <v>43118</v>
          </cell>
          <cell r="Q53" t="str">
            <v>Prestar servicios profesionales para apoyar la formulación, seguimiento, evaluación, mantenimiento y mejora del Subsistema de Gestion Ambiental,  acorde a los lineamientos y normatividad vigente.</v>
          </cell>
          <cell r="R53">
            <v>40865250</v>
          </cell>
          <cell r="S53">
            <v>0</v>
          </cell>
          <cell r="T53">
            <v>0</v>
          </cell>
          <cell r="U53">
            <v>40865250</v>
          </cell>
          <cell r="V53">
            <v>22860850</v>
          </cell>
        </row>
        <row r="54">
          <cell r="J54">
            <v>175</v>
          </cell>
          <cell r="K54">
            <v>43118</v>
          </cell>
          <cell r="L54" t="str">
            <v>IVAN DARIO GOMEZ HENAO</v>
          </cell>
          <cell r="M54">
            <v>145</v>
          </cell>
          <cell r="N54" t="str">
            <v>CONTRATO DE PRESTACION DE SERVICIOS PROFESIONALES</v>
          </cell>
          <cell r="O54">
            <v>107</v>
          </cell>
          <cell r="P54">
            <v>43118</v>
          </cell>
          <cell r="Q54" t="str">
            <v>Prestación de servicios profesionales para el acompañamiento de las diferentes etapas de los procesos contractuales y la revisión jurídica de los temas a cargo de la Subdirección Administrativa.</v>
          </cell>
          <cell r="R54">
            <v>65147500</v>
          </cell>
          <cell r="S54">
            <v>0</v>
          </cell>
          <cell r="T54">
            <v>0</v>
          </cell>
          <cell r="U54">
            <v>65147500</v>
          </cell>
          <cell r="V54">
            <v>36444833</v>
          </cell>
        </row>
        <row r="55">
          <cell r="J55">
            <v>214</v>
          </cell>
          <cell r="K55">
            <v>43118</v>
          </cell>
          <cell r="L55" t="str">
            <v>ESTUDIO ASESORIAS PROFESIONALES S.A.S.</v>
          </cell>
          <cell r="M55">
            <v>145</v>
          </cell>
          <cell r="N55" t="str">
            <v>CONTRATO DE PRESTACION DE SERVICIOS PROFESIONALES</v>
          </cell>
          <cell r="O55">
            <v>185</v>
          </cell>
          <cell r="P55">
            <v>43118</v>
          </cell>
          <cell r="Q55" t="str">
            <v>PRESTACIÓN DE SERVICIOS PROFESIONALES ESPECIALIZADOS PARA REPRESENTAR COMO APODERADO JUDICIAL Y EXTRAJUDICIAL A LA CAJA DE LA VIVIENDA POPULAR EN MATERIA ADMINISTRATIVA Y CONSTITUCIONAL, ATENDIENDO LOS PROCESOS ASIGNADOS ANTE LOS DESPACHOS JUDICIALES COMPETENTES.</v>
          </cell>
          <cell r="R55">
            <v>130900000</v>
          </cell>
          <cell r="S55">
            <v>0</v>
          </cell>
          <cell r="T55">
            <v>0</v>
          </cell>
          <cell r="U55">
            <v>130900000</v>
          </cell>
          <cell r="V55">
            <v>74970000</v>
          </cell>
        </row>
        <row r="56">
          <cell r="J56">
            <v>225</v>
          </cell>
          <cell r="K56">
            <v>43118</v>
          </cell>
          <cell r="L56" t="str">
            <v>RUTH YEIMMY CIPRIAN HUERTAS</v>
          </cell>
          <cell r="M56">
            <v>145</v>
          </cell>
          <cell r="N56" t="str">
            <v>CONTRATO DE PRESTACION DE SERVICIOS PROFESIONALES</v>
          </cell>
          <cell r="O56">
            <v>197</v>
          </cell>
          <cell r="P56">
            <v>43118</v>
          </cell>
          <cell r="Q56" t="str">
            <v>PRESTACIÓN DE SERVICIOS PROFESIONALES PARA ANALIZAR, REGISTRAR, CONSOLIDAR Y PRESENTAR LA INFORMACIÓN CONTABLE Y TRIBUTARIA DE LA CAJA DE LA VIVIENDA POPULAR.</v>
          </cell>
          <cell r="R56">
            <v>60409500</v>
          </cell>
          <cell r="S56">
            <v>0</v>
          </cell>
          <cell r="T56">
            <v>0</v>
          </cell>
          <cell r="U56">
            <v>60409500</v>
          </cell>
          <cell r="V56">
            <v>33619200</v>
          </cell>
        </row>
        <row r="57">
          <cell r="J57">
            <v>302</v>
          </cell>
          <cell r="K57">
            <v>43122</v>
          </cell>
          <cell r="L57" t="str">
            <v>CRISTHIAN CAMILO RODRIGUEZ MELO</v>
          </cell>
          <cell r="M57">
            <v>145</v>
          </cell>
          <cell r="N57" t="str">
            <v>CONTRATO DE PRESTACION DE SERVICIOS PROFESIONALES</v>
          </cell>
          <cell r="O57">
            <v>268</v>
          </cell>
          <cell r="P57">
            <v>43122</v>
          </cell>
          <cell r="Q57" t="str">
            <v>Prestación de servicios profesionales para apoyar a la Oficina Asesora de Planeación en actividades de gestión y administración del Sistema Integrado de Gestión.</v>
          </cell>
          <cell r="R57">
            <v>39088500</v>
          </cell>
          <cell r="S57">
            <v>0</v>
          </cell>
          <cell r="T57">
            <v>0</v>
          </cell>
          <cell r="U57">
            <v>39088500</v>
          </cell>
          <cell r="V57">
            <v>21300400</v>
          </cell>
        </row>
        <row r="58">
          <cell r="J58">
            <v>308</v>
          </cell>
          <cell r="K58">
            <v>43122</v>
          </cell>
          <cell r="L58" t="str">
            <v>MANUEL LEONARDO TELLEZ BELTRAN</v>
          </cell>
          <cell r="M58">
            <v>145</v>
          </cell>
          <cell r="N58" t="str">
            <v>CONTRATO DE PRESTACION DE SERVICIOS PROFESIONALES</v>
          </cell>
          <cell r="O58">
            <v>280</v>
          </cell>
          <cell r="P58">
            <v>43122</v>
          </cell>
          <cell r="Q58" t="str">
            <v>Prestación de servicios profesionales para realizar el seguimiento, monitoreo y articulación de los diferentes proyectos misionales de la entidad, con énfasis en el control de los procesos y actividades de obra, para su correspondiente reporte ante la Dirección general de la Caja de la Vivienda Popular.</v>
          </cell>
          <cell r="R58">
            <v>68425000</v>
          </cell>
          <cell r="S58">
            <v>0</v>
          </cell>
          <cell r="T58">
            <v>0</v>
          </cell>
          <cell r="U58">
            <v>68425000</v>
          </cell>
          <cell r="V58">
            <v>34113333</v>
          </cell>
        </row>
        <row r="59">
          <cell r="J59">
            <v>383</v>
          </cell>
          <cell r="K59">
            <v>43124</v>
          </cell>
          <cell r="L59" t="str">
            <v>JUAN MANUEL RUSSY ESCOBAR</v>
          </cell>
          <cell r="M59">
            <v>145</v>
          </cell>
          <cell r="N59" t="str">
            <v>CONTRATO DE PRESTACION DE SERVICIOS PROFESIONALES</v>
          </cell>
          <cell r="O59">
            <v>360</v>
          </cell>
          <cell r="P59">
            <v>43124</v>
          </cell>
          <cell r="Q59" t="str">
            <v>Prestar los servicios profesionales especializados para llevar a cabo la representacion judicial y extrajudicial de la Caja de la Vivienda Popular, en materia laboral y laboral administrativa.</v>
          </cell>
          <cell r="R59">
            <v>110000000</v>
          </cell>
          <cell r="S59">
            <v>0</v>
          </cell>
          <cell r="T59">
            <v>0</v>
          </cell>
          <cell r="U59">
            <v>110000000</v>
          </cell>
          <cell r="V59">
            <v>51666667</v>
          </cell>
        </row>
        <row r="60">
          <cell r="J60">
            <v>435</v>
          </cell>
          <cell r="K60">
            <v>43125</v>
          </cell>
          <cell r="L60" t="str">
            <v>ELITE CONSULTORA  S A S</v>
          </cell>
          <cell r="M60">
            <v>145</v>
          </cell>
          <cell r="N60" t="str">
            <v>CONTRATO DE PRESTACION DE SERVICIOS PROFESIONALES</v>
          </cell>
          <cell r="O60">
            <v>375</v>
          </cell>
          <cell r="P60">
            <v>43125</v>
          </cell>
          <cell r="Q60" t="str">
            <v>Prestación de servicios profesionales para realizar el monitoreo, acompañamiento y mejora continua desde el punto de vista jurídico, al proceso de adquisición de bienes y servicios a cargo de la Dirección de Gestión Corporativa y CID.</v>
          </cell>
          <cell r="R60">
            <v>130900000</v>
          </cell>
          <cell r="S60">
            <v>130900000</v>
          </cell>
          <cell r="T60">
            <v>0</v>
          </cell>
          <cell r="U60">
            <v>0</v>
          </cell>
          <cell r="V60">
            <v>0</v>
          </cell>
        </row>
        <row r="61">
          <cell r="J61">
            <v>439</v>
          </cell>
          <cell r="K61">
            <v>43125</v>
          </cell>
          <cell r="L61" t="str">
            <v>LOTERO ZULUAGA ABOGADOS S A S</v>
          </cell>
          <cell r="M61">
            <v>145</v>
          </cell>
          <cell r="N61" t="str">
            <v>CONTRATO DE PRESTACION DE SERVICIOS PROFESIONALES</v>
          </cell>
          <cell r="O61">
            <v>379</v>
          </cell>
          <cell r="P61">
            <v>43125</v>
          </cell>
          <cell r="Q61" t="str">
            <v>Prestación de servicios profesionales para brindar asesoria juridica y acompañamiento externo en la gestion contractual y demás trámites administrativos que sean requeridos.</v>
          </cell>
          <cell r="R61">
            <v>66000000</v>
          </cell>
          <cell r="S61">
            <v>0</v>
          </cell>
          <cell r="T61">
            <v>0</v>
          </cell>
          <cell r="U61">
            <v>66000000</v>
          </cell>
          <cell r="V61">
            <v>37000000</v>
          </cell>
        </row>
        <row r="62">
          <cell r="J62">
            <v>443</v>
          </cell>
          <cell r="K62">
            <v>43125</v>
          </cell>
          <cell r="L62" t="str">
            <v>ELITE CONSULTORA  S A S</v>
          </cell>
          <cell r="M62">
            <v>145</v>
          </cell>
          <cell r="N62" t="str">
            <v>CONTRATO DE PRESTACION DE SERVICIOS PROFESIONALES</v>
          </cell>
          <cell r="O62">
            <v>375</v>
          </cell>
          <cell r="P62">
            <v>43125</v>
          </cell>
          <cell r="Q62" t="str">
            <v>PRESTACIÓN DE SERVICIOS PROFESIONALES PARA LA ASISTENCIA, ACOMPAÑAMIENTO, CONTROL Y SEGUIMIENTO JURÍDICO EN TODO LO CONCERNIENTE AL PROCESO DE ADQUISICIÓN DE BIENES Y SERVICIOS A CARGO DE LA DIRECCIÓN DE GESTIÓN CORPORATIVA Y CID.</v>
          </cell>
          <cell r="R62">
            <v>132000000</v>
          </cell>
          <cell r="S62">
            <v>132000000</v>
          </cell>
          <cell r="T62">
            <v>0</v>
          </cell>
          <cell r="U62">
            <v>0</v>
          </cell>
          <cell r="V62">
            <v>0</v>
          </cell>
        </row>
        <row r="63">
          <cell r="J63">
            <v>445</v>
          </cell>
          <cell r="K63">
            <v>43125</v>
          </cell>
          <cell r="L63" t="str">
            <v>ELITE CONSULTORA  S A S</v>
          </cell>
          <cell r="M63">
            <v>145</v>
          </cell>
          <cell r="N63" t="str">
            <v>CONTRATO DE PRESTACION DE SERVICIOS PROFESIONALES</v>
          </cell>
          <cell r="O63">
            <v>375</v>
          </cell>
          <cell r="P63">
            <v>43125</v>
          </cell>
          <cell r="Q63" t="str">
            <v>PRESTACIÓN DE SERVICIOS PROFESIONALES PARA LA ASISTENCIA, ACOMPAÑAMIENTO, CONTROL Y SEGUIMIENTO JURÍDICO EN TODO LO CONCERNIENTE AL PROCESO DE ADQUISICIÓN DE BIENES Y SERVICIOS A CARGO DE LA DIRECCIÓN DE GESTIÓN CORPORATIVA Y CID.</v>
          </cell>
          <cell r="R63">
            <v>130900000</v>
          </cell>
          <cell r="S63">
            <v>0</v>
          </cell>
          <cell r="T63">
            <v>0</v>
          </cell>
          <cell r="U63">
            <v>130900000</v>
          </cell>
          <cell r="V63">
            <v>73383333</v>
          </cell>
        </row>
        <row r="64">
          <cell r="J64">
            <v>462</v>
          </cell>
          <cell r="K64">
            <v>43126</v>
          </cell>
          <cell r="L64" t="str">
            <v>ANDRES JOSE PAJON SAMPER</v>
          </cell>
          <cell r="M64">
            <v>145</v>
          </cell>
          <cell r="N64" t="str">
            <v>CONTRATO DE PRESTACION DE SERVICIOS PROFESIONALES</v>
          </cell>
          <cell r="O64">
            <v>389</v>
          </cell>
          <cell r="P64">
            <v>43126</v>
          </cell>
          <cell r="Q64" t="str">
            <v>Prestación de servicios profesionales para realizar el acompañamiento jurídico en asuntos relacionados con el manejo y administración de bienes inmuebles que requiera la Caja de la Vivienda Popular.</v>
          </cell>
          <cell r="R64">
            <v>51479400</v>
          </cell>
          <cell r="S64">
            <v>51479400</v>
          </cell>
          <cell r="T64">
            <v>0</v>
          </cell>
          <cell r="U64">
            <v>0</v>
          </cell>
          <cell r="V64">
            <v>0</v>
          </cell>
        </row>
        <row r="65">
          <cell r="J65">
            <v>482</v>
          </cell>
          <cell r="K65">
            <v>43126</v>
          </cell>
          <cell r="L65" t="str">
            <v>DAVID ANDRES GIRALDO UMBARILA</v>
          </cell>
          <cell r="M65">
            <v>145</v>
          </cell>
          <cell r="N65" t="str">
            <v>CONTRATO DE PRESTACION DE SERVICIOS PROFESIONALES</v>
          </cell>
          <cell r="O65">
            <v>404</v>
          </cell>
          <cell r="P65">
            <v>43126</v>
          </cell>
          <cell r="Q65" t="str">
            <v>PRESTACIÓN DE SERVICIOS PROFESIONALES EN DERECHO A LA DIRECCION JURIDICA EN DESARROLLO DE LAS ACTIVIDADES DE CONCEPTUALIZACIÓN JURÍDICA, SEGUIMIENTO A ACCIONES CONSTITUCIONALES Y DEMAS ACTUACIONES ADMINISTRATIVAS REQUERIDAS EN LA EJECUCIÓN DE LAS ACTIVIDADES PROPIAS DE LA ENTIDAD.</v>
          </cell>
          <cell r="R65">
            <v>49440000</v>
          </cell>
          <cell r="S65">
            <v>0</v>
          </cell>
          <cell r="T65">
            <v>0</v>
          </cell>
          <cell r="U65">
            <v>49440000</v>
          </cell>
          <cell r="V65">
            <v>49440000</v>
          </cell>
        </row>
        <row r="66">
          <cell r="J66">
            <v>2427</v>
          </cell>
          <cell r="K66">
            <v>43285</v>
          </cell>
          <cell r="L66" t="str">
            <v>L&amp;L ASESORES</v>
          </cell>
          <cell r="M66">
            <v>145</v>
          </cell>
          <cell r="N66" t="str">
            <v>CONTRATO DE PRESTACION DE SERVICIOS PROFESIONALES</v>
          </cell>
          <cell r="O66">
            <v>438</v>
          </cell>
          <cell r="P66">
            <v>43285</v>
          </cell>
          <cell r="Q66" t="str">
            <v>Prestación de servicios profesionales para asesorar a la Dirección General, en el desarrollo y seguimiento de actividades jurídicas, presupuestales y contractuales de los diferentes proyectos de la Caja de la Vivienda Popular.</v>
          </cell>
          <cell r="R66">
            <v>85680000</v>
          </cell>
          <cell r="S66">
            <v>0</v>
          </cell>
          <cell r="T66">
            <v>0</v>
          </cell>
          <cell r="U66">
            <v>85680000</v>
          </cell>
          <cell r="V66">
            <v>12852000</v>
          </cell>
        </row>
        <row r="67">
          <cell r="J67">
            <v>2747</v>
          </cell>
          <cell r="K67">
            <v>43336</v>
          </cell>
          <cell r="L67" t="str">
            <v>LEYLA MARJIT BOTIVA RAMOS</v>
          </cell>
          <cell r="M67">
            <v>145</v>
          </cell>
          <cell r="N67" t="str">
            <v>CONTRATO DE PRESTACION DE SERVICIOS PROFESIONALES</v>
          </cell>
          <cell r="O67">
            <v>532</v>
          </cell>
          <cell r="P67">
            <v>43336</v>
          </cell>
          <cell r="Q67" t="str">
            <v>Prestación de servicios profesionales para el acompañamiento jurídico en las diferentes etapas de los procesos de contratación que adelante la Caja de la Vivienda Popular.</v>
          </cell>
          <cell r="R67">
            <v>27604000</v>
          </cell>
          <cell r="S67">
            <v>0</v>
          </cell>
          <cell r="T67">
            <v>0</v>
          </cell>
          <cell r="U67">
            <v>27604000</v>
          </cell>
          <cell r="V67">
            <v>0</v>
          </cell>
        </row>
        <row r="68">
          <cell r="J68">
            <v>36</v>
          </cell>
          <cell r="K68">
            <v>43116</v>
          </cell>
          <cell r="L68" t="str">
            <v>MARTHA CECILIA PERDOMO ORTIZ</v>
          </cell>
          <cell r="M68">
            <v>148</v>
          </cell>
          <cell r="N68" t="str">
            <v>CONTRATO DE PRESTACION DE SERVICIOS DE APOYO A LA GESTION</v>
          </cell>
          <cell r="O68">
            <v>46</v>
          </cell>
          <cell r="P68">
            <v>43116</v>
          </cell>
          <cell r="Q68" t="str">
            <v>Prestación de servicios de apoyo a la gestión, en la atención al servicio al ciudadano, teniendo en cuenta los protocolos, procedimientos y lineamientos establecidos por la CVP.</v>
          </cell>
          <cell r="R68">
            <v>17767500</v>
          </cell>
          <cell r="S68">
            <v>0</v>
          </cell>
          <cell r="T68">
            <v>0</v>
          </cell>
          <cell r="U68">
            <v>17767500</v>
          </cell>
          <cell r="V68">
            <v>9991000</v>
          </cell>
        </row>
        <row r="69">
          <cell r="J69">
            <v>41</v>
          </cell>
          <cell r="K69">
            <v>43116</v>
          </cell>
          <cell r="L69" t="str">
            <v>DIANA SOFIA MELO CASTRO</v>
          </cell>
          <cell r="M69">
            <v>148</v>
          </cell>
          <cell r="N69" t="str">
            <v>CONTRATO DE PRESTACION DE SERVICIOS DE APOYO A LA GESTION</v>
          </cell>
          <cell r="O69">
            <v>49</v>
          </cell>
          <cell r="P69">
            <v>43116</v>
          </cell>
          <cell r="Q69" t="str">
            <v>Prestación de servicios de apoyo a la gestión, en la atención al servicio al ciudadano, teniendo en cuenta los protocolos, procedimientos y lineamientos establecidos por la CVP.</v>
          </cell>
          <cell r="R69">
            <v>34942750</v>
          </cell>
          <cell r="S69">
            <v>0</v>
          </cell>
          <cell r="T69">
            <v>0</v>
          </cell>
          <cell r="U69">
            <v>34942750</v>
          </cell>
          <cell r="V69">
            <v>19648967</v>
          </cell>
        </row>
        <row r="70">
          <cell r="J70">
            <v>43</v>
          </cell>
          <cell r="K70">
            <v>43116</v>
          </cell>
          <cell r="L70" t="str">
            <v>LAURA VANESA MARTINEZ PEÑA</v>
          </cell>
          <cell r="M70">
            <v>148</v>
          </cell>
          <cell r="N70" t="str">
            <v>CONTRATO DE PRESTACION DE SERVICIOS DE APOYO A LA GESTION</v>
          </cell>
          <cell r="O70">
            <v>50</v>
          </cell>
          <cell r="P70">
            <v>43116</v>
          </cell>
          <cell r="Q70" t="str">
            <v>Prestación de servicios de apoyo a la gestión, en la atención al servicio al ciudadano, teniendo en cuenta los protocolos, procedimientos y lineamientos establecidos por la CVP.</v>
          </cell>
          <cell r="R70">
            <v>17767500</v>
          </cell>
          <cell r="S70">
            <v>0</v>
          </cell>
          <cell r="T70">
            <v>0</v>
          </cell>
          <cell r="U70">
            <v>17767500</v>
          </cell>
          <cell r="V70">
            <v>9991000</v>
          </cell>
        </row>
        <row r="71">
          <cell r="J71">
            <v>49</v>
          </cell>
          <cell r="K71">
            <v>43116</v>
          </cell>
          <cell r="L71" t="str">
            <v>MARIA ANGELICA AMEZQUITA GUZMAN</v>
          </cell>
          <cell r="M71">
            <v>148</v>
          </cell>
          <cell r="N71" t="str">
            <v>CONTRATO DE PRESTACION DE SERVICIOS DE APOYO A LA GESTION</v>
          </cell>
          <cell r="O71">
            <v>53</v>
          </cell>
          <cell r="P71">
            <v>43116</v>
          </cell>
          <cell r="Q71" t="str">
            <v>Prestación de servicios de apoyo a la gestión en la Dirección de Gestión Corporativa y CID, para apoyar operativamente las actividades realacionadas con la aplicación de los instrumentos archivísticos de la entidad.</v>
          </cell>
          <cell r="R71">
            <v>20136500</v>
          </cell>
          <cell r="S71">
            <v>0</v>
          </cell>
          <cell r="T71">
            <v>0</v>
          </cell>
          <cell r="U71">
            <v>20136500</v>
          </cell>
          <cell r="V71">
            <v>11323133</v>
          </cell>
        </row>
        <row r="72">
          <cell r="J72">
            <v>55</v>
          </cell>
          <cell r="K72">
            <v>43116</v>
          </cell>
          <cell r="L72" t="str">
            <v>JESSICA VIVIAN JIMENEZ BERNAL</v>
          </cell>
          <cell r="M72">
            <v>148</v>
          </cell>
          <cell r="N72" t="str">
            <v>CONTRATO DE PRESTACION DE SERVICIOS DE APOYO A LA GESTION</v>
          </cell>
          <cell r="O72">
            <v>40</v>
          </cell>
          <cell r="P72">
            <v>43116</v>
          </cell>
          <cell r="Q72" t="str">
            <v>Prestación de servicios de apoyo a la gestión para el adelantamiento de actividades administrativas y operativas relacionadas con los procesos a cargo de la Dirección de Gestión Corporativa y CID.</v>
          </cell>
          <cell r="R72">
            <v>28428000</v>
          </cell>
          <cell r="S72">
            <v>0</v>
          </cell>
          <cell r="T72">
            <v>0</v>
          </cell>
          <cell r="U72">
            <v>28428000</v>
          </cell>
          <cell r="V72">
            <v>15985600</v>
          </cell>
        </row>
        <row r="73">
          <cell r="J73">
            <v>59</v>
          </cell>
          <cell r="K73">
            <v>43116</v>
          </cell>
          <cell r="L73" t="str">
            <v>NELLY MARIA GUZMAN NEUTA</v>
          </cell>
          <cell r="M73">
            <v>148</v>
          </cell>
          <cell r="N73" t="str">
            <v>CONTRATO DE PRESTACION DE SERVICIOS DE APOYO A LA GESTION</v>
          </cell>
          <cell r="O73">
            <v>42</v>
          </cell>
          <cell r="P73">
            <v>43116</v>
          </cell>
          <cell r="Q73" t="str">
            <v>PRESTACIÓN DE SERVICIOS DE APOYO A LA GESTIÓN EN LAS ACTIVIDADES ADMINISTRATIVAS Y OPERATIVAS RELACIONADAS CON LOS PROCESOS A CARGO DE LA DIRECCIÓN DE GESTIÓN CORPORATIVA Y CID, ESPECIFICAMENTE EN EL DE ADQUISICIÓN DE BIENES Y SERVICIOS.</v>
          </cell>
          <cell r="R73">
            <v>38259350</v>
          </cell>
          <cell r="S73">
            <v>0</v>
          </cell>
          <cell r="T73">
            <v>0</v>
          </cell>
          <cell r="U73">
            <v>38259350</v>
          </cell>
          <cell r="V73">
            <v>21513953</v>
          </cell>
        </row>
        <row r="74">
          <cell r="J74">
            <v>68</v>
          </cell>
          <cell r="K74">
            <v>43116</v>
          </cell>
          <cell r="L74" t="str">
            <v>ANDRES FELIPE CELY LUQUE</v>
          </cell>
          <cell r="M74">
            <v>148</v>
          </cell>
          <cell r="N74" t="str">
            <v>CONTRATO DE PRESTACION DE SERVICIOS DE APOYO A LA GESTION</v>
          </cell>
          <cell r="O74">
            <v>62</v>
          </cell>
          <cell r="P74">
            <v>43116</v>
          </cell>
          <cell r="Q74" t="str">
            <v>Prestación de servicios de apoyo a la gestión en actividades relacionadas con el proceso financiero, que permitan el pago opotuno de los compromisos adquiridos por la Caja de la Vivienda Popular con terceros.</v>
          </cell>
          <cell r="R74">
            <v>34942750</v>
          </cell>
          <cell r="S74">
            <v>0</v>
          </cell>
          <cell r="T74">
            <v>0</v>
          </cell>
          <cell r="U74">
            <v>34942750</v>
          </cell>
          <cell r="V74">
            <v>19648967</v>
          </cell>
        </row>
        <row r="75">
          <cell r="J75">
            <v>70</v>
          </cell>
          <cell r="K75">
            <v>43116</v>
          </cell>
          <cell r="L75" t="str">
            <v>JEIMY KATHERINE BERNAL GARCIA</v>
          </cell>
          <cell r="M75">
            <v>148</v>
          </cell>
          <cell r="N75" t="str">
            <v>CONTRATO DE PRESTACION DE SERVICIOS DE APOYO A LA GESTION</v>
          </cell>
          <cell r="O75">
            <v>56</v>
          </cell>
          <cell r="P75">
            <v>43116</v>
          </cell>
          <cell r="Q75" t="str">
            <v>Prestación de servicios de apoyo a la gestion en las actividades relacionadas con el análisis y depuración de la cartera de la Entidad que se encuentran a cargo de la Subdireccion Financiera.</v>
          </cell>
          <cell r="R75">
            <v>20136500</v>
          </cell>
          <cell r="S75">
            <v>0</v>
          </cell>
          <cell r="T75">
            <v>0</v>
          </cell>
          <cell r="U75">
            <v>20136500</v>
          </cell>
          <cell r="V75">
            <v>11323133</v>
          </cell>
        </row>
        <row r="76">
          <cell r="J76">
            <v>71</v>
          </cell>
          <cell r="K76">
            <v>43116</v>
          </cell>
          <cell r="L76" t="str">
            <v>DIEGO ALEXANDER ROMERO PORRAS</v>
          </cell>
          <cell r="M76">
            <v>148</v>
          </cell>
          <cell r="N76" t="str">
            <v>CONTRATO DE PRESTACION DE SERVICIOS DE APOYO A LA GESTION</v>
          </cell>
          <cell r="O76">
            <v>57</v>
          </cell>
          <cell r="P76">
            <v>43116</v>
          </cell>
          <cell r="Q76" t="str">
            <v>Prestación de servicios de apoyo a la gestión para llevar a cabo las actividades relacionadas  con el proceso de órdenes de pago en los módulos dispuestos para tal fin por la Secretaria de Hacienda Distrital y/o utilizados por la Subdirección Financiera de la Caja de la Vivienda Popular.</v>
          </cell>
          <cell r="R76">
            <v>38259350</v>
          </cell>
          <cell r="S76">
            <v>0</v>
          </cell>
          <cell r="T76">
            <v>0</v>
          </cell>
          <cell r="U76">
            <v>38259350</v>
          </cell>
          <cell r="V76">
            <v>21513953</v>
          </cell>
        </row>
        <row r="77">
          <cell r="J77">
            <v>73</v>
          </cell>
          <cell r="K77">
            <v>43116</v>
          </cell>
          <cell r="L77" t="str">
            <v>LEYDY YOJANA FLOREZ SOLANO</v>
          </cell>
          <cell r="M77">
            <v>148</v>
          </cell>
          <cell r="N77" t="str">
            <v>CONTRATO DE PRESTACION DE SERVICIOS DE APOYO A LA GESTION</v>
          </cell>
          <cell r="O77">
            <v>59</v>
          </cell>
          <cell r="P77">
            <v>43116</v>
          </cell>
          <cell r="Q77" t="str">
            <v>Prestación de servicios para apoyar a la Subdirección Financiera en el desarrollo de las actividades propias de su gestión, en especial las relacionadas con tesorería, de acuerdo con las normas vigentes, los procedimientos y los lineamientos internos de la CVP.</v>
          </cell>
          <cell r="R77">
            <v>34942750</v>
          </cell>
          <cell r="S77">
            <v>0</v>
          </cell>
          <cell r="T77">
            <v>0</v>
          </cell>
          <cell r="U77">
            <v>34942750</v>
          </cell>
          <cell r="V77">
            <v>19648967</v>
          </cell>
        </row>
        <row r="78">
          <cell r="J78">
            <v>75</v>
          </cell>
          <cell r="K78">
            <v>43116</v>
          </cell>
          <cell r="L78" t="str">
            <v>ELIZABETH  CARRILLO MEDINA</v>
          </cell>
          <cell r="M78">
            <v>148</v>
          </cell>
          <cell r="N78" t="str">
            <v>CONTRATO DE PRESTACION DE SERVICIOS DE APOYO A LA GESTION</v>
          </cell>
          <cell r="O78">
            <v>61</v>
          </cell>
          <cell r="P78">
            <v>43116</v>
          </cell>
          <cell r="Q78" t="str">
            <v>Prestar los servicios de apoyo para el trámite, seguimiento y control de las PQRS y realizar la gestión documental de la Subdirección Financiera, aplicando los lineamientos y normatividad vigentes.</v>
          </cell>
          <cell r="R78">
            <v>28428000</v>
          </cell>
          <cell r="S78">
            <v>0</v>
          </cell>
          <cell r="T78">
            <v>0</v>
          </cell>
          <cell r="U78">
            <v>28428000</v>
          </cell>
          <cell r="V78">
            <v>15985600</v>
          </cell>
        </row>
        <row r="79">
          <cell r="J79">
            <v>97</v>
          </cell>
          <cell r="K79">
            <v>43116</v>
          </cell>
          <cell r="L79" t="str">
            <v>ANDREA VANESSA JAIMES CARDENAS</v>
          </cell>
          <cell r="M79">
            <v>145</v>
          </cell>
          <cell r="N79" t="str">
            <v>CONTRATO DE PRESTACION DE SERVICIOS PROFESIONALES</v>
          </cell>
          <cell r="O79">
            <v>84</v>
          </cell>
          <cell r="P79">
            <v>43116</v>
          </cell>
          <cell r="Q79" t="str">
            <v>Prestación de servicios para apoyar las actividades de administración y control de las bases de datos y de los sistemas de información utilizados por la Dirección de Gestión Corporativa y CID en el proceso de adquisición de bienes y servicios.</v>
          </cell>
          <cell r="R79">
            <v>34942750</v>
          </cell>
          <cell r="S79">
            <v>34942750</v>
          </cell>
          <cell r="T79">
            <v>0</v>
          </cell>
          <cell r="U79">
            <v>0</v>
          </cell>
          <cell r="V79">
            <v>0</v>
          </cell>
        </row>
        <row r="80">
          <cell r="J80">
            <v>103</v>
          </cell>
          <cell r="K80">
            <v>43116</v>
          </cell>
          <cell r="L80" t="str">
            <v>WALTER ARLEY RINCON QUINTERO</v>
          </cell>
          <cell r="M80">
            <v>148</v>
          </cell>
          <cell r="N80" t="str">
            <v>CONTRATO DE PRESTACION DE SERVICIOS DE APOYO A LA GESTION</v>
          </cell>
          <cell r="O80">
            <v>91</v>
          </cell>
          <cell r="P80">
            <v>43116</v>
          </cell>
          <cell r="Q80" t="str">
            <v>Prestar los servicios de apoyo a la gestión a la Dirección Jurídica en lo relacionado con el archivo, seguimiento y control de los procesos judiciales y extrajudiciales en los que hace parte la Caja de la Vivienda Popular.</v>
          </cell>
          <cell r="R80">
            <v>38259350</v>
          </cell>
          <cell r="S80">
            <v>0</v>
          </cell>
          <cell r="T80">
            <v>0</v>
          </cell>
          <cell r="U80">
            <v>38259350</v>
          </cell>
          <cell r="V80">
            <v>21624850</v>
          </cell>
        </row>
        <row r="81">
          <cell r="J81">
            <v>106</v>
          </cell>
          <cell r="K81">
            <v>43116</v>
          </cell>
          <cell r="L81" t="str">
            <v>ANDREA VANESSA JAIMES CARDENAS</v>
          </cell>
          <cell r="M81">
            <v>148</v>
          </cell>
          <cell r="N81" t="str">
            <v>CONTRATO DE PRESTACION DE SERVICIOS DE APOYO A LA GESTION</v>
          </cell>
          <cell r="O81">
            <v>84</v>
          </cell>
          <cell r="P81">
            <v>43116</v>
          </cell>
          <cell r="Q81" t="str">
            <v>Prestación de servicios para apoyar las actividades de administración y control de las bases de datos y de los sistemas de información utilizados por la Dirección de Gestión Corporativa y CID en el proceso de adquisición de bienes y servicios.</v>
          </cell>
          <cell r="R81">
            <v>34942750</v>
          </cell>
          <cell r="S81">
            <v>0</v>
          </cell>
          <cell r="T81">
            <v>0</v>
          </cell>
          <cell r="U81">
            <v>34942750</v>
          </cell>
          <cell r="V81">
            <v>19648967</v>
          </cell>
        </row>
        <row r="82">
          <cell r="J82">
            <v>118</v>
          </cell>
          <cell r="K82">
            <v>43117</v>
          </cell>
          <cell r="L82" t="str">
            <v>LUZ MERY PEDRAZA PEDRAZA</v>
          </cell>
          <cell r="M82">
            <v>148</v>
          </cell>
          <cell r="N82" t="str">
            <v>CONTRATO DE PRESTACION DE SERVICIOS DE APOYO A LA GESTION</v>
          </cell>
          <cell r="O82">
            <v>97</v>
          </cell>
          <cell r="P82">
            <v>43117</v>
          </cell>
          <cell r="Q82" t="str">
            <v>Prestación de servicios de apoyo a la gestión para realizar el acompañamiento técnico en los temas relacionados con el proceso de Gestión Documental a cargo de la Subdirección Administrativa.</v>
          </cell>
          <cell r="R82">
            <v>28428000</v>
          </cell>
          <cell r="S82">
            <v>0</v>
          </cell>
          <cell r="T82">
            <v>0</v>
          </cell>
          <cell r="U82">
            <v>28428000</v>
          </cell>
          <cell r="V82">
            <v>15903200</v>
          </cell>
        </row>
        <row r="83">
          <cell r="J83">
            <v>132</v>
          </cell>
          <cell r="K83">
            <v>43117</v>
          </cell>
          <cell r="L83" t="str">
            <v>DAVID FELIPE CASTAÑEDA RUBIO</v>
          </cell>
          <cell r="M83">
            <v>148</v>
          </cell>
          <cell r="N83" t="str">
            <v>CONTRATO DE PRESTACION DE SERVICIOS DE APOYO A LA GESTION</v>
          </cell>
          <cell r="O83">
            <v>113</v>
          </cell>
          <cell r="P83">
            <v>43117</v>
          </cell>
          <cell r="Q83" t="str">
            <v>Prestación de servicios para apoyar a la Subdirección Financiera en el desarrollo de las actividades propias de su gestión, en especial las relacionadas con tesorería, de acuerdo con las normas vigentes, los procedimientos y los lineamientos internos de la CVP.</v>
          </cell>
          <cell r="R83">
            <v>38259350</v>
          </cell>
          <cell r="S83">
            <v>38259350</v>
          </cell>
          <cell r="T83">
            <v>0</v>
          </cell>
          <cell r="U83">
            <v>0</v>
          </cell>
          <cell r="V83">
            <v>0</v>
          </cell>
        </row>
        <row r="84">
          <cell r="J84">
            <v>203</v>
          </cell>
          <cell r="K84">
            <v>43118</v>
          </cell>
          <cell r="L84" t="str">
            <v>DAVID FELIPE CASTAÑEDA RUBIO</v>
          </cell>
          <cell r="M84">
            <v>148</v>
          </cell>
          <cell r="N84" t="str">
            <v>CONTRATO DE PRESTACION DE SERVICIOS DE APOYO A LA GESTION</v>
          </cell>
          <cell r="O84">
            <v>113</v>
          </cell>
          <cell r="P84">
            <v>43118</v>
          </cell>
          <cell r="Q84" t="str">
            <v>Prestación de servicios para apoyar a la Subdirección Financiera en el desarrollo de las actividades propias de su gestión, en especial las relacionadas con tesorería, de acuerdo con las normas vigentes, los procedimientos y los lineamientos internos de la CVP.</v>
          </cell>
          <cell r="R84">
            <v>19961400</v>
          </cell>
          <cell r="S84">
            <v>0</v>
          </cell>
          <cell r="T84">
            <v>0</v>
          </cell>
          <cell r="U84">
            <v>19961400</v>
          </cell>
          <cell r="V84">
            <v>19961400</v>
          </cell>
        </row>
        <row r="85">
          <cell r="J85">
            <v>226</v>
          </cell>
          <cell r="K85">
            <v>43118</v>
          </cell>
          <cell r="L85" t="str">
            <v>MARIA LUISA VILLARREAL HERNANDEZ</v>
          </cell>
          <cell r="M85">
            <v>148</v>
          </cell>
          <cell r="N85" t="str">
            <v>CONTRATO DE PRESTACION DE SERVICIOS DE APOYO A LA GESTION</v>
          </cell>
          <cell r="O85">
            <v>196</v>
          </cell>
          <cell r="P85">
            <v>43118</v>
          </cell>
          <cell r="Q85" t="str">
            <v>Prestación de servicios de apoyo a la gestión en actividades relacionadas con el proceso financiero, que permitan el pago opotuno de los compromisos adquiridos por la Caja de la Vivienda Popular con terceros.</v>
          </cell>
          <cell r="R85">
            <v>28428000</v>
          </cell>
          <cell r="S85">
            <v>0</v>
          </cell>
          <cell r="T85">
            <v>0</v>
          </cell>
          <cell r="U85">
            <v>28428000</v>
          </cell>
          <cell r="V85">
            <v>15820800</v>
          </cell>
        </row>
        <row r="86">
          <cell r="J86">
            <v>432</v>
          </cell>
          <cell r="K86">
            <v>43124</v>
          </cell>
          <cell r="L86" t="str">
            <v>CARLOS EDUARDO GARCIA AVILAN</v>
          </cell>
          <cell r="M86">
            <v>148</v>
          </cell>
          <cell r="N86" t="str">
            <v>CONTRATO DE PRESTACION DE SERVICIOS DE APOYO A LA GESTION</v>
          </cell>
          <cell r="O86">
            <v>373</v>
          </cell>
          <cell r="P86">
            <v>43124</v>
          </cell>
          <cell r="Q86" t="str">
            <v>Prestación de servicios de apoyo a la gestión en las actividades operativas requeridas en el proceso de Gestión Documental a cargo de la Subdirección Administrativa.</v>
          </cell>
          <cell r="R86">
            <v>17767500</v>
          </cell>
          <cell r="S86">
            <v>0</v>
          </cell>
          <cell r="T86">
            <v>0</v>
          </cell>
          <cell r="U86">
            <v>17767500</v>
          </cell>
          <cell r="V86">
            <v>9579000</v>
          </cell>
        </row>
        <row r="87">
          <cell r="J87">
            <v>433</v>
          </cell>
          <cell r="K87">
            <v>43124</v>
          </cell>
          <cell r="L87" t="str">
            <v>ARNULFO  MACIAS MUÑOZ</v>
          </cell>
          <cell r="M87">
            <v>148</v>
          </cell>
          <cell r="N87" t="str">
            <v>CONTRATO DE PRESTACION DE SERVICIOS DE APOYO A LA GESTION</v>
          </cell>
          <cell r="O87">
            <v>374</v>
          </cell>
          <cell r="P87">
            <v>43124</v>
          </cell>
          <cell r="Q87" t="str">
            <v>Prestación de servicios de apoyo a la gestión para realizar ela compañamiento técnico en los temas relacionados con el proceso de Gestión Documental a cargo de la Subdirección Administrativa.</v>
          </cell>
          <cell r="R87">
            <v>28428000</v>
          </cell>
          <cell r="S87">
            <v>0</v>
          </cell>
          <cell r="T87">
            <v>0</v>
          </cell>
          <cell r="U87">
            <v>28428000</v>
          </cell>
          <cell r="V87">
            <v>15326400</v>
          </cell>
        </row>
        <row r="88">
          <cell r="J88">
            <v>442</v>
          </cell>
          <cell r="K88">
            <v>43125</v>
          </cell>
          <cell r="L88" t="str">
            <v>NELLY  NOVA PINZON</v>
          </cell>
          <cell r="M88">
            <v>148</v>
          </cell>
          <cell r="N88" t="str">
            <v>CONTRATO DE PRESTACION DE SERVICIOS DE APOYO A LA GESTION</v>
          </cell>
          <cell r="O88">
            <v>377</v>
          </cell>
          <cell r="P88">
            <v>43125</v>
          </cell>
          <cell r="Q88" t="str">
            <v>PRESTACIÓN DE SERVICIOS PARA APOYAR LAS ACTIVIDADES OPERATIVAS REQUERIDAS EN LA ORGANIZACIÓN Y CONSULTA DE LOS ARCHIVOS DE GESTIÓN DE LA CAJA DE LA VIVIENDA POPULAR.</v>
          </cell>
          <cell r="R88">
            <v>17767500</v>
          </cell>
          <cell r="S88">
            <v>0</v>
          </cell>
          <cell r="T88">
            <v>0</v>
          </cell>
          <cell r="U88">
            <v>17767500</v>
          </cell>
          <cell r="V88">
            <v>9579000</v>
          </cell>
        </row>
        <row r="89">
          <cell r="J89">
            <v>2505</v>
          </cell>
          <cell r="K89">
            <v>43299</v>
          </cell>
          <cell r="L89" t="str">
            <v>JUAN EDUARDO GUERRERO QUIROGA</v>
          </cell>
          <cell r="M89">
            <v>148</v>
          </cell>
          <cell r="N89" t="str">
            <v>CONTRATO DE PRESTACION DE SERVICIOS DE APOYO A LA GESTION</v>
          </cell>
          <cell r="O89">
            <v>448</v>
          </cell>
          <cell r="P89">
            <v>43299</v>
          </cell>
          <cell r="Q89" t="str">
            <v>Prestación de servicios de apoyo a la gestion de la Subdirección Financiera, en el desarrollo de actividades propias de su gestion, en especial las relacionadas con tesoreria, de acuerdo con las normas vigentes, los procedimientos y los lineamientos internos de la Caja de la Vivienda Popular.</v>
          </cell>
          <cell r="R89">
            <v>18076157</v>
          </cell>
          <cell r="S89">
            <v>0</v>
          </cell>
          <cell r="T89">
            <v>0</v>
          </cell>
          <cell r="U89">
            <v>18076157</v>
          </cell>
          <cell r="V89">
            <v>1441657</v>
          </cell>
        </row>
        <row r="90">
          <cell r="J90">
            <v>2446</v>
          </cell>
          <cell r="K90">
            <v>43286</v>
          </cell>
          <cell r="L90" t="str">
            <v>SERVICIOS POSTALES NACIONALES S A</v>
          </cell>
          <cell r="M90">
            <v>12</v>
          </cell>
          <cell r="N90" t="str">
            <v>CONTRATO DE PRESTACION DE SERVICIOS</v>
          </cell>
          <cell r="O90">
            <v>440</v>
          </cell>
          <cell r="P90">
            <v>43286</v>
          </cell>
          <cell r="Q90" t="str">
            <v>Prestación del servicio de mensajería expresa y motorizada para la recolección, transporte y entrega de la correspondencia de la Caja de la Vivienda Popular.</v>
          </cell>
          <cell r="R90">
            <v>33800000</v>
          </cell>
          <cell r="S90">
            <v>0</v>
          </cell>
          <cell r="T90">
            <v>0</v>
          </cell>
          <cell r="U90">
            <v>33800000</v>
          </cell>
          <cell r="V90">
            <v>0</v>
          </cell>
        </row>
        <row r="91">
          <cell r="J91">
            <v>2750</v>
          </cell>
          <cell r="K91">
            <v>43336</v>
          </cell>
          <cell r="L91" t="str">
            <v>COLOMBIA TELECOMUNICACIONES S A E S P</v>
          </cell>
          <cell r="M91">
            <v>28</v>
          </cell>
          <cell r="N91" t="str">
            <v>FACTURAS</v>
          </cell>
          <cell r="O91">
            <v>652520</v>
          </cell>
          <cell r="P91">
            <v>43336</v>
          </cell>
          <cell r="Q91" t="str">
            <v>SERVICIO DE TELEFONÍA CELULAR PERIODO AGOSTO 17 A SEPTIEMBRE 16 DE 2018 S/F 183652520</v>
          </cell>
          <cell r="R91">
            <v>692357</v>
          </cell>
          <cell r="S91">
            <v>692357</v>
          </cell>
          <cell r="T91">
            <v>0</v>
          </cell>
          <cell r="U91">
            <v>0</v>
          </cell>
          <cell r="V91">
            <v>0</v>
          </cell>
        </row>
        <row r="92">
          <cell r="J92">
            <v>2618</v>
          </cell>
          <cell r="K92">
            <v>43322</v>
          </cell>
          <cell r="L92" t="str">
            <v>ASCENSORES SCHINDLER DE COLOMBIA SAS</v>
          </cell>
          <cell r="M92">
            <v>12</v>
          </cell>
          <cell r="N92" t="str">
            <v>CONTRATO DE PRESTACION DE SERVICIOS</v>
          </cell>
          <cell r="O92">
            <v>477</v>
          </cell>
          <cell r="P92">
            <v>43322</v>
          </cell>
          <cell r="Q92" t="str">
            <v>CONTRATAR LA PRESTACIÓN DEL SERVICIO DE MANTENIMIENTO PREVENTIVO Y CORRECTIVO CON SUMINISTRO DE REPUESTOS PARA EL ELEVADOR DE LA CAJA DE LA VIVIENDA POPULAR.</v>
          </cell>
          <cell r="R92">
            <v>5500000</v>
          </cell>
          <cell r="S92">
            <v>0</v>
          </cell>
          <cell r="T92">
            <v>0</v>
          </cell>
          <cell r="U92">
            <v>5500000</v>
          </cell>
          <cell r="V92">
            <v>0</v>
          </cell>
        </row>
        <row r="93">
          <cell r="J93">
            <v>2756</v>
          </cell>
          <cell r="K93">
            <v>43339</v>
          </cell>
          <cell r="L93" t="str">
            <v>UNIVERSIDAD DISTRITAL FRANCISCO JOSE DE CALDAS</v>
          </cell>
          <cell r="M93">
            <v>11</v>
          </cell>
          <cell r="N93" t="str">
            <v>CONTRATOS INTERADMINISTRATIVOS</v>
          </cell>
          <cell r="O93">
            <v>533</v>
          </cell>
          <cell r="P93">
            <v>43339</v>
          </cell>
          <cell r="Q93" t="str">
            <v>Prestación de servicios para la implementación del plan institucional de capacitación de la CVP a través de diplomados, talleres, conferencia, cursos, en procura del fortalecimiento institucional</v>
          </cell>
          <cell r="R93">
            <v>34250000</v>
          </cell>
          <cell r="S93">
            <v>0</v>
          </cell>
          <cell r="T93">
            <v>0</v>
          </cell>
          <cell r="U93">
            <v>34250000</v>
          </cell>
          <cell r="V93">
            <v>0</v>
          </cell>
        </row>
        <row r="94">
          <cell r="J94">
            <v>2764</v>
          </cell>
          <cell r="K94">
            <v>43341</v>
          </cell>
          <cell r="L94" t="str">
            <v>CAJA DE COMPENSACION FAMILIAR - COMPENSAR</v>
          </cell>
          <cell r="M94">
            <v>12</v>
          </cell>
          <cell r="N94" t="str">
            <v>CONTRATO DE PRESTACION DE SERVICIOS</v>
          </cell>
          <cell r="O94">
            <v>500</v>
          </cell>
          <cell r="P94">
            <v>43341</v>
          </cell>
          <cell r="Q94" t="str">
            <v>Contratar la prestación de servicios de bienestar social e incentivos y apoyo logístico de las actividades recreativas, culturales, pecuniarios, sede social, salones y demás actividades de bienestar, las cuales tienen como fin contribuir al fortalecimiento de los procesos motivacionales, actitudinales y comportamentales de los Servidores Públicos de la Caja de la Vivienda Popular (CVP).</v>
          </cell>
          <cell r="R94">
            <v>63638000</v>
          </cell>
          <cell r="S94">
            <v>0</v>
          </cell>
          <cell r="T94">
            <v>0</v>
          </cell>
          <cell r="U94">
            <v>63638000</v>
          </cell>
          <cell r="V94">
            <v>0</v>
          </cell>
        </row>
        <row r="95">
          <cell r="J95">
            <v>2</v>
          </cell>
          <cell r="K95">
            <v>43111</v>
          </cell>
          <cell r="L95" t="str">
            <v>EDNA MARGARITA SANCHEZ CARO</v>
          </cell>
          <cell r="M95">
            <v>145</v>
          </cell>
          <cell r="N95" t="str">
            <v>CONTRATO DE PRESTACION DE SERVICIOS PROFESIONALES</v>
          </cell>
          <cell r="O95">
            <v>2</v>
          </cell>
          <cell r="P95">
            <v>43111</v>
          </cell>
          <cell r="Q95" t="str">
            <v>Prestación de servicios profesionales para apoyar la ejecución de actividades asociadas a los trámites requeridos para los pagos a realizar por la Dirección de Reasentamientos en ejecución de los contratos suscritos, y demás actividades que en materia contractual requiera el área misional.</v>
          </cell>
          <cell r="R95">
            <v>37389000</v>
          </cell>
          <cell r="S95">
            <v>0</v>
          </cell>
          <cell r="T95">
            <v>0</v>
          </cell>
          <cell r="U95">
            <v>37389000</v>
          </cell>
          <cell r="V95">
            <v>22660000</v>
          </cell>
        </row>
        <row r="96">
          <cell r="J96">
            <v>17</v>
          </cell>
          <cell r="K96">
            <v>43115</v>
          </cell>
          <cell r="L96" t="str">
            <v>JORGE RENE MORA DIAZ</v>
          </cell>
          <cell r="M96">
            <v>145</v>
          </cell>
          <cell r="N96" t="str">
            <v>CONTRATO DE PRESTACION DE SERVICIOS PROFESIONALES</v>
          </cell>
          <cell r="O96">
            <v>22</v>
          </cell>
          <cell r="P96">
            <v>43115</v>
          </cell>
          <cell r="Q96" t="str">
            <v>Prestación de servicios profesionales para asesorar a la Dirección de Reasentamientos en la revisión y ajustes de procesos y procedimientos, que permitan la ejecución de los programas misionales en aplicación de los diferentes instrumentos establecidos en materia de Reasentamientos Humanos.</v>
          </cell>
          <cell r="R96">
            <v>113300000</v>
          </cell>
          <cell r="S96">
            <v>113300000</v>
          </cell>
          <cell r="T96">
            <v>0</v>
          </cell>
          <cell r="U96">
            <v>0</v>
          </cell>
          <cell r="V96">
            <v>0</v>
          </cell>
        </row>
        <row r="97">
          <cell r="J97">
            <v>25</v>
          </cell>
          <cell r="K97">
            <v>43115</v>
          </cell>
          <cell r="L97" t="str">
            <v>JORGE RENE MORA DIAZ</v>
          </cell>
          <cell r="M97">
            <v>145</v>
          </cell>
          <cell r="N97" t="str">
            <v>CONTRATO DE PRESTACION DE SERVICIOS PROFESIONALES</v>
          </cell>
          <cell r="O97">
            <v>22</v>
          </cell>
          <cell r="P97">
            <v>43115</v>
          </cell>
          <cell r="Q97" t="str">
            <v>Prestación de servicios profesionales para asesorar a la Dirección de Reasentamientos en la revisión y ajustes de procesos y procedimientos, que permitan la ejecución de los programas misionales en aplicación de los diferentes instrumentos establecidos en materia de Reasentamientos Humanos.</v>
          </cell>
          <cell r="R97">
            <v>113300000</v>
          </cell>
          <cell r="S97">
            <v>0</v>
          </cell>
          <cell r="T97">
            <v>0</v>
          </cell>
          <cell r="U97">
            <v>113300000</v>
          </cell>
          <cell r="V97">
            <v>67293333</v>
          </cell>
        </row>
        <row r="98">
          <cell r="J98">
            <v>35</v>
          </cell>
          <cell r="K98">
            <v>43116</v>
          </cell>
          <cell r="L98" t="str">
            <v>IVAN EDUARDO CASSIANI GUTIERREZ</v>
          </cell>
          <cell r="M98">
            <v>145</v>
          </cell>
          <cell r="N98" t="str">
            <v>CONTRATO DE PRESTACION DE SERVICIOS PROFESIONALES</v>
          </cell>
          <cell r="O98">
            <v>34</v>
          </cell>
          <cell r="P98">
            <v>43116</v>
          </cell>
          <cell r="Q98" t="str">
            <v>Prestación de servicios profesionales, para el acompañamiento jurídico, en los procesos y procedimientos establecidos frente a la ejecución del programa misional de la Dirección de reasentamientos de la Caja de la Vivienda Popular.</v>
          </cell>
          <cell r="R98">
            <v>49852000</v>
          </cell>
          <cell r="S98">
            <v>0</v>
          </cell>
          <cell r="T98">
            <v>0</v>
          </cell>
          <cell r="U98">
            <v>49852000</v>
          </cell>
          <cell r="V98">
            <v>29458000</v>
          </cell>
        </row>
        <row r="99">
          <cell r="J99">
            <v>42</v>
          </cell>
          <cell r="K99">
            <v>43116</v>
          </cell>
          <cell r="L99" t="str">
            <v>LINA MARIA AZUERO GUTIERREZ</v>
          </cell>
          <cell r="M99">
            <v>145</v>
          </cell>
          <cell r="N99" t="str">
            <v>CONTRATO DE PRESTACION DE SERVICIOS PROFESIONALES</v>
          </cell>
          <cell r="O99">
            <v>36</v>
          </cell>
          <cell r="P99">
            <v>43116</v>
          </cell>
          <cell r="Q99" t="str">
            <v>Prestación de Servicios Profesionales en los procesos misionales y proyectos especiales para apoyar la gestión, planeación, concertación y seguimiento a los planesy cronogramas del componente social</v>
          </cell>
          <cell r="R99">
            <v>23690000</v>
          </cell>
          <cell r="S99">
            <v>0</v>
          </cell>
          <cell r="T99">
            <v>0</v>
          </cell>
          <cell r="U99">
            <v>23690000</v>
          </cell>
          <cell r="V99">
            <v>12360000</v>
          </cell>
        </row>
        <row r="100">
          <cell r="J100">
            <v>83</v>
          </cell>
          <cell r="K100">
            <v>43116</v>
          </cell>
          <cell r="L100" t="str">
            <v>AGUSTIN  LOBATON CORTES</v>
          </cell>
          <cell r="M100">
            <v>145</v>
          </cell>
          <cell r="N100" t="str">
            <v>CONTRATO DE PRESTACION DE SERVICIOS PROFESIONALES</v>
          </cell>
          <cell r="O100">
            <v>33</v>
          </cell>
          <cell r="P100">
            <v>43116</v>
          </cell>
          <cell r="Q100" t="str">
            <v>Prestar sus servicios profesionales en la Dirección Jurídica en el desarrollo de actividades jurídicas relacionadas con los procedimientos, actuaciones, competencias y tramites en general que guarden relación con la Dirección Técnica de Reasentamientos de la CVP</v>
          </cell>
          <cell r="R100">
            <v>47380000</v>
          </cell>
          <cell r="S100">
            <v>0</v>
          </cell>
          <cell r="T100">
            <v>0</v>
          </cell>
          <cell r="U100">
            <v>47380000</v>
          </cell>
          <cell r="V100">
            <v>26780000</v>
          </cell>
        </row>
        <row r="101">
          <cell r="J101">
            <v>87</v>
          </cell>
          <cell r="K101">
            <v>43116</v>
          </cell>
          <cell r="L101" t="str">
            <v>FLORANGELA  OLEA ARRIETA</v>
          </cell>
          <cell r="M101">
            <v>145</v>
          </cell>
          <cell r="N101" t="str">
            <v>CONTRATO DE PRESTACION DE SERVICIOS PROFESIONALES</v>
          </cell>
          <cell r="O101">
            <v>75</v>
          </cell>
          <cell r="P101">
            <v>43116</v>
          </cell>
          <cell r="Q101" t="str">
            <v>PRESTACIÓN DE  SERVICIOS PROFESIONALES DE APOYO Y CONCEPTUALIZACIÓN JURÍDICA EN LOS ASUNTOS RELACIONADOS CON LOS PROCESOS DE LA DIRECCIÓN DE REASENTAMIENTOS DE LA CAJA DE LA VIVIENDA POPULAR,  DE CONFORMIDAD CON LAS NORMAS MAS ELEVADAS DE COMPETENCIA, IDONEIDAD E INTEGRIDAD E¿TICA Y PROFESIONAL.</v>
          </cell>
          <cell r="R101">
            <v>67980000</v>
          </cell>
          <cell r="S101">
            <v>0</v>
          </cell>
          <cell r="T101">
            <v>0</v>
          </cell>
          <cell r="U101">
            <v>67980000</v>
          </cell>
          <cell r="V101">
            <v>39964000</v>
          </cell>
        </row>
        <row r="102">
          <cell r="J102">
            <v>89</v>
          </cell>
          <cell r="K102">
            <v>43116</v>
          </cell>
          <cell r="L102" t="str">
            <v>ERIKA PAOLA GALLEGO CAMARGO</v>
          </cell>
          <cell r="M102">
            <v>145</v>
          </cell>
          <cell r="N102" t="str">
            <v>CONTRATO DE PRESTACION DE SERVICIOS PROFESIONALES</v>
          </cell>
          <cell r="O102">
            <v>77</v>
          </cell>
          <cell r="P102">
            <v>43116</v>
          </cell>
          <cell r="Q102" t="str">
            <v>Prestación de servicios profesionales, para el acompañamiento jurídico, en los procesos y procedimientos establecidos frente a la ejecución del programa misional de la Dirección de reasentamientos de la Caja de la Vivienda Popular y en especial frente al beneficio de relocalización transitoria.</v>
          </cell>
          <cell r="R102">
            <v>50367000</v>
          </cell>
          <cell r="S102">
            <v>0</v>
          </cell>
          <cell r="T102">
            <v>0</v>
          </cell>
          <cell r="U102">
            <v>50367000</v>
          </cell>
          <cell r="V102">
            <v>32570660</v>
          </cell>
        </row>
        <row r="103">
          <cell r="J103">
            <v>90</v>
          </cell>
          <cell r="K103">
            <v>43116</v>
          </cell>
          <cell r="L103" t="str">
            <v>DIANA PAOLA MATIZ CASTILLO</v>
          </cell>
          <cell r="M103">
            <v>145</v>
          </cell>
          <cell r="N103" t="str">
            <v>CONTRATO DE PRESTACION DE SERVICIOS PROFESIONALES</v>
          </cell>
          <cell r="O103">
            <v>78</v>
          </cell>
          <cell r="P103">
            <v>43116</v>
          </cell>
          <cell r="Q103" t="str">
            <v>Prestación de servicios profesionales, para el acompañamiento jurídico, en los procesos y procedimientos establecidos frente a la ejecución del programa misional de la Dirección de Reasentamientos de la Caja de la Vivienda Popular.</v>
          </cell>
          <cell r="R103">
            <v>43260000</v>
          </cell>
          <cell r="S103">
            <v>0</v>
          </cell>
          <cell r="T103">
            <v>0</v>
          </cell>
          <cell r="U103">
            <v>43260000</v>
          </cell>
          <cell r="V103">
            <v>43260000</v>
          </cell>
        </row>
        <row r="104">
          <cell r="J104">
            <v>91</v>
          </cell>
          <cell r="K104">
            <v>43116</v>
          </cell>
          <cell r="L104" t="str">
            <v>JORGE EDUARDO RAMIREZ ALVIRA</v>
          </cell>
          <cell r="M104">
            <v>145</v>
          </cell>
          <cell r="N104" t="str">
            <v>CONTRATO DE PRESTACION DE SERVICIOS PROFESIONALES</v>
          </cell>
          <cell r="O104">
            <v>80</v>
          </cell>
          <cell r="P104">
            <v>43116</v>
          </cell>
          <cell r="Q104" t="str">
            <v>Prestación de servicios profesionales de apoyo financiero y administrativo, respecto a la verificación requisitos, control presupuestal y reporte de información a la Dirección de Reasentamientos de la Caja de la Vivienda Popular</v>
          </cell>
          <cell r="R104">
            <v>67980000</v>
          </cell>
          <cell r="S104">
            <v>0</v>
          </cell>
          <cell r="T104">
            <v>0</v>
          </cell>
          <cell r="U104">
            <v>67980000</v>
          </cell>
          <cell r="V104">
            <v>39964000</v>
          </cell>
        </row>
        <row r="105">
          <cell r="J105">
            <v>92</v>
          </cell>
          <cell r="K105">
            <v>43116</v>
          </cell>
          <cell r="L105" t="str">
            <v>SEBASTIAN  GOMEZ LIEVANO</v>
          </cell>
          <cell r="M105">
            <v>145</v>
          </cell>
          <cell r="N105" t="str">
            <v>CONTRATO DE PRESTACION DE SERVICIOS PROFESIONALES</v>
          </cell>
          <cell r="O105">
            <v>79</v>
          </cell>
          <cell r="P105">
            <v>43116</v>
          </cell>
          <cell r="Q105" t="str">
            <v>Prestar sus servicios profesionales en la Dirección de Reasentamientos apoyando la ejecución de las diferentes actividades de la Dirección, en especial temas relacionados con relocalización transitoria.</v>
          </cell>
          <cell r="R105">
            <v>37389000</v>
          </cell>
          <cell r="S105">
            <v>0</v>
          </cell>
          <cell r="T105">
            <v>0</v>
          </cell>
          <cell r="U105">
            <v>37389000</v>
          </cell>
          <cell r="V105">
            <v>21980200</v>
          </cell>
        </row>
        <row r="106">
          <cell r="J106">
            <v>116</v>
          </cell>
          <cell r="K106">
            <v>43117</v>
          </cell>
          <cell r="L106" t="str">
            <v>MARCO ANTONIO AMADO VEGA</v>
          </cell>
          <cell r="M106">
            <v>145</v>
          </cell>
          <cell r="N106" t="str">
            <v>CONTRATO DE PRESTACION DE SERVICIOS PROFESIONALES</v>
          </cell>
          <cell r="O106">
            <v>94</v>
          </cell>
          <cell r="P106">
            <v>43117</v>
          </cell>
          <cell r="Q106" t="str">
            <v>Prestación de servicios profesionales, para el acompañamiento jurídico, en los procesos y procedimientos establecidos frente a la ejecución del programa misional de la Dirección de reasentamientos de la Caja de la Vivienda Popular.</v>
          </cell>
          <cell r="R106">
            <v>90640000</v>
          </cell>
          <cell r="S106">
            <v>0</v>
          </cell>
          <cell r="T106">
            <v>0</v>
          </cell>
          <cell r="U106">
            <v>90640000</v>
          </cell>
          <cell r="V106">
            <v>53285334</v>
          </cell>
        </row>
        <row r="107">
          <cell r="J107">
            <v>123</v>
          </cell>
          <cell r="K107">
            <v>43117</v>
          </cell>
          <cell r="L107" t="str">
            <v>MILENA ASTRITH BECERRA TORO</v>
          </cell>
          <cell r="M107">
            <v>145</v>
          </cell>
          <cell r="N107" t="str">
            <v>CONTRATO DE PRESTACION DE SERVICIOS PROFESIONALES</v>
          </cell>
          <cell r="O107">
            <v>116</v>
          </cell>
          <cell r="P107">
            <v>43117</v>
          </cell>
          <cell r="Q107" t="str">
            <v>Prestación de servicios profesionales de apoyo financiero respecto a la programación, control presupuestal y acciones de soporte en la Dirección de Reasentamientos de la Caja de la Vivienda Popular</v>
          </cell>
          <cell r="R107">
            <v>41200000</v>
          </cell>
          <cell r="S107">
            <v>0</v>
          </cell>
          <cell r="T107">
            <v>0</v>
          </cell>
          <cell r="U107">
            <v>41200000</v>
          </cell>
          <cell r="V107">
            <v>25956000</v>
          </cell>
        </row>
        <row r="108">
          <cell r="J108">
            <v>124</v>
          </cell>
          <cell r="K108">
            <v>43117</v>
          </cell>
          <cell r="L108" t="str">
            <v>NINA ANDREA HURTADO LIEVANO</v>
          </cell>
          <cell r="M108">
            <v>145</v>
          </cell>
          <cell r="N108" t="str">
            <v>CONTRATO DE PRESTACION DE SERVICIOS PROFESIONALES</v>
          </cell>
          <cell r="O108">
            <v>117</v>
          </cell>
          <cell r="P108">
            <v>43117</v>
          </cell>
          <cell r="Q108" t="str">
            <v>Prestación de servicios profesionales desde el componente técnico en la Dirección de Reasentamientos de la Caja de la Vivienda Popular apoyando la ejecución de los procesos relacionados con la selección de vivienda de reposición y de la Gestión Inmobiliaria en general.</v>
          </cell>
          <cell r="R108">
            <v>41200000</v>
          </cell>
          <cell r="S108">
            <v>0</v>
          </cell>
          <cell r="T108">
            <v>0</v>
          </cell>
          <cell r="U108">
            <v>41200000</v>
          </cell>
          <cell r="V108">
            <v>26505333</v>
          </cell>
        </row>
        <row r="109">
          <cell r="J109">
            <v>125</v>
          </cell>
          <cell r="K109">
            <v>43117</v>
          </cell>
          <cell r="L109" t="str">
            <v>LUISA DEL ROSARIO ALARIO SOLANO</v>
          </cell>
          <cell r="M109">
            <v>145</v>
          </cell>
          <cell r="N109" t="str">
            <v>CONTRATO DE PRESTACION DE SERVICIOS PROFESIONALES</v>
          </cell>
          <cell r="O109">
            <v>110</v>
          </cell>
          <cell r="P109">
            <v>43117</v>
          </cell>
          <cell r="Q109" t="str">
            <v>Prestación de servicios profesionales a la Dirección de Reasentamientos como enlace ante la Oficina Asesora de Comunicaciones de la Caja de la Vivienda Popular, para la implementación e interlocución del Plan Estratégico de Comunicaciones de la Entidad</v>
          </cell>
          <cell r="R109">
            <v>45330300</v>
          </cell>
          <cell r="S109">
            <v>0</v>
          </cell>
          <cell r="T109">
            <v>0</v>
          </cell>
          <cell r="U109">
            <v>45330300</v>
          </cell>
          <cell r="V109">
            <v>32402770</v>
          </cell>
        </row>
        <row r="110">
          <cell r="J110">
            <v>126</v>
          </cell>
          <cell r="K110">
            <v>43117</v>
          </cell>
          <cell r="L110" t="str">
            <v>DINEY YAMILE RODRIGUEZ ZIPACON</v>
          </cell>
          <cell r="M110">
            <v>148</v>
          </cell>
          <cell r="N110" t="str">
            <v>CONTRATO DE PRESTACION DE SERVICIOS DE APOYO A LA GESTION</v>
          </cell>
          <cell r="O110">
            <v>118</v>
          </cell>
          <cell r="P110">
            <v>43117</v>
          </cell>
          <cell r="Q110" t="str">
            <v>Prestación de servicios de apoyo a la gestión en lo relacionado con los trámites requeridos para el manejo de archivo y gestión documental generado desde la Dirección de Reasentamientos de la Caja de la Vivienda Popular.</v>
          </cell>
          <cell r="R110">
            <v>19261000</v>
          </cell>
          <cell r="S110">
            <v>0</v>
          </cell>
          <cell r="T110">
            <v>0</v>
          </cell>
          <cell r="U110">
            <v>19261000</v>
          </cell>
          <cell r="V110">
            <v>11264767</v>
          </cell>
        </row>
        <row r="111">
          <cell r="J111">
            <v>127</v>
          </cell>
          <cell r="K111">
            <v>43117</v>
          </cell>
          <cell r="L111" t="str">
            <v>MARIA LORETA COIA BAENA</v>
          </cell>
          <cell r="M111">
            <v>145</v>
          </cell>
          <cell r="N111" t="str">
            <v>CONTRATO DE PRESTACION DE SERVICIOS PROFESIONALES</v>
          </cell>
          <cell r="O111">
            <v>119</v>
          </cell>
          <cell r="P111">
            <v>43117</v>
          </cell>
          <cell r="Q111" t="str">
            <v>Prestación de servicios profesionales desde el componente técnico en la Dirección de Reasentamientos de la Caja de la Vivienda Popular apoyando la definición, control y seguimiento de los procesos relacionados con Gestión Inmobiliaria</v>
          </cell>
          <cell r="R111">
            <v>90640000</v>
          </cell>
          <cell r="S111">
            <v>0</v>
          </cell>
          <cell r="T111">
            <v>0</v>
          </cell>
          <cell r="U111">
            <v>90640000</v>
          </cell>
          <cell r="V111">
            <v>53010667</v>
          </cell>
        </row>
        <row r="112">
          <cell r="J112">
            <v>128</v>
          </cell>
          <cell r="K112">
            <v>43117</v>
          </cell>
          <cell r="L112" t="str">
            <v>ERICA KATHERINE GALLO HERNANDEZ</v>
          </cell>
          <cell r="M112">
            <v>145</v>
          </cell>
          <cell r="N112" t="str">
            <v>CONTRATO DE PRESTACION DE SERVICIOS PROFESIONALES</v>
          </cell>
          <cell r="O112">
            <v>111</v>
          </cell>
          <cell r="P112">
            <v>43117</v>
          </cell>
          <cell r="Q112" t="str">
            <v>Prestación de servicios profesionales, en temas jurídicos relacionados con asuntos precontractuales, así como en los procesos y procedimientos establecidos frente a la ejecución del programa misional de la dirección de reasentamientos de la Caja de la vivienda popular.</v>
          </cell>
          <cell r="R112">
            <v>30591000</v>
          </cell>
          <cell r="S112">
            <v>0</v>
          </cell>
          <cell r="T112">
            <v>0</v>
          </cell>
          <cell r="U112">
            <v>30591000</v>
          </cell>
          <cell r="V112">
            <v>21866900</v>
          </cell>
        </row>
        <row r="113">
          <cell r="J113">
            <v>129</v>
          </cell>
          <cell r="K113">
            <v>43117</v>
          </cell>
          <cell r="L113" t="str">
            <v>JENNIFER  MALAVER SOLANO</v>
          </cell>
          <cell r="M113">
            <v>145</v>
          </cell>
          <cell r="N113" t="str">
            <v>CONTRATO DE PRESTACION DE SERVICIOS PROFESIONALES</v>
          </cell>
          <cell r="O113">
            <v>120</v>
          </cell>
          <cell r="P113">
            <v>43117</v>
          </cell>
          <cell r="Q113" t="str">
            <v>Prestación de servicios profesionales en la Dirección de Reasentamientos de la Caja de la Vivienda Popular, apoyando la ejecución de las diferentes actividades relacionadas con el componente técnico del área misional.</v>
          </cell>
          <cell r="R113">
            <v>45320000</v>
          </cell>
          <cell r="S113">
            <v>0</v>
          </cell>
          <cell r="T113">
            <v>0</v>
          </cell>
          <cell r="U113">
            <v>45320000</v>
          </cell>
          <cell r="V113">
            <v>26505333</v>
          </cell>
        </row>
        <row r="114">
          <cell r="J114">
            <v>130</v>
          </cell>
          <cell r="K114">
            <v>43117</v>
          </cell>
          <cell r="L114" t="str">
            <v>ALDEMAR  GALVIS SILVA</v>
          </cell>
          <cell r="M114">
            <v>145</v>
          </cell>
          <cell r="N114" t="str">
            <v>CONTRATO DE PRESTACION DE SERVICIOS PROFESIONALES</v>
          </cell>
          <cell r="O114">
            <v>121</v>
          </cell>
          <cell r="P114">
            <v>43117</v>
          </cell>
          <cell r="Q114" t="str">
            <v>Prestación de servicios profesionales en la Dirección de Reasentamientos de la Caja de la Vivienda Popular, apoyando la ejecución de las diferentes actividades relacionadas con el componente técnico del área misional</v>
          </cell>
          <cell r="R114">
            <v>90640000</v>
          </cell>
          <cell r="S114">
            <v>0</v>
          </cell>
          <cell r="T114">
            <v>0</v>
          </cell>
          <cell r="U114">
            <v>90640000</v>
          </cell>
          <cell r="V114">
            <v>53010667</v>
          </cell>
        </row>
        <row r="115">
          <cell r="J115">
            <v>134</v>
          </cell>
          <cell r="K115">
            <v>43117</v>
          </cell>
          <cell r="L115" t="str">
            <v>ANGI VIVIANA VELASQUEZ VELASQUEZ</v>
          </cell>
          <cell r="M115">
            <v>145</v>
          </cell>
          <cell r="N115" t="str">
            <v>CONTRATO DE PRESTACION DE SERVICIOS PROFESIONALES</v>
          </cell>
          <cell r="O115">
            <v>143</v>
          </cell>
          <cell r="P115">
            <v>43117</v>
          </cell>
          <cell r="Q115" t="str">
            <v>Prestación de servicios profesionales, para el acompañamiento y apoyo a la Dirección de Reasentamientos de la Caja de la Vivienda Popular, en la definición, control y seguimiento del programa misional, de conformidad con los procesos y procedimientos internos e institucionales.</v>
          </cell>
          <cell r="R115">
            <v>82400000</v>
          </cell>
          <cell r="S115">
            <v>0</v>
          </cell>
          <cell r="T115">
            <v>0</v>
          </cell>
          <cell r="U115">
            <v>82400000</v>
          </cell>
          <cell r="V115">
            <v>53010667</v>
          </cell>
        </row>
        <row r="116">
          <cell r="J116">
            <v>139</v>
          </cell>
          <cell r="K116">
            <v>43117</v>
          </cell>
          <cell r="L116" t="str">
            <v>YASMIN VIVIANA BELTRAN MARTINEZ</v>
          </cell>
          <cell r="M116">
            <v>145</v>
          </cell>
          <cell r="N116" t="str">
            <v>CONTRATO DE PRESTACION DE SERVICIOS PROFESIONALES</v>
          </cell>
          <cell r="O116">
            <v>146</v>
          </cell>
          <cell r="P116">
            <v>43117</v>
          </cell>
          <cell r="Q116" t="str">
            <v>Prestación de servicios profesionales desde el componente jurídico, para realizar el seguimiento y control al cumplimiento de requisitos legales y reglamentarios, de las familias beneficiarias del programa de Reasentamientos de la Caja de la Vivienda Popular</v>
          </cell>
          <cell r="R116">
            <v>45320000</v>
          </cell>
          <cell r="S116">
            <v>0</v>
          </cell>
          <cell r="T116">
            <v>0</v>
          </cell>
          <cell r="U116">
            <v>45320000</v>
          </cell>
          <cell r="V116">
            <v>36444833</v>
          </cell>
        </row>
        <row r="117">
          <cell r="J117">
            <v>145</v>
          </cell>
          <cell r="K117">
            <v>43117</v>
          </cell>
          <cell r="L117" t="str">
            <v>MIGUEL ANGEL GONZALEZ CAÑON</v>
          </cell>
          <cell r="M117">
            <v>148</v>
          </cell>
          <cell r="N117" t="str">
            <v>CONTRATO DE PRESTACION DE SERVICIOS DE APOYO A LA GESTION</v>
          </cell>
          <cell r="O117">
            <v>153</v>
          </cell>
          <cell r="P117">
            <v>43117</v>
          </cell>
          <cell r="Q117" t="str">
            <v>Prestación de servicios de apoyo a la gestión en lo relacionado con los trámites requeridos para el manejo de archivo y gestión documental generado desde la Dirección de Reasentamientos de la Caja de la Vivienda Popular.</v>
          </cell>
          <cell r="R117">
            <v>16995000</v>
          </cell>
          <cell r="S117">
            <v>0</v>
          </cell>
          <cell r="T117">
            <v>0</v>
          </cell>
          <cell r="U117">
            <v>16995000</v>
          </cell>
          <cell r="V117">
            <v>9939500</v>
          </cell>
        </row>
        <row r="118">
          <cell r="J118">
            <v>148</v>
          </cell>
          <cell r="K118">
            <v>43117</v>
          </cell>
          <cell r="L118" t="str">
            <v>JULY PAOLA TORRES RISCANEVO</v>
          </cell>
          <cell r="M118">
            <v>145</v>
          </cell>
          <cell r="N118" t="str">
            <v>CONTRATO DE PRESTACION DE SERVICIOS PROFESIONALES</v>
          </cell>
          <cell r="O118">
            <v>155</v>
          </cell>
          <cell r="P118">
            <v>43117</v>
          </cell>
          <cell r="Q118" t="str">
            <v>Prestar servicios profesionales en la implementacion y seguimiento de la politica de responsabilidad social, bajo los tres pilares de sostenibilidad a los procesos de gestion misional de la entidad.</v>
          </cell>
          <cell r="R118">
            <v>23690000</v>
          </cell>
          <cell r="S118">
            <v>23690000</v>
          </cell>
          <cell r="T118">
            <v>0</v>
          </cell>
          <cell r="U118">
            <v>0</v>
          </cell>
          <cell r="V118">
            <v>0</v>
          </cell>
        </row>
        <row r="119">
          <cell r="J119">
            <v>154</v>
          </cell>
          <cell r="K119">
            <v>43117</v>
          </cell>
          <cell r="L119" t="str">
            <v>JULY PAOLA TORRES RISCANEVO</v>
          </cell>
          <cell r="M119">
            <v>145</v>
          </cell>
          <cell r="N119" t="str">
            <v>CONTRATO DE PRESTACION DE SERVICIOS PROFESIONALES</v>
          </cell>
          <cell r="O119">
            <v>155</v>
          </cell>
          <cell r="P119">
            <v>43117</v>
          </cell>
          <cell r="Q119" t="str">
            <v>PRESTAR SERVICIOS PROFESIONALES PARA EL DESARROLLO DE LA POLITICA DE RESPONSABILIDAD SOCIAL, BAJO LOS TRES PILARES DE SOSTENIBILIDAD A LOS PROCESOS DE GESTION MISIONAL DE LA CAJA DE LA VIVIENDA POPULAR.</v>
          </cell>
          <cell r="R119">
            <v>23690000</v>
          </cell>
          <cell r="S119">
            <v>0</v>
          </cell>
          <cell r="T119">
            <v>0</v>
          </cell>
          <cell r="U119">
            <v>23690000</v>
          </cell>
          <cell r="V119">
            <v>13252666</v>
          </cell>
        </row>
        <row r="120">
          <cell r="J120">
            <v>158</v>
          </cell>
          <cell r="K120">
            <v>43118</v>
          </cell>
          <cell r="L120" t="str">
            <v>MADDY ANDREA ARIAS ROJAS</v>
          </cell>
          <cell r="M120">
            <v>145</v>
          </cell>
          <cell r="N120" t="str">
            <v>CONTRATO DE PRESTACION DE SERVICIOS PROFESIONALES</v>
          </cell>
          <cell r="O120">
            <v>109</v>
          </cell>
          <cell r="P120">
            <v>43118</v>
          </cell>
          <cell r="Q120" t="str">
            <v>Prestación de servicios profesionales, para asesorar a la Dirección de Reasentamientos de la Caja de la Vivienda Popular, desde el componente jurídico en la ejecucion de las actuaciones propias del area misional, de conformidad con la normatividad vigente, así como los procesos y procedimientos internos e institucionales.</v>
          </cell>
          <cell r="R120">
            <v>113300000</v>
          </cell>
          <cell r="S120">
            <v>0</v>
          </cell>
          <cell r="T120">
            <v>0</v>
          </cell>
          <cell r="U120">
            <v>113300000</v>
          </cell>
          <cell r="V120">
            <v>66263333</v>
          </cell>
        </row>
        <row r="121">
          <cell r="J121">
            <v>162</v>
          </cell>
          <cell r="K121">
            <v>43118</v>
          </cell>
          <cell r="L121" t="str">
            <v>OSCAR FELIPE MARLES MONJE</v>
          </cell>
          <cell r="M121">
            <v>145</v>
          </cell>
          <cell r="N121" t="str">
            <v>CONTRATO DE PRESTACION DE SERVICIOS PROFESIONALES</v>
          </cell>
          <cell r="O121">
            <v>123</v>
          </cell>
          <cell r="P121">
            <v>43118</v>
          </cell>
          <cell r="Q121" t="str">
            <v>Prestación de servicios profesionales a la Dirección de Reasentamientos para la puesta en marcha del Sistema de Información Geográfica, el uso y adopción de tecnologías para la gestión de Información Georeferenciada del área misonal.</v>
          </cell>
          <cell r="R121">
            <v>72100000</v>
          </cell>
          <cell r="S121">
            <v>0</v>
          </cell>
          <cell r="T121">
            <v>0</v>
          </cell>
          <cell r="U121">
            <v>72100000</v>
          </cell>
          <cell r="V121">
            <v>46384333</v>
          </cell>
        </row>
        <row r="122">
          <cell r="J122">
            <v>171</v>
          </cell>
          <cell r="K122">
            <v>43118</v>
          </cell>
          <cell r="L122" t="str">
            <v>CRISTOPHER GIOVANNI CEBALLOS MEDINA</v>
          </cell>
          <cell r="M122">
            <v>148</v>
          </cell>
          <cell r="N122" t="str">
            <v>CONTRATO DE PRESTACION DE SERVICIOS DE APOYO A LA GESTION</v>
          </cell>
          <cell r="O122">
            <v>154</v>
          </cell>
          <cell r="P122">
            <v>43118</v>
          </cell>
          <cell r="Q122" t="str">
            <v>Prestación de servicios de apoyo a la gestión en los procedimientos relacionados con el componente técnico del programa de Reasentamientos para el cumplimiento de sus metas.</v>
          </cell>
          <cell r="R122">
            <v>30385000</v>
          </cell>
          <cell r="S122">
            <v>0</v>
          </cell>
          <cell r="T122">
            <v>0</v>
          </cell>
          <cell r="U122">
            <v>30385000</v>
          </cell>
          <cell r="V122">
            <v>19547683</v>
          </cell>
        </row>
        <row r="123">
          <cell r="J123">
            <v>176</v>
          </cell>
          <cell r="K123">
            <v>43118</v>
          </cell>
          <cell r="L123" t="str">
            <v>MONICA VIVIANA CEBALLOS CRIOLLO</v>
          </cell>
          <cell r="M123">
            <v>145</v>
          </cell>
          <cell r="N123" t="str">
            <v>CONTRATO DE PRESTACION DE SERVICIOS PROFESIONALES</v>
          </cell>
          <cell r="O123">
            <v>160</v>
          </cell>
          <cell r="P123">
            <v>43118</v>
          </cell>
          <cell r="Q123" t="str">
            <v>CONTRATAR LOS SERVICIOS PROFESIONALES DE UN COMUNICADOR SOCIAL QUE DESARROLLE LA INFORMACION PERIODISTICA DE LAS AREAS MISIONALES, PARA FORTALECER LOS CANALES DE COMUNICACIÓN INTERNOS Y EXTERNOS DE LA ENTIDAD, CONFORME A LA ESTRATEGIA DE COMUNICACIONES DE LA CAJA DE LA VIVIENDA POPULAR.</v>
          </cell>
          <cell r="R123">
            <v>13850925</v>
          </cell>
          <cell r="S123">
            <v>0</v>
          </cell>
          <cell r="T123">
            <v>0</v>
          </cell>
          <cell r="U123">
            <v>13850925</v>
          </cell>
          <cell r="V123">
            <v>8100692</v>
          </cell>
        </row>
        <row r="124">
          <cell r="J124">
            <v>181</v>
          </cell>
          <cell r="K124">
            <v>43118</v>
          </cell>
          <cell r="L124" t="str">
            <v>CARLOS ARMANDO CRIOLLO LAMILLA</v>
          </cell>
          <cell r="M124">
            <v>145</v>
          </cell>
          <cell r="N124" t="str">
            <v>CONTRATO DE PRESTACION DE SERVICIOS PROFESIONALES</v>
          </cell>
          <cell r="O124">
            <v>383</v>
          </cell>
          <cell r="P124">
            <v>43118</v>
          </cell>
          <cell r="Q124" t="str">
            <v>Prestación de servicios profesionales desde el componente técnico en la Dirección de Reasentamientos de la Caja de la Vivienda Popular apoyando la ejecución de los procesos relacionados con la selección de vivienda de reposición y de la Gestión Inmobiliaria en general.</v>
          </cell>
          <cell r="R124">
            <v>45320000</v>
          </cell>
          <cell r="S124">
            <v>45320000</v>
          </cell>
          <cell r="T124">
            <v>0</v>
          </cell>
          <cell r="U124">
            <v>0</v>
          </cell>
          <cell r="V124">
            <v>0</v>
          </cell>
        </row>
        <row r="125">
          <cell r="J125">
            <v>182</v>
          </cell>
          <cell r="K125">
            <v>43118</v>
          </cell>
          <cell r="L125" t="str">
            <v>CARLOS ARMANDO CRIOLLO LAMILLA</v>
          </cell>
          <cell r="M125">
            <v>145</v>
          </cell>
          <cell r="N125" t="str">
            <v>CONTRATO DE PRESTACION DE SERVICIOS PROFESIONALES</v>
          </cell>
          <cell r="O125">
            <v>108</v>
          </cell>
          <cell r="P125">
            <v>43118</v>
          </cell>
          <cell r="Q125" t="str">
            <v>Prestación de servicios profesionales desde el componente técnico en la Dirección de Reasentamientos de la Caja de la Vivienda Popular apoyando la ejecución de los procesos relacionados con la selección de vivienda de reposición y de la Gestión Inmobiliaria en general.</v>
          </cell>
          <cell r="R125">
            <v>45320000</v>
          </cell>
          <cell r="S125">
            <v>0</v>
          </cell>
          <cell r="T125">
            <v>0</v>
          </cell>
          <cell r="U125">
            <v>45320000</v>
          </cell>
          <cell r="V125">
            <v>26505333</v>
          </cell>
        </row>
        <row r="126">
          <cell r="J126">
            <v>187</v>
          </cell>
          <cell r="K126">
            <v>43118</v>
          </cell>
          <cell r="L126" t="str">
            <v>GINNA CATALINA CRUZ RODRIGUEZ</v>
          </cell>
          <cell r="M126">
            <v>145</v>
          </cell>
          <cell r="N126" t="str">
            <v>CONTRATO DE PRESTACION DE SERVICIOS PROFESIONALES</v>
          </cell>
          <cell r="O126">
            <v>156</v>
          </cell>
          <cell r="P126">
            <v>43118</v>
          </cell>
          <cell r="Q126" t="str">
            <v>Prestación de servicios profesionales en el componente social de la Dirección de Reasentamientos de la Caja de la Vivienda Popular, para la ejecución de planes y programas agenciados por el área misional.</v>
          </cell>
          <cell r="R126">
            <v>57783000</v>
          </cell>
          <cell r="S126">
            <v>0</v>
          </cell>
          <cell r="T126">
            <v>0</v>
          </cell>
          <cell r="U126">
            <v>57783000</v>
          </cell>
          <cell r="V126">
            <v>33794300</v>
          </cell>
        </row>
        <row r="127">
          <cell r="J127">
            <v>189</v>
          </cell>
          <cell r="K127">
            <v>43118</v>
          </cell>
          <cell r="L127" t="str">
            <v>ANGELICA MARIA ACOSTA CUELLAR</v>
          </cell>
          <cell r="M127">
            <v>145</v>
          </cell>
          <cell r="N127" t="str">
            <v>CONTRATO DE PRESTACION DE SERVICIOS PROFESIONALES</v>
          </cell>
          <cell r="O127">
            <v>168</v>
          </cell>
          <cell r="P127">
            <v>43118</v>
          </cell>
          <cell r="Q127" t="str">
            <v>Prestación de servicios profesionales, en materia jurídica a la Dirección de Reasentamientos de la Caja de la Vivienda Popular, para el adelantamiento de los procedimientos en virtud de los intereses de la entidad, de conformidad con las normas ma¿s elevadas de competencia, idoneidad e integridad e¿tica y profesional.</v>
          </cell>
          <cell r="R127">
            <v>41200000</v>
          </cell>
          <cell r="S127">
            <v>0</v>
          </cell>
          <cell r="T127">
            <v>0</v>
          </cell>
          <cell r="U127">
            <v>41200000</v>
          </cell>
          <cell r="V127">
            <v>26368000</v>
          </cell>
        </row>
        <row r="128">
          <cell r="J128">
            <v>190</v>
          </cell>
          <cell r="K128">
            <v>43118</v>
          </cell>
          <cell r="L128" t="str">
            <v>JAIME ALONSO CRUZ OLARTE</v>
          </cell>
          <cell r="M128">
            <v>145</v>
          </cell>
          <cell r="N128" t="str">
            <v>CONTRATO DE PRESTACION DE SERVICIOS PROFESIONALES</v>
          </cell>
          <cell r="O128">
            <v>167</v>
          </cell>
          <cell r="P128">
            <v>43118</v>
          </cell>
          <cell r="Q128" t="str">
            <v>Prestación de servicios profesionales a la Dirección de Reasentamientos de la Caja de la Vivienda Popular, apoyando la gestión administrativa y financiera en relación con los contratos y convenios suscritos por el área misional</v>
          </cell>
          <cell r="R128">
            <v>82400000</v>
          </cell>
          <cell r="S128">
            <v>0</v>
          </cell>
          <cell r="T128">
            <v>0</v>
          </cell>
          <cell r="U128">
            <v>82400000</v>
          </cell>
          <cell r="V128">
            <v>52736000</v>
          </cell>
        </row>
        <row r="129">
          <cell r="J129">
            <v>191</v>
          </cell>
          <cell r="K129">
            <v>43118</v>
          </cell>
          <cell r="L129" t="str">
            <v>CAMILO ANDRES PINZON RODRIGUEZ</v>
          </cell>
          <cell r="M129">
            <v>148</v>
          </cell>
          <cell r="N129" t="str">
            <v>CONTRATO DE PRESTACION DE SERVICIOS DE APOYO A LA GESTION</v>
          </cell>
          <cell r="O129">
            <v>166</v>
          </cell>
          <cell r="P129">
            <v>43118</v>
          </cell>
          <cell r="Q129" t="str">
            <v>Prestación de servicios de apoyo a la gestión en lo relacionado con los trámites requeridos para el manejo de archivo y gestión documental generado desde la Dirección de Reasentamientos de la Caja de la Vivienda Popular.</v>
          </cell>
          <cell r="R129">
            <v>9270000</v>
          </cell>
          <cell r="S129">
            <v>0</v>
          </cell>
          <cell r="T129">
            <v>0</v>
          </cell>
          <cell r="U129">
            <v>9270000</v>
          </cell>
          <cell r="V129">
            <v>9270000</v>
          </cell>
        </row>
        <row r="130">
          <cell r="J130">
            <v>192</v>
          </cell>
          <cell r="K130">
            <v>43118</v>
          </cell>
          <cell r="L130" t="str">
            <v>JESUS EDUARDO RESTREPO CASTELLANOS</v>
          </cell>
          <cell r="M130">
            <v>145</v>
          </cell>
          <cell r="N130" t="str">
            <v>CONTRATO DE PRESTACION DE SERVICIOS PROFESIONALES</v>
          </cell>
          <cell r="O130">
            <v>165</v>
          </cell>
          <cell r="P130">
            <v>43118</v>
          </cell>
          <cell r="Q130" t="str">
            <v>Prestación de servicios profesionales, para el apoyo al Subsistema Interno de Gestión Documental y Archivo (SIGA) de la Dirección de Reasentamientos, en lo relacionado con la gestión documental de conformidad con la normatividad establecida por el Archivo General de La Nación y el Archivo de Bogotá</v>
          </cell>
          <cell r="R130">
            <v>67980000</v>
          </cell>
          <cell r="S130">
            <v>0</v>
          </cell>
          <cell r="T130">
            <v>0</v>
          </cell>
          <cell r="U130">
            <v>67980000</v>
          </cell>
          <cell r="V130">
            <v>39552000</v>
          </cell>
        </row>
        <row r="131">
          <cell r="J131">
            <v>193</v>
          </cell>
          <cell r="K131">
            <v>43118</v>
          </cell>
          <cell r="L131" t="str">
            <v>EDGAR FABIAN DEL CASTILLO MURCIA</v>
          </cell>
          <cell r="M131">
            <v>145</v>
          </cell>
          <cell r="N131" t="str">
            <v>CONTRATO DE PRESTACION DE SERVICIOS PROFESIONALES</v>
          </cell>
          <cell r="O131">
            <v>164</v>
          </cell>
          <cell r="P131">
            <v>43118</v>
          </cell>
          <cell r="Q131" t="str">
            <v>"Prestación de servicios profesionales en el componente social de la Dirección de Reasentamientos de la Caja de la Vivienda Popular, para la ejecución de planes y programas agenciados por el área misional."</v>
          </cell>
          <cell r="R131">
            <v>31981500</v>
          </cell>
          <cell r="S131">
            <v>0</v>
          </cell>
          <cell r="T131">
            <v>0</v>
          </cell>
          <cell r="U131">
            <v>31981500</v>
          </cell>
          <cell r="V131">
            <v>22387050</v>
          </cell>
        </row>
        <row r="132">
          <cell r="J132">
            <v>194</v>
          </cell>
          <cell r="K132">
            <v>43118</v>
          </cell>
          <cell r="L132" t="str">
            <v>MONICA ANDREA ALVAREZ FERNANDEZ</v>
          </cell>
          <cell r="M132">
            <v>145</v>
          </cell>
          <cell r="N132" t="str">
            <v>CONTRATO DE PRESTACION DE SERVICIOS PROFESIONALES</v>
          </cell>
          <cell r="O132">
            <v>162</v>
          </cell>
          <cell r="P132">
            <v>43118</v>
          </cell>
          <cell r="Q132" t="str">
            <v>Prestación de servicios profesionales, en los componentes técnico y administrativo de los procedimientos de selección de vivienda y del proceso de Gestión Inmobiliaria, de la Dirección de Reasentamientos de la Caja de la Vivienda Popular</v>
          </cell>
          <cell r="R132">
            <v>55403700</v>
          </cell>
          <cell r="S132">
            <v>0</v>
          </cell>
          <cell r="T132">
            <v>0</v>
          </cell>
          <cell r="U132">
            <v>55403700</v>
          </cell>
          <cell r="V132">
            <v>32234880</v>
          </cell>
        </row>
        <row r="133">
          <cell r="J133">
            <v>197</v>
          </cell>
          <cell r="K133">
            <v>43118</v>
          </cell>
          <cell r="L133" t="str">
            <v>HASBLEIDY  PUENTES MONTAÑA</v>
          </cell>
          <cell r="M133">
            <v>145</v>
          </cell>
          <cell r="N133" t="str">
            <v>CONTRATO DE PRESTACION DE SERVICIOS PROFESIONALES</v>
          </cell>
          <cell r="O133">
            <v>181</v>
          </cell>
          <cell r="P133">
            <v>43118</v>
          </cell>
          <cell r="Q133" t="str">
            <v>Prestación de servicios profesionales en el componente social de la Dirección de Reasentamientos de la Caja de la Vivienda Popular, para la ejecución de planes y programas agenciados por el área misional.</v>
          </cell>
          <cell r="R133">
            <v>31981500</v>
          </cell>
          <cell r="S133">
            <v>0</v>
          </cell>
          <cell r="T133">
            <v>0</v>
          </cell>
          <cell r="U133">
            <v>31981500</v>
          </cell>
          <cell r="V133">
            <v>22742400</v>
          </cell>
        </row>
        <row r="134">
          <cell r="J134">
            <v>198</v>
          </cell>
          <cell r="K134">
            <v>43118</v>
          </cell>
          <cell r="L134" t="str">
            <v>JUAN JAIRO HERRERA GUERRERO</v>
          </cell>
          <cell r="M134">
            <v>148</v>
          </cell>
          <cell r="N134" t="str">
            <v>CONTRATO DE PRESTACION DE SERVICIOS DE APOYO A LA GESTION</v>
          </cell>
          <cell r="O134">
            <v>180</v>
          </cell>
          <cell r="P134">
            <v>43118</v>
          </cell>
          <cell r="Q134" t="str">
            <v>Prestación de servicios de apoyo a la gestión en los procedimientos relacionados con el componente técnico del programa de Reasentamientos para el cumplimiento de sus metas</v>
          </cell>
          <cell r="R134">
            <v>36595900</v>
          </cell>
          <cell r="S134">
            <v>0</v>
          </cell>
          <cell r="T134">
            <v>0</v>
          </cell>
          <cell r="U134">
            <v>36595900</v>
          </cell>
          <cell r="V134">
            <v>21292160</v>
          </cell>
        </row>
        <row r="135">
          <cell r="J135">
            <v>199</v>
          </cell>
          <cell r="K135">
            <v>43118</v>
          </cell>
          <cell r="L135" t="str">
            <v>CRISTIAN ALEJANDRO BARRETO ARCOS</v>
          </cell>
          <cell r="M135">
            <v>145</v>
          </cell>
          <cell r="N135" t="str">
            <v>CONTRATO DE PRESTACION DE SERVICIOS PROFESIONALES</v>
          </cell>
          <cell r="O135">
            <v>179</v>
          </cell>
          <cell r="P135">
            <v>43118</v>
          </cell>
          <cell r="Q135" t="str">
            <v>Prestación de servicios profesionales en el componente social de la dirección de reasentamientos de la caja de la vivienda popular, para la ejecución de planes y programas agenciados por el área misional</v>
          </cell>
          <cell r="R135">
            <v>33990000</v>
          </cell>
          <cell r="S135">
            <v>0</v>
          </cell>
          <cell r="T135">
            <v>0</v>
          </cell>
          <cell r="U135">
            <v>33990000</v>
          </cell>
          <cell r="V135">
            <v>21753600</v>
          </cell>
        </row>
        <row r="136">
          <cell r="J136">
            <v>201</v>
          </cell>
          <cell r="K136">
            <v>43118</v>
          </cell>
          <cell r="L136" t="str">
            <v>MARIA CLAUDIA MONTOYA SOTO</v>
          </cell>
          <cell r="M136">
            <v>148</v>
          </cell>
          <cell r="N136" t="str">
            <v>CONTRATO DE PRESTACION DE SERVICIOS DE APOYO A LA GESTION</v>
          </cell>
          <cell r="O136">
            <v>190</v>
          </cell>
          <cell r="P136">
            <v>43118</v>
          </cell>
          <cell r="Q136" t="str">
            <v>Prestación de servicios de apoyo a la gestión para la ejecución de actividades a cargo del componente social y en especial lo relativo a la estrategia de Resiliencia y Sostenibilidad de la comunidad, en la Dirección de Reasentamientos de la caja de la Vivienda Popular</v>
          </cell>
          <cell r="R136">
            <v>33269000</v>
          </cell>
          <cell r="S136">
            <v>0</v>
          </cell>
          <cell r="T136">
            <v>0</v>
          </cell>
          <cell r="U136">
            <v>33269000</v>
          </cell>
          <cell r="V136">
            <v>21292160</v>
          </cell>
        </row>
        <row r="137">
          <cell r="J137">
            <v>202</v>
          </cell>
          <cell r="K137">
            <v>43118</v>
          </cell>
          <cell r="L137" t="str">
            <v>DENICE ASTRID OLAYA DUARTE</v>
          </cell>
          <cell r="M137">
            <v>145</v>
          </cell>
          <cell r="N137" t="str">
            <v>CONTRATO DE PRESTACION DE SERVICIOS PROFESIONALES</v>
          </cell>
          <cell r="O137">
            <v>191</v>
          </cell>
          <cell r="P137">
            <v>43118</v>
          </cell>
          <cell r="Q137" t="str">
            <v>Prestación de servicios profesionales en el componente social de la Dirección de Reasentamientos de la Caja de la Vivienda Popular, para la ejecución de planes y programas agenciados por el área misional.</v>
          </cell>
          <cell r="R137">
            <v>37080000</v>
          </cell>
          <cell r="S137">
            <v>0</v>
          </cell>
          <cell r="T137">
            <v>0</v>
          </cell>
          <cell r="U137">
            <v>37080000</v>
          </cell>
          <cell r="V137">
            <v>26368000</v>
          </cell>
        </row>
        <row r="138">
          <cell r="J138">
            <v>205</v>
          </cell>
          <cell r="K138">
            <v>43118</v>
          </cell>
          <cell r="L138" t="str">
            <v>MARIA CAMILA GARCIA RAMOS</v>
          </cell>
          <cell r="M138">
            <v>145</v>
          </cell>
          <cell r="N138" t="str">
            <v>CONTRATO DE PRESTACION DE SERVICIOS PROFESIONALES</v>
          </cell>
          <cell r="O138">
            <v>163</v>
          </cell>
          <cell r="P138">
            <v>43118</v>
          </cell>
          <cell r="Q138" t="str">
            <v>Prestación de servicios profesionales, para el acompañamiento jurídico, en los procesos y procedimientos establecidos frente a la ejecución del programa misional de la Dirección de reasentamientos de la Caja de la Vivienda Popular y en especial frente al beneficio de relocalización transitoria.</v>
          </cell>
          <cell r="R138">
            <v>45320000</v>
          </cell>
          <cell r="S138">
            <v>0</v>
          </cell>
          <cell r="T138">
            <v>0</v>
          </cell>
          <cell r="U138">
            <v>45320000</v>
          </cell>
          <cell r="V138">
            <v>29004800</v>
          </cell>
        </row>
        <row r="139">
          <cell r="J139">
            <v>208</v>
          </cell>
          <cell r="K139">
            <v>43118</v>
          </cell>
          <cell r="L139" t="str">
            <v>JOHN STEVE PEÑA CASALLAS</v>
          </cell>
          <cell r="M139">
            <v>145</v>
          </cell>
          <cell r="N139" t="str">
            <v>CONTRATO DE PRESTACION DE SERVICIOS PROFESIONALES</v>
          </cell>
          <cell r="O139">
            <v>171</v>
          </cell>
          <cell r="P139">
            <v>43118</v>
          </cell>
          <cell r="Q139" t="str">
            <v>PRESTACIÓN DE SERVICIOS PROFESIONALES PARA ACOMPAÑAR LA EJECUCIÓN DE DIFERENTES ACTIVIDADES RELACIONADAS CON EL COMPONENTE SOCIAL DE LA DIRECCIÓN DE REASENTAMIENTOS DE LA CAJA DE LA VIVIENDA POPULAR, EN EL MARCO DE LA EJECUCIÓN DEL DECRETO NO 457 DE 2017 ¿POR EL CUAL SE IMPLEMENTA EL PROGRAMA DE ACOMPAÑAMIENTO PARA LA MITIGACIÓN DE LAS ACCIONES DERIVADAS DE LA RECUPERACIÓN DEL PREDIO DENOMINADO VEREDITAS, UBICADO EN LA LOCALIDAD DE KENNEDY¿.</v>
          </cell>
          <cell r="R139">
            <v>49852000</v>
          </cell>
          <cell r="S139">
            <v>0</v>
          </cell>
          <cell r="T139">
            <v>0</v>
          </cell>
          <cell r="U139">
            <v>49852000</v>
          </cell>
          <cell r="V139">
            <v>29004800</v>
          </cell>
        </row>
        <row r="140">
          <cell r="J140">
            <v>209</v>
          </cell>
          <cell r="K140">
            <v>43118</v>
          </cell>
          <cell r="L140" t="str">
            <v>YOLIMA  OROZCO SUAREZ</v>
          </cell>
          <cell r="M140">
            <v>148</v>
          </cell>
          <cell r="N140" t="str">
            <v>CONTRATO DE PRESTACION DE SERVICIOS DE APOYO A LA GESTION</v>
          </cell>
          <cell r="O140">
            <v>169</v>
          </cell>
          <cell r="P140">
            <v>43118</v>
          </cell>
          <cell r="Q140" t="str">
            <v>Prestación de servicios de apoyo a la gestión en la Dirección de Reasentamientos de la Caja de Vivienda Popular, para asistencia técnica en aspectos administrativos, logísticos y operativos.</v>
          </cell>
          <cell r="R140">
            <v>19261000</v>
          </cell>
          <cell r="S140">
            <v>0</v>
          </cell>
          <cell r="T140">
            <v>0</v>
          </cell>
          <cell r="U140">
            <v>19261000</v>
          </cell>
          <cell r="V140">
            <v>11206400</v>
          </cell>
        </row>
        <row r="141">
          <cell r="J141">
            <v>210</v>
          </cell>
          <cell r="K141">
            <v>43118</v>
          </cell>
          <cell r="L141" t="str">
            <v>ESTEBAN  PINZON OSPINA</v>
          </cell>
          <cell r="M141">
            <v>145</v>
          </cell>
          <cell r="N141" t="str">
            <v>CONTRATO DE PRESTACION DE SERVICIOS PROFESIONALES</v>
          </cell>
          <cell r="O141">
            <v>170</v>
          </cell>
          <cell r="P141">
            <v>43118</v>
          </cell>
          <cell r="Q141" t="str">
            <v>Prestación de servicios profesionales en la Dirección de Reasentamientos de la Caja de la Vivienda Popular, apoyando la ejecución de las diferentes actividades relacionadas con el componente técnico del área misional.</v>
          </cell>
          <cell r="R141">
            <v>50985000</v>
          </cell>
          <cell r="S141">
            <v>0</v>
          </cell>
          <cell r="T141">
            <v>0</v>
          </cell>
          <cell r="U141">
            <v>50985000</v>
          </cell>
          <cell r="V141">
            <v>36256000</v>
          </cell>
        </row>
        <row r="142">
          <cell r="J142">
            <v>212</v>
          </cell>
          <cell r="K142">
            <v>43118</v>
          </cell>
          <cell r="L142" t="str">
            <v>LUIS EDUARDO RODRIGUEZ RAMIREZ</v>
          </cell>
          <cell r="M142">
            <v>148</v>
          </cell>
          <cell r="N142" t="str">
            <v>CONTRATO DE PRESTACION DE SERVICIOS DE APOYO A LA GESTION</v>
          </cell>
          <cell r="O142">
            <v>184</v>
          </cell>
          <cell r="P142">
            <v>43118</v>
          </cell>
          <cell r="Q142" t="str">
            <v>Prestación de servicios de apoyo a la gestión en lo relacionado con el manejo de archivo y gestión documental generado desde la Dirección de Reasentamientos de la Caja de la Vivienda Popular.</v>
          </cell>
          <cell r="R142">
            <v>33423500</v>
          </cell>
          <cell r="S142">
            <v>0</v>
          </cell>
          <cell r="T142">
            <v>0</v>
          </cell>
          <cell r="U142">
            <v>33423500</v>
          </cell>
          <cell r="V142">
            <v>19446400</v>
          </cell>
        </row>
        <row r="143">
          <cell r="J143">
            <v>223</v>
          </cell>
          <cell r="K143">
            <v>43118</v>
          </cell>
          <cell r="L143" t="str">
            <v>PAULA TATIANA RAMOS DUQUE</v>
          </cell>
          <cell r="M143">
            <v>145</v>
          </cell>
          <cell r="N143" t="str">
            <v>CONTRATO DE PRESTACION DE SERVICIOS PROFESIONALES</v>
          </cell>
          <cell r="O143">
            <v>192</v>
          </cell>
          <cell r="P143">
            <v>43118</v>
          </cell>
          <cell r="Q143" t="str">
            <v>Prestación de servicios profesionales en el componente social de la Dirección de Reasentamientos de la Caja de la Vivienda Popular, para la ejecución de planes y programas agenciados por el área misional.</v>
          </cell>
          <cell r="R143">
            <v>41200000</v>
          </cell>
          <cell r="S143">
            <v>0</v>
          </cell>
          <cell r="T143">
            <v>0</v>
          </cell>
          <cell r="U143">
            <v>41200000</v>
          </cell>
          <cell r="V143">
            <v>26368000</v>
          </cell>
        </row>
        <row r="144">
          <cell r="J144">
            <v>227</v>
          </cell>
          <cell r="K144">
            <v>43118</v>
          </cell>
          <cell r="L144" t="str">
            <v>DORALBA  RESTREPO MEJIA</v>
          </cell>
          <cell r="M144">
            <v>145</v>
          </cell>
          <cell r="N144" t="str">
            <v>CONTRATO DE PRESTACION DE SERVICIOS PROFESIONALES</v>
          </cell>
          <cell r="O144">
            <v>194</v>
          </cell>
          <cell r="P144">
            <v>43118</v>
          </cell>
          <cell r="Q144" t="str">
            <v>Prestación de servicios profesionales en el componente social de la Dirección de Reasentamientos de la Caja de la Vivienda Popular, para la ejecución de planes y programas agenciados por el área misional.</v>
          </cell>
          <cell r="R144">
            <v>45330300</v>
          </cell>
          <cell r="S144">
            <v>0</v>
          </cell>
          <cell r="T144">
            <v>0</v>
          </cell>
          <cell r="U144">
            <v>45330300</v>
          </cell>
          <cell r="V144">
            <v>32234880</v>
          </cell>
        </row>
        <row r="145">
          <cell r="J145">
            <v>228</v>
          </cell>
          <cell r="K145">
            <v>43118</v>
          </cell>
          <cell r="L145" t="str">
            <v>JUAN CAMILO MEJIA URIBE</v>
          </cell>
          <cell r="M145">
            <v>145</v>
          </cell>
          <cell r="N145" t="str">
            <v>CONTRATO DE PRESTACION DE SERVICIOS PROFESIONALES</v>
          </cell>
          <cell r="O145">
            <v>161</v>
          </cell>
          <cell r="P145">
            <v>43118</v>
          </cell>
          <cell r="Q145" t="str">
            <v>Prestar sus servicios profesionales como enlace entre la Dirección Técnica de Reasentamientos y La Dirección Jurídica, para el desarrollo de actividades jurídicas relacionadas con los procedimientos, actuaciones, competencias y trámites en general que se encuentren a cargo de Reasentamientos.</v>
          </cell>
          <cell r="R145">
            <v>24720000</v>
          </cell>
          <cell r="S145">
            <v>0</v>
          </cell>
          <cell r="T145">
            <v>0</v>
          </cell>
          <cell r="U145">
            <v>24720000</v>
          </cell>
          <cell r="V145">
            <v>24720000</v>
          </cell>
        </row>
        <row r="146">
          <cell r="J146">
            <v>230</v>
          </cell>
          <cell r="K146">
            <v>43118</v>
          </cell>
          <cell r="L146" t="str">
            <v>CESAR AUGUSTO SABOGAL TARAZONA</v>
          </cell>
          <cell r="M146">
            <v>145</v>
          </cell>
          <cell r="N146" t="str">
            <v>CONTRATO DE PRESTACION DE SERVICIOS PROFESIONALES</v>
          </cell>
          <cell r="O146">
            <v>200</v>
          </cell>
          <cell r="P146">
            <v>43118</v>
          </cell>
          <cell r="Q146" t="str">
            <v>Prestación de servicios profesionales brindando apoyo contable frente al control presupuestal, cierre financiero de la vigencia 2018 y la programación presupuestal 2019 que coordina la Dirección de Reasentamientos de la Caja de la Vivienda Popular.</v>
          </cell>
          <cell r="R146">
            <v>50367000</v>
          </cell>
          <cell r="S146">
            <v>0</v>
          </cell>
          <cell r="T146">
            <v>0</v>
          </cell>
          <cell r="U146">
            <v>50367000</v>
          </cell>
          <cell r="V146">
            <v>32234880</v>
          </cell>
        </row>
        <row r="147">
          <cell r="J147">
            <v>233</v>
          </cell>
          <cell r="K147">
            <v>43119</v>
          </cell>
          <cell r="L147" t="str">
            <v>YONATHAN  APONTE GUTIERREZ</v>
          </cell>
          <cell r="M147">
            <v>148</v>
          </cell>
          <cell r="N147" t="str">
            <v>CONTRATO DE PRESTACION DE SERVICIOS DE APOYO A LA GESTION</v>
          </cell>
          <cell r="O147">
            <v>211</v>
          </cell>
          <cell r="P147">
            <v>43119</v>
          </cell>
          <cell r="Q147" t="str">
            <v>Prestación de servicios de apoyo a la gestión, para el acompañamiento técnico y operativo en los procedimientos a cargo de la Dirección de Reasentamiento en el cumplimiento de sus objetivos.</v>
          </cell>
          <cell r="R147">
            <v>17510000</v>
          </cell>
          <cell r="S147">
            <v>0</v>
          </cell>
          <cell r="T147">
            <v>0</v>
          </cell>
          <cell r="U147">
            <v>17510000</v>
          </cell>
          <cell r="V147">
            <v>11206400</v>
          </cell>
        </row>
        <row r="148">
          <cell r="J148">
            <v>239</v>
          </cell>
          <cell r="K148">
            <v>43119</v>
          </cell>
          <cell r="L148" t="str">
            <v>CRISTIAM CAMILO MOLINA CESPEDES</v>
          </cell>
          <cell r="M148">
            <v>145</v>
          </cell>
          <cell r="N148" t="str">
            <v>CONTRATO DE PRESTACION DE SERVICIOS PROFESIONALES</v>
          </cell>
          <cell r="O148">
            <v>222</v>
          </cell>
          <cell r="P148">
            <v>43119</v>
          </cell>
          <cell r="Q148" t="str">
            <v>Prestación de servicios profesionales en la Dirección de Reasentamientos de la Caja de la Vivienda Popular, apoyando la ejecución de las diferentes actividades relacionadas con el componente técnico del área misional.</v>
          </cell>
          <cell r="R148">
            <v>30591000</v>
          </cell>
          <cell r="S148">
            <v>0</v>
          </cell>
          <cell r="T148">
            <v>0</v>
          </cell>
          <cell r="U148">
            <v>30591000</v>
          </cell>
          <cell r="V148">
            <v>21753600</v>
          </cell>
        </row>
        <row r="149">
          <cell r="J149">
            <v>242</v>
          </cell>
          <cell r="K149">
            <v>43119</v>
          </cell>
          <cell r="L149" t="str">
            <v>JENNY KATHERINE GONZALEZ SANCHEZ</v>
          </cell>
          <cell r="M149">
            <v>145</v>
          </cell>
          <cell r="N149" t="str">
            <v>CONTRATO DE PRESTACION DE SERVICIOS PROFESIONALES</v>
          </cell>
          <cell r="O149">
            <v>219</v>
          </cell>
          <cell r="P149">
            <v>43119</v>
          </cell>
          <cell r="Q149" t="str">
            <v>PRESTACIÓN DE SERVICIOS PROFESIONALES PARA ACOMPAÑAR LA EJECUCIÓN DE DIFERENTES ACTIVIDADES RELACIONADAS CON EL COMPONENTE SOCIAL DE LA DIRECCIÓN DE REASENTAMIENTOS DE LA CAJA DE LA VIVIENDA POPULAR, EN EL MARCO DE LA EJECUCIÓN DEL DECRETO NO 457 DE 2017 "POR EL CUAL SE IMPLEMENTA EL PROGRAMA DE ACOMPAÑAMIENTO PARA LA MITIGACIÓN DE LAS ACCIONES DERIVADAS DE LA RECUPERACIÓN DEL PREDIO DENOMINADO VEREDITAS, UBICADO EN LA LOCALIDAD DE KENNEDY.</v>
          </cell>
          <cell r="R149">
            <v>20394000</v>
          </cell>
          <cell r="S149">
            <v>0</v>
          </cell>
          <cell r="T149">
            <v>0</v>
          </cell>
          <cell r="U149">
            <v>20394000</v>
          </cell>
          <cell r="V149">
            <v>20394000</v>
          </cell>
        </row>
        <row r="150">
          <cell r="J150">
            <v>243</v>
          </cell>
          <cell r="K150">
            <v>43119</v>
          </cell>
          <cell r="L150" t="str">
            <v>EDNA GISELA GARCIA ROMERO</v>
          </cell>
          <cell r="M150">
            <v>145</v>
          </cell>
          <cell r="N150" t="str">
            <v>CONTRATO DE PRESTACION DE SERVICIOS PROFESIONALES</v>
          </cell>
          <cell r="O150">
            <v>218</v>
          </cell>
          <cell r="P150">
            <v>43119</v>
          </cell>
          <cell r="Q150" t="str">
            <v>Prestación de servicios profesionales en el componente social de la Dirección de Reasentamientos de la Caja de la Vivienda Popular, para la ejecución de planes y programas agenciados por el área misional.</v>
          </cell>
          <cell r="R150">
            <v>24720000</v>
          </cell>
          <cell r="S150">
            <v>0</v>
          </cell>
          <cell r="T150">
            <v>0</v>
          </cell>
          <cell r="U150">
            <v>24720000</v>
          </cell>
          <cell r="V150">
            <v>24720000</v>
          </cell>
        </row>
        <row r="151">
          <cell r="J151">
            <v>245</v>
          </cell>
          <cell r="K151">
            <v>43119</v>
          </cell>
          <cell r="L151" t="str">
            <v>JOSE DOMINGO GRACIA BAYUELO</v>
          </cell>
          <cell r="M151">
            <v>145</v>
          </cell>
          <cell r="N151" t="str">
            <v>CONTRATO DE PRESTACION DE SERVICIOS PROFESIONALES</v>
          </cell>
          <cell r="O151">
            <v>216</v>
          </cell>
          <cell r="P151">
            <v>43119</v>
          </cell>
          <cell r="Q151" t="str">
            <v>"Prestación de servicios profesionales en el componente social de la Dirección de Reasentamientos de la Caja de la Vivienda Popular, para la ejecución de planes y programas agenciados por el área misional."</v>
          </cell>
          <cell r="R151">
            <v>45320000</v>
          </cell>
          <cell r="S151">
            <v>0</v>
          </cell>
          <cell r="T151">
            <v>0</v>
          </cell>
          <cell r="U151">
            <v>45320000</v>
          </cell>
          <cell r="V151">
            <v>26368000</v>
          </cell>
        </row>
        <row r="152">
          <cell r="J152">
            <v>247</v>
          </cell>
          <cell r="K152">
            <v>43119</v>
          </cell>
          <cell r="L152" t="str">
            <v>EGNA MARGARITA ROJAS VARGAS</v>
          </cell>
          <cell r="M152">
            <v>145</v>
          </cell>
          <cell r="N152" t="str">
            <v>CONTRATO DE PRESTACION DE SERVICIOS PROFESIONALES</v>
          </cell>
          <cell r="O152">
            <v>214</v>
          </cell>
          <cell r="P152">
            <v>43119</v>
          </cell>
          <cell r="Q152" t="str">
            <v>Prestación de servicios profesionales, para el acompañamiento jurídico, en los procesos y procedimientos establecidos frente a la ejecución del programa misional de la Dirección de reasentamientos de la Caja de la Vivienda Popular</v>
          </cell>
          <cell r="R152">
            <v>57680000</v>
          </cell>
          <cell r="S152">
            <v>0</v>
          </cell>
          <cell r="T152">
            <v>0</v>
          </cell>
          <cell r="U152">
            <v>57680000</v>
          </cell>
          <cell r="V152">
            <v>46144000</v>
          </cell>
        </row>
        <row r="153">
          <cell r="J153">
            <v>249</v>
          </cell>
          <cell r="K153">
            <v>43119</v>
          </cell>
          <cell r="L153" t="str">
            <v>CLARA ROSARIO VILLAMIZAR BERNAL</v>
          </cell>
          <cell r="M153">
            <v>145</v>
          </cell>
          <cell r="N153" t="str">
            <v>CONTRATO DE PRESTACION DE SERVICIOS PROFESIONALES</v>
          </cell>
          <cell r="O153">
            <v>206</v>
          </cell>
          <cell r="P153">
            <v>43119</v>
          </cell>
          <cell r="Q153" t="str">
            <v>PRESTACIÓN DE SERVICIOS PROFESIONALES, EN MATERIA JURÍDICA A LA DIRECCIÓN DE REASENTAMIENTOS DE LA CAJA DE LA VIVIENDA POPULAR, PARA EL ADELANTAMIENTO DE LOS PROCEDIMIENTOS EN VIRTUD DE LOS INTERESES DE LA ENTIDAD, DE CONFORMIDAD CON LAS NORMAS MAS ELEVADAS DE COMPETENCIA, IDONEIDAD E INTEGRIDAD ETICA Y PROFESIONAL.</v>
          </cell>
          <cell r="R153">
            <v>50367000</v>
          </cell>
          <cell r="S153">
            <v>0</v>
          </cell>
          <cell r="T153">
            <v>0</v>
          </cell>
          <cell r="U153">
            <v>50367000</v>
          </cell>
          <cell r="V153">
            <v>32234880</v>
          </cell>
        </row>
        <row r="154">
          <cell r="J154">
            <v>256</v>
          </cell>
          <cell r="K154">
            <v>43119</v>
          </cell>
          <cell r="L154" t="str">
            <v>SANDRA MILENA GAMBA RUIZ</v>
          </cell>
          <cell r="M154">
            <v>145</v>
          </cell>
          <cell r="N154" t="str">
            <v>CONTRATO DE PRESTACION DE SERVICIOS PROFESIONALES</v>
          </cell>
          <cell r="O154">
            <v>224</v>
          </cell>
          <cell r="P154">
            <v>43119</v>
          </cell>
          <cell r="Q154" t="str">
            <v>Prestación de servicios profesionales en el componente social de la Dirección de Reasentamientos de la Caja de la Vivienda Popular, para la ejecución de planes y programas agenciados por el área misional.</v>
          </cell>
          <cell r="R154">
            <v>30591000</v>
          </cell>
          <cell r="S154">
            <v>0</v>
          </cell>
          <cell r="T154">
            <v>0</v>
          </cell>
          <cell r="U154">
            <v>30591000</v>
          </cell>
          <cell r="V154">
            <v>20167400</v>
          </cell>
        </row>
        <row r="155">
          <cell r="J155">
            <v>261</v>
          </cell>
          <cell r="K155">
            <v>43119</v>
          </cell>
          <cell r="L155" t="str">
            <v>LEIDY JINETH SANABRIA SANABRIA</v>
          </cell>
          <cell r="M155">
            <v>145</v>
          </cell>
          <cell r="N155" t="str">
            <v>CONTRATO DE PRESTACION DE SERVICIOS PROFESIONALES</v>
          </cell>
          <cell r="O155">
            <v>227</v>
          </cell>
          <cell r="P155">
            <v>43119</v>
          </cell>
          <cell r="Q155" t="str">
            <v>Prestación de servicios profesionales en el componente social de la Dirección de Reasentamientos de la Caja de la Vivienda Popular, para la ejecución de planes y programas agenciados por el área misional</v>
          </cell>
          <cell r="R155">
            <v>41200000</v>
          </cell>
          <cell r="S155">
            <v>0</v>
          </cell>
          <cell r="T155">
            <v>0</v>
          </cell>
          <cell r="U155">
            <v>41200000</v>
          </cell>
          <cell r="V155">
            <v>25956000</v>
          </cell>
        </row>
        <row r="156">
          <cell r="J156">
            <v>262</v>
          </cell>
          <cell r="K156">
            <v>43119</v>
          </cell>
          <cell r="L156" t="str">
            <v>JUAN CAMILO MEJIA PAREDES</v>
          </cell>
          <cell r="M156">
            <v>145</v>
          </cell>
          <cell r="N156" t="str">
            <v>CONTRATO DE PRESTACION DE SERVICIOS PROFESIONALES</v>
          </cell>
          <cell r="O156">
            <v>228</v>
          </cell>
          <cell r="P156">
            <v>43119</v>
          </cell>
          <cell r="Q156" t="str">
            <v>Prestación de servicios profesionales, para el acompañamiento jurídico, en los procesos y procedimientos establecidos frente a la ejecución del programa misional de la Dirección de reasentamientos de la Caja de la Vivienda Popular</v>
          </cell>
          <cell r="R156">
            <v>64890000</v>
          </cell>
          <cell r="S156">
            <v>0</v>
          </cell>
          <cell r="T156">
            <v>0</v>
          </cell>
          <cell r="U156">
            <v>64890000</v>
          </cell>
          <cell r="V156">
            <v>38213000</v>
          </cell>
        </row>
        <row r="157">
          <cell r="J157">
            <v>263</v>
          </cell>
          <cell r="K157">
            <v>43119</v>
          </cell>
          <cell r="L157" t="str">
            <v>JHOANA MARITZA MEDINA RAMIREZ</v>
          </cell>
          <cell r="M157">
            <v>145</v>
          </cell>
          <cell r="N157" t="str">
            <v>CONTRATO DE PRESTACION DE SERVICIOS PROFESIONALES</v>
          </cell>
          <cell r="O157">
            <v>229</v>
          </cell>
          <cell r="P157">
            <v>43119</v>
          </cell>
          <cell r="Q157" t="str">
            <v>Prestar sus servicios profesionales como enlace entre la Dirección Técnica de Reasentamientos y La Dirección Jurídica, para el desarrollo de actividades jurídicas relacionadas con los procedimientos, actuaciones, competencias y trámites en general que se encuentren a cargo de Reasentamientos.</v>
          </cell>
          <cell r="R157">
            <v>57783000</v>
          </cell>
          <cell r="S157">
            <v>0</v>
          </cell>
          <cell r="T157">
            <v>0</v>
          </cell>
          <cell r="U157">
            <v>57783000</v>
          </cell>
          <cell r="V157">
            <v>33269000</v>
          </cell>
        </row>
        <row r="158">
          <cell r="J158">
            <v>265</v>
          </cell>
          <cell r="K158">
            <v>43119</v>
          </cell>
          <cell r="L158" t="str">
            <v>KATHIA LILIANA RODRIGUEZ CAMARGO</v>
          </cell>
          <cell r="M158">
            <v>145</v>
          </cell>
          <cell r="N158" t="str">
            <v>CONTRATO DE PRESTACION DE SERVICIOS PROFESIONALES</v>
          </cell>
          <cell r="O158">
            <v>235</v>
          </cell>
          <cell r="P158">
            <v>43119</v>
          </cell>
          <cell r="Q158" t="str">
            <v>Prestación de servicios profesionales para acompañar la ejecución de diferentes actividades relacionadas con el componente social de la Dirección de Reasentamientos de la Caja de la Vivienda Popular, en el marco de la ejecución del Decreto No 457 de 2017 ¿Por el cual se crea e implementa el programa de acompañamiento para la mitigación de las acciones derivadas de la recuperación del predio denominado VEREDITAS, ubicado en la localidad de Kennedy¿.</v>
          </cell>
          <cell r="R158">
            <v>31518000</v>
          </cell>
          <cell r="S158">
            <v>0</v>
          </cell>
          <cell r="T158">
            <v>0</v>
          </cell>
          <cell r="U158">
            <v>31518000</v>
          </cell>
          <cell r="V158">
            <v>31518000</v>
          </cell>
        </row>
        <row r="159">
          <cell r="J159">
            <v>267</v>
          </cell>
          <cell r="K159">
            <v>43119</v>
          </cell>
          <cell r="L159" t="str">
            <v>ANDRES CAMILO RODRIGUEZ JOYA</v>
          </cell>
          <cell r="M159">
            <v>145</v>
          </cell>
          <cell r="N159" t="str">
            <v>CONTRATO DE PRESTACION DE SERVICIOS PROFESIONALES</v>
          </cell>
          <cell r="O159">
            <v>237</v>
          </cell>
          <cell r="P159">
            <v>43119</v>
          </cell>
          <cell r="Q159" t="str">
            <v>Prestación de servicios profesionales para el acompañamiento en la ejecución de las diferentes actividades relacionadas con el componente técnico de la Dirección de Reasentamientos de la Caja de la Vivienda Popular, en el marco de la ejecución del Decreto No 457 de 2017 ¿Por el cual se crea e implementa el programa de acompañamiento para la mitigación de las acciones derivadas de la recuperación del predio denominado VEREDITAS, ubicado en la localidad de Kennedy".</v>
          </cell>
          <cell r="R159">
            <v>37080000</v>
          </cell>
          <cell r="S159">
            <v>0</v>
          </cell>
          <cell r="T159">
            <v>0</v>
          </cell>
          <cell r="U159">
            <v>37080000</v>
          </cell>
          <cell r="V159">
            <v>37080000</v>
          </cell>
        </row>
        <row r="160">
          <cell r="J160">
            <v>268</v>
          </cell>
          <cell r="K160">
            <v>43119</v>
          </cell>
          <cell r="L160" t="str">
            <v>MARIENT LORENA PADILLA GARCIA</v>
          </cell>
          <cell r="M160">
            <v>145</v>
          </cell>
          <cell r="N160" t="str">
            <v>CONTRATO DE PRESTACION DE SERVICIOS PROFESIONALES</v>
          </cell>
          <cell r="O160">
            <v>238</v>
          </cell>
          <cell r="P160">
            <v>43119</v>
          </cell>
          <cell r="Q160" t="str">
            <v>Prestación de servicios profesionales para el acompañamiento jurídico en las actuaciones propias que requiera la Dirección de Reasentamientos de la Caja de la Vivienda Popular, en el marco de la ejecución del Decreto No 457 de 2017 ¿Por el cual se crea e implementa el programa de acompañamiento para la mitigación de las acciones derivadas de la recuperación del predio denominado VEREDITAS, ubicado en la localidad de Kennedy¿.</v>
          </cell>
          <cell r="R160">
            <v>37080000</v>
          </cell>
          <cell r="S160">
            <v>0</v>
          </cell>
          <cell r="T160">
            <v>0</v>
          </cell>
          <cell r="U160">
            <v>37080000</v>
          </cell>
          <cell r="V160">
            <v>37080000</v>
          </cell>
        </row>
        <row r="161">
          <cell r="J161">
            <v>269</v>
          </cell>
          <cell r="K161">
            <v>43119</v>
          </cell>
          <cell r="L161" t="str">
            <v>VICTOR MANUEL LOPEZ RINCON</v>
          </cell>
          <cell r="M161">
            <v>145</v>
          </cell>
          <cell r="N161" t="str">
            <v>CONTRATO DE PRESTACION DE SERVICIOS PROFESIONALES</v>
          </cell>
          <cell r="O161">
            <v>239</v>
          </cell>
          <cell r="P161">
            <v>43119</v>
          </cell>
          <cell r="Q161" t="str">
            <v>Prestación de servicios profesionales para el acompañamiento en la ejecución de las diferentes actividades relacionadas con el componente técnico de la Dirección de Reasentamientos de la Caja de la Vivienda Popular, en el marco de la ejecución del Decreto No 457 de 2017 ¿Por el cual se crea e implementa el programa de acompañamiento para la mitigación de las acciones derivadas de la recuperación del predio denominado VEREDITAS, ubicado en la localidad de Kennedy ¿.</v>
          </cell>
          <cell r="R161">
            <v>30220200</v>
          </cell>
          <cell r="S161">
            <v>0</v>
          </cell>
          <cell r="T161">
            <v>0</v>
          </cell>
          <cell r="U161">
            <v>30220200</v>
          </cell>
          <cell r="V161">
            <v>30220200</v>
          </cell>
        </row>
        <row r="162">
          <cell r="J162">
            <v>270</v>
          </cell>
          <cell r="K162">
            <v>43119</v>
          </cell>
          <cell r="L162" t="str">
            <v>RUBEN DARIO RODAS CHINGATE</v>
          </cell>
          <cell r="M162">
            <v>145</v>
          </cell>
          <cell r="N162" t="str">
            <v>CONTRATO DE PRESTACION DE SERVICIOS PROFESIONALES</v>
          </cell>
          <cell r="O162">
            <v>240</v>
          </cell>
          <cell r="P162">
            <v>43119</v>
          </cell>
          <cell r="Q162" t="str">
            <v>Prestación de servicios profesionales, en materia jurídica a la Dirección de Reasentamientos de la Caja de la Vivienda Popular, para el adelantamiento de los procedimientos en virtud de los intereses de la entidad, de conformidad con las normas ma¿s elevadas de competencia, idoneidad e integridad e¿tica y profesional.</v>
          </cell>
          <cell r="R162">
            <v>32960000</v>
          </cell>
          <cell r="S162">
            <v>0</v>
          </cell>
          <cell r="T162">
            <v>0</v>
          </cell>
          <cell r="U162">
            <v>32960000</v>
          </cell>
          <cell r="V162">
            <v>25956000</v>
          </cell>
        </row>
        <row r="163">
          <cell r="J163">
            <v>271</v>
          </cell>
          <cell r="K163">
            <v>43119</v>
          </cell>
          <cell r="L163" t="str">
            <v>JUDY  CRUZ PINEDA</v>
          </cell>
          <cell r="M163">
            <v>145</v>
          </cell>
          <cell r="N163" t="str">
            <v>CONTRATO DE PRESTACION DE SERVICIOS PROFESIONALES</v>
          </cell>
          <cell r="O163">
            <v>241</v>
          </cell>
          <cell r="P163">
            <v>43119</v>
          </cell>
          <cell r="Q163" t="str">
            <v>Prestación de servicios profesionales en el componente social de la Dirección de Reasentamientos de la Caja de la Vivienda Popular, para la ejecución de planes y programas agenciados por el área misional.</v>
          </cell>
          <cell r="R163">
            <v>41200000</v>
          </cell>
          <cell r="S163">
            <v>0</v>
          </cell>
          <cell r="T163">
            <v>0</v>
          </cell>
          <cell r="U163">
            <v>41200000</v>
          </cell>
          <cell r="V163">
            <v>25956000</v>
          </cell>
        </row>
        <row r="164">
          <cell r="J164">
            <v>274</v>
          </cell>
          <cell r="K164">
            <v>43122</v>
          </cell>
          <cell r="L164" t="str">
            <v>CESAR EDUARDO RODRIGUEZ PINZON</v>
          </cell>
          <cell r="M164">
            <v>145</v>
          </cell>
          <cell r="N164" t="str">
            <v>CONTRATO DE PRESTACION DE SERVICIOS PROFESIONALES</v>
          </cell>
          <cell r="O164">
            <v>244</v>
          </cell>
          <cell r="P164">
            <v>43122</v>
          </cell>
          <cell r="Q164" t="str">
            <v>Prestación de servicios profesionales en la Dirección de Reasentamientos de la Caja de la Vivienda Popular, apoyando los procesos y procedimientos que en materia jurídica se requieran.</v>
          </cell>
          <cell r="R164">
            <v>37080000</v>
          </cell>
          <cell r="S164">
            <v>0</v>
          </cell>
          <cell r="T164">
            <v>0</v>
          </cell>
          <cell r="U164">
            <v>37080000</v>
          </cell>
          <cell r="V164">
            <v>25956000</v>
          </cell>
        </row>
        <row r="165">
          <cell r="J165">
            <v>277</v>
          </cell>
          <cell r="K165">
            <v>43122</v>
          </cell>
          <cell r="L165" t="str">
            <v>ESPERANZA  CAJIAO MOSQUERA</v>
          </cell>
          <cell r="M165">
            <v>145</v>
          </cell>
          <cell r="N165" t="str">
            <v>CONTRATO DE PRESTACION DE SERVICIOS PROFESIONALES</v>
          </cell>
          <cell r="O165">
            <v>247</v>
          </cell>
          <cell r="P165">
            <v>43122</v>
          </cell>
          <cell r="Q165" t="str">
            <v>Prestación de servicios profesionales en el componente social de la Dirección de Reasentamientos de la Caja de la Vivienda Popular para la ejecución de planes y programas agenciados por el área misional.</v>
          </cell>
          <cell r="R165">
            <v>16995000</v>
          </cell>
          <cell r="S165">
            <v>0</v>
          </cell>
          <cell r="T165">
            <v>0</v>
          </cell>
          <cell r="U165">
            <v>16995000</v>
          </cell>
          <cell r="V165">
            <v>16995000</v>
          </cell>
        </row>
        <row r="166">
          <cell r="J166">
            <v>278</v>
          </cell>
          <cell r="K166">
            <v>43122</v>
          </cell>
          <cell r="L166" t="str">
            <v>MARIELA  GARCIA PINZON</v>
          </cell>
          <cell r="M166">
            <v>145</v>
          </cell>
          <cell r="N166" t="str">
            <v>CONTRATO DE PRESTACION DE SERVICIOS PROFESIONALES</v>
          </cell>
          <cell r="O166">
            <v>248</v>
          </cell>
          <cell r="P166">
            <v>43122</v>
          </cell>
          <cell r="Q166" t="str">
            <v>Prestación de servicios profesionales para el acompañamiento en la ejecución de las diferentes actividades relacionadas con el componente técnico de la Dirección de Reasentamientos de la Caja de la Vivienda Popular, en el marco de la ejecución del Decreto No 457 de 2017 ¿Por el cual se crea e implementa el programa de acompañamiento para la mitigación de las acciones derivadas de la recuperación del predio denominado VEREDITAS, ubicado en la localidad de Kennedy ¿.</v>
          </cell>
          <cell r="R166">
            <v>43260000</v>
          </cell>
          <cell r="S166">
            <v>0</v>
          </cell>
          <cell r="T166">
            <v>0</v>
          </cell>
          <cell r="U166">
            <v>43260000</v>
          </cell>
          <cell r="V166">
            <v>43260000</v>
          </cell>
        </row>
        <row r="167">
          <cell r="J167">
            <v>281</v>
          </cell>
          <cell r="K167">
            <v>43122</v>
          </cell>
          <cell r="L167" t="str">
            <v>DIEGO FERNANDO CUBIDES REINA</v>
          </cell>
          <cell r="M167">
            <v>148</v>
          </cell>
          <cell r="N167" t="str">
            <v>CONTRATO DE PRESTACION DE SERVICIOS DE APOYO A LA GESTION</v>
          </cell>
          <cell r="O167">
            <v>251</v>
          </cell>
          <cell r="P167">
            <v>43122</v>
          </cell>
          <cell r="Q167" t="str">
            <v>Prestación de servicios profesionales de apoyo financiero respecto a la programación, control presupuestal y acciones de soporte en la Dirección de Reasentamientos de la Caja de la Vivienda Popular.</v>
          </cell>
          <cell r="R167">
            <v>41200000</v>
          </cell>
          <cell r="S167">
            <v>41200000</v>
          </cell>
          <cell r="T167">
            <v>0</v>
          </cell>
          <cell r="U167">
            <v>0</v>
          </cell>
          <cell r="V167">
            <v>0</v>
          </cell>
        </row>
        <row r="168">
          <cell r="J168">
            <v>282</v>
          </cell>
          <cell r="K168">
            <v>43122</v>
          </cell>
          <cell r="L168" t="str">
            <v>DIANA CAROLINA FABRA GUTIERREZ</v>
          </cell>
          <cell r="M168">
            <v>145</v>
          </cell>
          <cell r="N168" t="str">
            <v>CONTRATO DE PRESTACION DE SERVICIOS PROFESIONALES</v>
          </cell>
          <cell r="O168">
            <v>252</v>
          </cell>
          <cell r="P168">
            <v>43122</v>
          </cell>
          <cell r="Q168" t="str">
            <v>PRESTACIÓN DE SERVICIOS PROFESIONALES PARA EL ACOMPAÑAMIENTO JURÍDICO EN LAS ACTUACIONES PROPIAS QUE REQUIERA LA DIRECCIÓN DE REASENTAMIENTOS DE LA CAJA DE LA VIVIENDA POPULAR, EN EL MARCO DE LA EJECUCIÓN DEL DECRETO NO 457 DE 2017 ¿POR EL CUAL SE IMPLEMENTA EL PROGRAMA DE ACOMPAÑAMIENTO PARA LA MITIGACIÓN DE LAS ACCIONES DERIVADAS DE LA RECUPERACIÓN DEL PREDIO DENOMINADO VEREDITAS, UBICADO EN LA LOCALIDAD DE KENNEDY.</v>
          </cell>
          <cell r="R168">
            <v>20394000</v>
          </cell>
          <cell r="S168">
            <v>0</v>
          </cell>
          <cell r="T168">
            <v>0</v>
          </cell>
          <cell r="U168">
            <v>20394000</v>
          </cell>
          <cell r="V168">
            <v>20394000</v>
          </cell>
        </row>
        <row r="169">
          <cell r="J169">
            <v>283</v>
          </cell>
          <cell r="K169">
            <v>43122</v>
          </cell>
          <cell r="L169" t="str">
            <v>SANDRA MIREYA GUTIERREZ LIEVANO</v>
          </cell>
          <cell r="M169">
            <v>148</v>
          </cell>
          <cell r="N169" t="str">
            <v>CONTRATO DE PRESTACION DE SERVICIOS DE APOYO A LA GESTION</v>
          </cell>
          <cell r="O169">
            <v>253</v>
          </cell>
          <cell r="P169">
            <v>43122</v>
          </cell>
          <cell r="Q169" t="str">
            <v>Prestación de servicios de apoyo a la gestión en lo relacionado con el manejo de archivo y gestión documental generado desde la Dirección de Reasentamientos de la Caja de la Vivienda Popular.</v>
          </cell>
          <cell r="R169">
            <v>27192000</v>
          </cell>
          <cell r="S169">
            <v>0</v>
          </cell>
          <cell r="T169">
            <v>0</v>
          </cell>
          <cell r="U169">
            <v>27192000</v>
          </cell>
          <cell r="V169">
            <v>15573600</v>
          </cell>
        </row>
        <row r="170">
          <cell r="J170">
            <v>286</v>
          </cell>
          <cell r="K170">
            <v>43122</v>
          </cell>
          <cell r="L170" t="str">
            <v>ANDREA MARGARITA BERNAL VERGARA</v>
          </cell>
          <cell r="M170">
            <v>145</v>
          </cell>
          <cell r="N170" t="str">
            <v>CONTRATO DE PRESTACION DE SERVICIOS PROFESIONALES</v>
          </cell>
          <cell r="O170">
            <v>256</v>
          </cell>
          <cell r="P170">
            <v>43122</v>
          </cell>
          <cell r="Q170" t="str">
            <v>PRESTACIÓN DE SERVICIOS PROFESIONALES, FRENTE AL COMPONENTE FINANCIERO RESPECTO A LA PROGRAMACIÓN, CONTROL PRESUPUESTAL Y ACCIONES DE SOPORTE EN LA DIRECCIÓN DE REASENTAMIENTOS DE LA CAJA DE LA VIVIENDA POPULAR, EN EL MARCO DE LA EJECUCIÓN DEL DECRETO NO 457 DE 2017. POR EL CUAL SE CREA E IMPLEMENTA EL PROGRAMA DE ACOMPAÑAMIENTO PARA LA MITIGACIÓN DE LAS ACCIONES DERIVADAS DE LA RECUPERACIÓN DEL PREDIO DENOMINADO VEREDITAS, UBICADO EN LA LOCALIDAD DE KENNEDY.</v>
          </cell>
          <cell r="R170">
            <v>24720000</v>
          </cell>
          <cell r="S170">
            <v>0</v>
          </cell>
          <cell r="T170">
            <v>0</v>
          </cell>
          <cell r="U170">
            <v>24720000</v>
          </cell>
          <cell r="V170">
            <v>24720000</v>
          </cell>
        </row>
        <row r="171">
          <cell r="J171">
            <v>287</v>
          </cell>
          <cell r="K171">
            <v>43122</v>
          </cell>
          <cell r="L171" t="str">
            <v>DIEGO FERNANDO CUBIDES REINA</v>
          </cell>
          <cell r="M171">
            <v>145</v>
          </cell>
          <cell r="N171" t="str">
            <v>CONTRATO DE PRESTACION DE SERVICIOS PROFESIONALES</v>
          </cell>
          <cell r="O171">
            <v>251</v>
          </cell>
          <cell r="P171">
            <v>43122</v>
          </cell>
          <cell r="Q171" t="str">
            <v>Prestación de servicios profesionales de apoyo financiero respecto a la programación, control presupuestal y acciones de soporte en la Dirección de Reasentamientos de la Caja de la Vivienda Popular.</v>
          </cell>
          <cell r="R171">
            <v>41200000</v>
          </cell>
          <cell r="S171">
            <v>0</v>
          </cell>
          <cell r="T171">
            <v>0</v>
          </cell>
          <cell r="U171">
            <v>41200000</v>
          </cell>
          <cell r="V171">
            <v>25956000</v>
          </cell>
        </row>
        <row r="172">
          <cell r="J172">
            <v>288</v>
          </cell>
          <cell r="K172">
            <v>43122</v>
          </cell>
          <cell r="L172" t="str">
            <v>CLAUDIA BIBIANA ESPINOSA HORTUA</v>
          </cell>
          <cell r="M172">
            <v>148</v>
          </cell>
          <cell r="N172" t="str">
            <v>CONTRATO DE PRESTACION DE SERVICIOS DE APOYO A LA GESTION</v>
          </cell>
          <cell r="O172">
            <v>257</v>
          </cell>
          <cell r="P172">
            <v>43122</v>
          </cell>
          <cell r="Q172" t="str">
            <v>Prestación de servicios de apoyo a la gestión en lo relacionado con los trámites requeridos para el manejo de archivo y gestión documental generado desde la Dirección de Reasentamientos de la Caja de la Vivienda Popular</v>
          </cell>
          <cell r="R172">
            <v>19261000</v>
          </cell>
          <cell r="S172">
            <v>0</v>
          </cell>
          <cell r="T172">
            <v>0</v>
          </cell>
          <cell r="U172">
            <v>19261000</v>
          </cell>
          <cell r="V172">
            <v>11031300</v>
          </cell>
        </row>
        <row r="173">
          <cell r="J173">
            <v>289</v>
          </cell>
          <cell r="K173">
            <v>43122</v>
          </cell>
          <cell r="L173" t="str">
            <v>FABIAN RICARDO MEJIA OSPINA</v>
          </cell>
          <cell r="M173">
            <v>145</v>
          </cell>
          <cell r="N173" t="str">
            <v>CONTRATO DE PRESTACION DE SERVICIOS PROFESIONALES</v>
          </cell>
          <cell r="O173">
            <v>258</v>
          </cell>
          <cell r="P173">
            <v>43122</v>
          </cell>
          <cell r="Q173" t="str">
            <v>Prestación de servicios profesionales a la Dirección de Reasentamientos para la puesta en marcha del Sistema de Información Geográfica, el uso y adopción de tecnologías para la gestión de Información Georeferenciada del área misonal.</v>
          </cell>
          <cell r="R173">
            <v>66950000</v>
          </cell>
          <cell r="S173">
            <v>0</v>
          </cell>
          <cell r="T173">
            <v>0</v>
          </cell>
          <cell r="U173">
            <v>66950000</v>
          </cell>
          <cell r="V173">
            <v>41955333</v>
          </cell>
        </row>
        <row r="174">
          <cell r="J174">
            <v>290</v>
          </cell>
          <cell r="K174">
            <v>43122</v>
          </cell>
          <cell r="L174" t="str">
            <v>JANETH VANESSA DIAZ CAMACHO</v>
          </cell>
          <cell r="M174">
            <v>148</v>
          </cell>
          <cell r="N174" t="str">
            <v>CONTRATO DE PRESTACION DE SERVICIOS DE APOYO A LA GESTION</v>
          </cell>
          <cell r="O174">
            <v>259</v>
          </cell>
          <cell r="P174">
            <v>43122</v>
          </cell>
          <cell r="Q174" t="str">
            <v>PRESTACIÓN DE SERVICIOS DE APOYO A LA GESTIÓN EN LAS DIFERENTES ACTIVIDADES RELACIONADAS CON DIGITALIZACIÓN DE FICHAS, GESTIÓN DOCUMENTAL, ARCHIVO Y ESCANEO DE LOS ARCHIVOS CORRESPONDIENTES, EN EL MARCO DE LA EJECUCIÓN DEL DECRETO NO 457 DE 2017. "POR MEDIO DEL CUAL SE IMPLEMENTA EL PROGRAMA DE ACOMPAÑAMIENTO PARA LA MITIGACIÓN DE LAS ACCIONES DERIVADAS DE LA RECUPERACIÓN DEL PREDIO DENOMINADO VEREDITAS, UBICADO EN LA LOCALIDAD DE KENNEDY".</v>
          </cell>
          <cell r="R174">
            <v>9270000</v>
          </cell>
          <cell r="S174">
            <v>0</v>
          </cell>
          <cell r="T174">
            <v>0</v>
          </cell>
          <cell r="U174">
            <v>9270000</v>
          </cell>
          <cell r="V174">
            <v>9270000</v>
          </cell>
        </row>
        <row r="175">
          <cell r="J175">
            <v>294</v>
          </cell>
          <cell r="K175">
            <v>43122</v>
          </cell>
          <cell r="L175" t="str">
            <v>JHON CARLOS RINCON AGREDO</v>
          </cell>
          <cell r="M175">
            <v>145</v>
          </cell>
          <cell r="N175" t="str">
            <v>CONTRATO DE PRESTACION DE SERVICIOS PROFESIONALES</v>
          </cell>
          <cell r="O175">
            <v>261</v>
          </cell>
          <cell r="P175">
            <v>43122</v>
          </cell>
          <cell r="Q175" t="str">
            <v>CONTRATAR LOS SERVICIOS PROFESIONALES DE UN COMUNICADOR SOCIAL O PERIODISTA QUE APOYE LA LOCUCIÓN DE PRODUCTOS AUDIOVISUALES Y LA PRESENTACIÓN DE ACTIVIDADES CON LAS COMUNIDADES BENEFICIARIAS DE LOS DISTINTOS PROGRAMAS MISIONALES, CON EL FIN DE FAVORECER UNA COMUNICACIÓN ACTIVA DE LA MISIONALIDAD DE LA ENTIDAD.</v>
          </cell>
          <cell r="R175">
            <v>9772125</v>
          </cell>
          <cell r="S175">
            <v>0</v>
          </cell>
          <cell r="T175">
            <v>0</v>
          </cell>
          <cell r="U175">
            <v>9772125</v>
          </cell>
          <cell r="V175">
            <v>5596787</v>
          </cell>
        </row>
        <row r="176">
          <cell r="J176">
            <v>295</v>
          </cell>
          <cell r="K176">
            <v>43122</v>
          </cell>
          <cell r="L176" t="str">
            <v>MARIA ELSA SICHACA CASTELBLANCO</v>
          </cell>
          <cell r="M176">
            <v>145</v>
          </cell>
          <cell r="N176" t="str">
            <v>CONTRATO DE PRESTACION DE SERVICIOS PROFESIONALES</v>
          </cell>
          <cell r="O176">
            <v>263</v>
          </cell>
          <cell r="P176">
            <v>43122</v>
          </cell>
          <cell r="Q176" t="str">
            <v>Prestación de servicios profesionales para la ejecución de actividades a cargo del componente social y en especial lo relativo a la estrategia de Resiliencia y Sostenibilidad de la comunidad, en la Dirección de Reasentamientos de la caja de la Vivienda Popular.</v>
          </cell>
          <cell r="R176">
            <v>61800000</v>
          </cell>
          <cell r="S176">
            <v>0</v>
          </cell>
          <cell r="T176">
            <v>0</v>
          </cell>
          <cell r="U176">
            <v>61800000</v>
          </cell>
          <cell r="V176">
            <v>38934000</v>
          </cell>
        </row>
        <row r="177">
          <cell r="J177">
            <v>298</v>
          </cell>
          <cell r="K177">
            <v>43122</v>
          </cell>
          <cell r="L177" t="str">
            <v>MIGUEL DAVID PERDOMO DURAN</v>
          </cell>
          <cell r="M177">
            <v>145</v>
          </cell>
          <cell r="N177" t="str">
            <v>CONTRATO DE PRESTACION DE SERVICIOS PROFESIONALES</v>
          </cell>
          <cell r="O177">
            <v>271</v>
          </cell>
          <cell r="P177">
            <v>43122</v>
          </cell>
          <cell r="Q177" t="str">
            <v>Prestación de servicios profesionales, para el acompañamiento jurídico, en los procesos y procedimientos establecidos frente a la ejecución del programa misional de la Dirección de Reasentamientos de la Caja de la Vivienda Popular</v>
          </cell>
          <cell r="R177">
            <v>31981500</v>
          </cell>
          <cell r="S177">
            <v>0</v>
          </cell>
          <cell r="T177">
            <v>0</v>
          </cell>
          <cell r="U177">
            <v>31981500</v>
          </cell>
          <cell r="V177">
            <v>22268600</v>
          </cell>
        </row>
        <row r="178">
          <cell r="J178">
            <v>299</v>
          </cell>
          <cell r="K178">
            <v>43122</v>
          </cell>
          <cell r="L178" t="str">
            <v>JESUS ALIRIO CHIRIMIA PERTIAGA</v>
          </cell>
          <cell r="M178">
            <v>145</v>
          </cell>
          <cell r="N178" t="str">
            <v>CONTRATO DE PRESTACION DE SERVICIOS PROFESIONALES</v>
          </cell>
          <cell r="O178">
            <v>273</v>
          </cell>
          <cell r="P178">
            <v>43122</v>
          </cell>
          <cell r="Q178" t="str">
            <v>Prestación de servicios profesionales para la ejecución de actividades a cargo del componente social y en especial lo relativo a la atencion y acompañamiento a las comunidades indigenas beneficiarias del programa de reasentamientos agenciado por la Direccion de Reasentamientos de la caja de la Vivienda Popular.</v>
          </cell>
          <cell r="R178">
            <v>33990000</v>
          </cell>
          <cell r="S178">
            <v>0</v>
          </cell>
          <cell r="T178">
            <v>0</v>
          </cell>
          <cell r="U178">
            <v>33990000</v>
          </cell>
          <cell r="V178">
            <v>21300400</v>
          </cell>
        </row>
        <row r="179">
          <cell r="J179">
            <v>303</v>
          </cell>
          <cell r="K179">
            <v>43122</v>
          </cell>
          <cell r="L179" t="str">
            <v>JOVITA IDALBA SANABRIA CHARRY</v>
          </cell>
          <cell r="M179">
            <v>145</v>
          </cell>
          <cell r="N179" t="str">
            <v>CONTRATO DE PRESTACION DE SERVICIOS PROFESIONALES</v>
          </cell>
          <cell r="O179">
            <v>269</v>
          </cell>
          <cell r="P179">
            <v>43122</v>
          </cell>
          <cell r="Q179" t="str">
            <v>Prestación de servicios profesionales, como apoyo jurídico en las actuaciones propias que requiera la Dirección de Reasentamientos de la Caja de la Vivienda Popular en la ejecución del programa de Reasentamientos.</v>
          </cell>
          <cell r="R179">
            <v>36771000</v>
          </cell>
          <cell r="S179">
            <v>0</v>
          </cell>
          <cell r="T179">
            <v>0</v>
          </cell>
          <cell r="U179">
            <v>36771000</v>
          </cell>
          <cell r="V179">
            <v>32918800</v>
          </cell>
        </row>
        <row r="180">
          <cell r="J180">
            <v>309</v>
          </cell>
          <cell r="K180">
            <v>43122</v>
          </cell>
          <cell r="L180" t="str">
            <v>MANUEL LEONARDO TELLEZ BELTRAN</v>
          </cell>
          <cell r="M180">
            <v>145</v>
          </cell>
          <cell r="N180" t="str">
            <v>CONTRATO DE PRESTACION DE SERVICIOS PROFESIONALES</v>
          </cell>
          <cell r="O180">
            <v>280</v>
          </cell>
          <cell r="P180">
            <v>43122</v>
          </cell>
          <cell r="Q180" t="str">
            <v>PRESTACIÓN DE SERVICIOS PROFESIONALES PARA REALIZAR EL SEGUIMIENTO, MONITOREO Y ARTICULACIÓN DE LOS DIFERENTES PROYECTOS MISIONALES DE LA ENTIDAD, CON ÉNFASIS EN EL CONTROL DE LOS PROCESOS Y ACTIVIDADES DE OBRA, PARA SU CORRESPONDIENTE REPORTE ANTE LA DIRECCIÓN GENERAL DE LA CAJA DE LA VIVIENDA POPULAR."</v>
          </cell>
          <cell r="R180">
            <v>68425000</v>
          </cell>
          <cell r="S180">
            <v>0</v>
          </cell>
          <cell r="T180">
            <v>0</v>
          </cell>
          <cell r="U180">
            <v>68425000</v>
          </cell>
          <cell r="V180">
            <v>34113334</v>
          </cell>
        </row>
        <row r="181">
          <cell r="J181">
            <v>320</v>
          </cell>
          <cell r="K181">
            <v>43123</v>
          </cell>
          <cell r="L181" t="str">
            <v>SONIA MILENA PINZON GARZON</v>
          </cell>
          <cell r="M181">
            <v>145</v>
          </cell>
          <cell r="N181" t="str">
            <v>CONTRATO DE PRESTACION DE SERVICIOS PROFESIONALES</v>
          </cell>
          <cell r="O181">
            <v>272</v>
          </cell>
          <cell r="P181">
            <v>43123</v>
          </cell>
          <cell r="Q181" t="str">
            <v>Prestación de servicios profesionales para acompañar la ejecución de diferentes actividades relacionadas con el componente social de la Dirección de Reasentamientos de la Caja de la Vivienda Popular, en el marco de la ejecución del Decreto No 457 de 2017 ¿Por el cual se crea e implementa el programa de acompañamiento para la mitigación de las acciones derivadas de la recuperación del predio denominado VEREDITAS, ubicado en la localidad de Kennedy¿.</v>
          </cell>
          <cell r="R181">
            <v>24720000</v>
          </cell>
          <cell r="S181">
            <v>0</v>
          </cell>
          <cell r="T181">
            <v>0</v>
          </cell>
          <cell r="U181">
            <v>24720000</v>
          </cell>
          <cell r="V181">
            <v>24720000</v>
          </cell>
        </row>
        <row r="182">
          <cell r="J182">
            <v>321</v>
          </cell>
          <cell r="K182">
            <v>43123</v>
          </cell>
          <cell r="L182" t="str">
            <v>DORIS JOHANNA NOVOA LOZANO</v>
          </cell>
          <cell r="M182">
            <v>145</v>
          </cell>
          <cell r="N182" t="str">
            <v>CONTRATO DE PRESTACION DE SERVICIOS PROFESIONALES</v>
          </cell>
          <cell r="O182">
            <v>262</v>
          </cell>
          <cell r="P182">
            <v>43123</v>
          </cell>
          <cell r="Q182" t="str">
            <v>PRESTACIÓN DE SERVICIOS PROFESIONALES PARA EL ACOMPAÑAMIENTO JURÍDICO EN LAS ACTUACIONES PROPIAS QUE REQUIERA LA DIRECCIÓN DE REASENTAMIENTOS DE LA CAJA DE LA VIVIENDA POPULAR, EN EL MARCO DE LA EJECUCIÓN DEL DECRETO NO 457 DE 2017 "POR EL CUAL SE CREA E IMPLEMENTA EL PROGRAMA DE ACOMPAÑAMIENTO PARA LA MITIGACIÓN DE LAS ACCIONES DERIVADAS DE LA RECUPERACIÓN DEL PREDIO DENOMINADO VEREDITAS, UBICADO EN LA LOCALIDAD DE KENNEDY.</v>
          </cell>
          <cell r="R182">
            <v>33990000</v>
          </cell>
          <cell r="S182">
            <v>0</v>
          </cell>
          <cell r="T182">
            <v>0</v>
          </cell>
          <cell r="U182">
            <v>33990000</v>
          </cell>
          <cell r="V182">
            <v>33990000</v>
          </cell>
        </row>
        <row r="183">
          <cell r="J183">
            <v>322</v>
          </cell>
          <cell r="K183">
            <v>43123</v>
          </cell>
          <cell r="L183" t="str">
            <v>INGRID ESTEFANY YAGUE RODRIGUEZ</v>
          </cell>
          <cell r="M183">
            <v>145</v>
          </cell>
          <cell r="N183" t="str">
            <v>CONTRATO DE PRESTACION DE SERVICIOS PROFESIONALES</v>
          </cell>
          <cell r="O183">
            <v>260</v>
          </cell>
          <cell r="P183">
            <v>43123</v>
          </cell>
          <cell r="Q183" t="str">
            <v>PRESTACIÓN DE SERVICIOS PROFESIONALES PARA ACOMPAÑAR LA EJECUCIÓN DE DIFERENTES ACTIVIDADES RELACIONADAS CON EL COMPONENTE SOCIAL DE LA DIRECCIÓN DE REASENTAMIENTOS DE LA CAJA DE LA VIVIENDA POPULAR, EN EL MARCO DE LA EJECUCIÓN DEL DECRETO NO 457 DE 2017 "POR EL CUAL SE CREA E IMPLEMENTA EL PROGRAMA DE ACOMPAÑAMIENTO PARA LA MITIGACIÓN DE LAS ACCIONES DERIVADAS DE LA RECUPERACIÓN DEL PREDIO DENOMINADO VEREDITAS, UBICADO EN LA LOCALIDAD DE KENNEDY".</v>
          </cell>
          <cell r="R183">
            <v>20394000</v>
          </cell>
          <cell r="S183">
            <v>0</v>
          </cell>
          <cell r="T183">
            <v>0</v>
          </cell>
          <cell r="U183">
            <v>20394000</v>
          </cell>
          <cell r="V183">
            <v>20394000</v>
          </cell>
        </row>
        <row r="184">
          <cell r="J184">
            <v>325</v>
          </cell>
          <cell r="K184">
            <v>43123</v>
          </cell>
          <cell r="L184" t="str">
            <v>ANGELICA MARIA BARREIRO GARRIDO</v>
          </cell>
          <cell r="M184">
            <v>145</v>
          </cell>
          <cell r="N184" t="str">
            <v>CONTRATO DE PRESTACION DE SERVICIOS PROFESIONALES</v>
          </cell>
          <cell r="O184">
            <v>286</v>
          </cell>
          <cell r="P184">
            <v>43123</v>
          </cell>
          <cell r="Q184" t="str">
            <v>Prestación de servicios profesionales, para el acompañamiento jurídico, en los procesos y procedimientos establecidos frente a la ejecución del programa misional de la Dirección de reasentamientos de la Caja de la Vivienda Popular y en especial frente al beneficio de relocalización transitoria</v>
          </cell>
          <cell r="R184">
            <v>41200000</v>
          </cell>
          <cell r="S184">
            <v>0</v>
          </cell>
          <cell r="T184">
            <v>0</v>
          </cell>
          <cell r="U184">
            <v>41200000</v>
          </cell>
          <cell r="V184">
            <v>25818667</v>
          </cell>
        </row>
        <row r="185">
          <cell r="J185">
            <v>330</v>
          </cell>
          <cell r="K185">
            <v>43123</v>
          </cell>
          <cell r="L185" t="str">
            <v>VALENTINA  LOMANTO PERDOMO</v>
          </cell>
          <cell r="M185">
            <v>145</v>
          </cell>
          <cell r="N185" t="str">
            <v>CONTRATO DE PRESTACION DE SERVICIOS PROFESIONALES</v>
          </cell>
          <cell r="O185">
            <v>289</v>
          </cell>
          <cell r="P185">
            <v>43123</v>
          </cell>
          <cell r="Q185" t="str">
            <v>Prestación de servicios profesionales para la ejecución de actividades a cargo del componente social y en especial lo relativo a la estrategia de Resiliencia y Sostenibilidad de la comunidad, en la Dirección de Reasentamientos de la Caja de la Vivienda Popular</v>
          </cell>
          <cell r="R185">
            <v>39088500</v>
          </cell>
          <cell r="S185">
            <v>0</v>
          </cell>
          <cell r="T185">
            <v>0</v>
          </cell>
          <cell r="U185">
            <v>39088500</v>
          </cell>
          <cell r="V185">
            <v>22268600</v>
          </cell>
        </row>
        <row r="186">
          <cell r="J186">
            <v>334</v>
          </cell>
          <cell r="K186">
            <v>43123</v>
          </cell>
          <cell r="L186" t="str">
            <v>FRANCISCO EUGENIO SUPELANO SUAREZ</v>
          </cell>
          <cell r="M186">
            <v>145</v>
          </cell>
          <cell r="N186" t="str">
            <v>CONTRATO DE PRESTACION DE SERVICIOS PROFESIONALES</v>
          </cell>
          <cell r="O186">
            <v>339</v>
          </cell>
          <cell r="P186">
            <v>43123</v>
          </cell>
          <cell r="Q186" t="str">
            <v>PRESTACIÓN DE SERVICIOS PROFESIONALES PARA EL ACOMPAÑAMIENTO JURÍDICO EN LAS ACTUACIONES PROPIAS QUE REQUIERA LA DIRECCIÓN DE REASENTAMIENTOS DE LA CAJA DE LA VIVIENDA POPULAR, EN EL MARCO DE LA EJECUCIÓN DEL DECRETO NO 457 DE 2017 "POR EL CUAL SE CREA E IMPLEMENTA EL PROGRAMA DE ACOMPAÑAMIENTO PARA LA MITIGACIÓN DE LAS ACCIONES DERIVADAS DE LA RECUPERACIÓN DEL PREDIO DENOMINADO VEREDITAS, UBICADO EN LA LOCALIDAD DE KENNEDY.</v>
          </cell>
          <cell r="R186">
            <v>36050000</v>
          </cell>
          <cell r="S186">
            <v>0</v>
          </cell>
          <cell r="T186">
            <v>0</v>
          </cell>
          <cell r="U186">
            <v>36050000</v>
          </cell>
          <cell r="V186">
            <v>36050000</v>
          </cell>
        </row>
        <row r="187">
          <cell r="J187">
            <v>335</v>
          </cell>
          <cell r="K187">
            <v>43123</v>
          </cell>
          <cell r="L187" t="str">
            <v>LUZ MARINA MEDINA DURAN</v>
          </cell>
          <cell r="M187">
            <v>145</v>
          </cell>
          <cell r="N187" t="str">
            <v>CONTRATO DE PRESTACION DE SERVICIOS PROFESIONALES</v>
          </cell>
          <cell r="O187">
            <v>340</v>
          </cell>
          <cell r="P187">
            <v>43123</v>
          </cell>
          <cell r="Q187" t="str">
            <v>PRESTACIÓN DE SERVICIOS PROFESIONALES PARA EL ACOMPAÑAMIENTO JURÍDICO EN LAS ACTUACIONES PROPIAS QUE REQUIERA LA DIRECCIÓN DE REASENTAMIENTOS DE LA CAJA DE LA VIVIENDA POPULAR, EN EL MARCO DE LA EJECUCIÓN DEL DECRETO NO 457 DE 2017 "POR EL CUAL SE CREA E IMPLEMENTA EL PROGRAMA DE ACOMPAÑAMIENTO PARA LA MITIGACIÓN DE LAS ACCIONES DERIVADAS DE LA RECUPERACIÓN DEL PREDIO DENOMINADO VEREDITAS, UBICADO EN LA LOCALIDAD DE KENNEDY.</v>
          </cell>
          <cell r="R187">
            <v>37080000</v>
          </cell>
          <cell r="S187">
            <v>0</v>
          </cell>
          <cell r="T187">
            <v>0</v>
          </cell>
          <cell r="U187">
            <v>37080000</v>
          </cell>
          <cell r="V187">
            <v>37080000</v>
          </cell>
        </row>
        <row r="188">
          <cell r="J188">
            <v>336</v>
          </cell>
          <cell r="K188">
            <v>43123</v>
          </cell>
          <cell r="L188" t="str">
            <v>BLANCA CECILIA QUINTERO CHAVARRO</v>
          </cell>
          <cell r="M188">
            <v>145</v>
          </cell>
          <cell r="N188" t="str">
            <v>CONTRATO DE PRESTACION DE SERVICIOS PROFESIONALES</v>
          </cell>
          <cell r="O188">
            <v>341</v>
          </cell>
          <cell r="P188">
            <v>43123</v>
          </cell>
          <cell r="Q188" t="str">
            <v>PRESTACIÓN DE SERVICIOS PROFESIONALES PARA EL ACOMPAÑAMIENTO JURÍDICO EN LAS ACTUACIONES PROPIAS QUE REQUIERA LA DIRECCIÓN DE REASENTAMIENTOS DE LA CAJA DE LA VIVIENDA POPULAR, EN EL MARCO DE LA EJECUCIÓN DEL DECRETO NO 457 DE 2017 "POR EL CUAL SE CREA E IMPLEMENTA EL PROGRAMA DE ACOMPAÑAMIENTO PARA LA MITIGACIÓN DE LAS ACCIONES DERIVADAS DE LA RECUPERACIÓN DEL PREDIO DENOMINADO VEREDITAS, UBICADO EN LA LOCALIDAD DE KENNEDY.</v>
          </cell>
          <cell r="R188">
            <v>16995000</v>
          </cell>
          <cell r="S188">
            <v>0</v>
          </cell>
          <cell r="T188">
            <v>0</v>
          </cell>
          <cell r="U188">
            <v>16995000</v>
          </cell>
          <cell r="V188">
            <v>16995000</v>
          </cell>
        </row>
        <row r="189">
          <cell r="J189">
            <v>337</v>
          </cell>
          <cell r="K189">
            <v>43123</v>
          </cell>
          <cell r="L189" t="str">
            <v>LIZETH YANIRA ARDILA MUÑOZ</v>
          </cell>
          <cell r="M189">
            <v>145</v>
          </cell>
          <cell r="N189" t="str">
            <v>CONTRATO DE PRESTACION DE SERVICIOS PROFESIONALES</v>
          </cell>
          <cell r="O189">
            <v>342</v>
          </cell>
          <cell r="P189">
            <v>43123</v>
          </cell>
          <cell r="Q189" t="str">
            <v>PRESTACIÓN DE SERVICIOS PROFESIONALES PARA EL ACOMPAÑAMIENTO JURÍDICO EN LAS ACTUACIONES PROPIAS QUE REQUIERA LA DIRECCIÓN DE REASENTAMIENTOS DE LA CAJA DE LA VIVIENDA POPULAR, EN EL MARCO DE LA EJECUCIÓN DEL DECRETO NO 457 DE 2017 "POR EL CUAL SE CREA E IMPLEMENTA EL PROGRAMA DE ACOMPAÑAMIENTO PARA LA MITIGACIÓN DE LAS ACCIONES DERIVADAS DE LA RECUPERACIÓN DEL PREDIO DENOMINADO VEREDITAS, UBICADO EN LA LOCALIDAD DE KENNEDY.</v>
          </cell>
          <cell r="R189">
            <v>21321000</v>
          </cell>
          <cell r="S189">
            <v>0</v>
          </cell>
          <cell r="T189">
            <v>0</v>
          </cell>
          <cell r="U189">
            <v>21321000</v>
          </cell>
          <cell r="V189">
            <v>21321000</v>
          </cell>
        </row>
        <row r="190">
          <cell r="J190">
            <v>338</v>
          </cell>
          <cell r="K190">
            <v>43123</v>
          </cell>
          <cell r="L190" t="str">
            <v>ALEXANDER  MARTINEZ</v>
          </cell>
          <cell r="M190">
            <v>148</v>
          </cell>
          <cell r="N190" t="str">
            <v>CONTRATO DE PRESTACION DE SERVICIOS DE APOYO A LA GESTION</v>
          </cell>
          <cell r="O190">
            <v>343</v>
          </cell>
          <cell r="P190">
            <v>43123</v>
          </cell>
          <cell r="Q190" t="str">
            <v>Prestación de servicios de apoyo a la gestión en lo relacionado con los trámites requeridos para el manejo de archivo y gestión documental generado desde la Dirección de Reasentamientos de la Caja de la Vivienda Popular.</v>
          </cell>
          <cell r="R190">
            <v>19261000</v>
          </cell>
          <cell r="S190">
            <v>0</v>
          </cell>
          <cell r="T190">
            <v>0</v>
          </cell>
          <cell r="U190">
            <v>19261000</v>
          </cell>
          <cell r="V190">
            <v>10856200</v>
          </cell>
        </row>
        <row r="191">
          <cell r="J191">
            <v>339</v>
          </cell>
          <cell r="K191">
            <v>43123</v>
          </cell>
          <cell r="L191" t="str">
            <v>DORIAN DE JESUS COQUIES MAESTRE</v>
          </cell>
          <cell r="M191">
            <v>145</v>
          </cell>
          <cell r="N191" t="str">
            <v>CONTRATO DE PRESTACION DE SERVICIOS PROFESIONALES</v>
          </cell>
          <cell r="O191">
            <v>344</v>
          </cell>
          <cell r="P191">
            <v>43123</v>
          </cell>
          <cell r="Q191" t="str">
            <v>PRESTACIÓN DE SERVICIOS PROFESIONALES PARA EL ACOMPAÑAMIENTO JURÍDICO EN LAS ACTUACIONES PROPIAS QUE REQUIERA LA DIRECCIÓN DE REASENTAMIENTOS DE LA CAJA DE LA VIVIENDA POPULAR, EN EL MARCO DE LA EJECUCIÓN DEL DECRETO NO 457 DE 2017 "POR EL CUAL SE CREA E IMPLEMENTA EL PROGRAMA DE ACOMPAÑAMIENTO PARA LA MITIGACIÓN DE LAS ACCIONES DERIVADAS DE LA RECUPERACIÓN DEL PREDIO DENOMINADO VEREDITAS, UBICADO EN LA LOCALIDAD DE KENNEDY".</v>
          </cell>
          <cell r="R191">
            <v>30220200</v>
          </cell>
          <cell r="S191">
            <v>0</v>
          </cell>
          <cell r="T191">
            <v>0</v>
          </cell>
          <cell r="U191">
            <v>30220200</v>
          </cell>
          <cell r="V191">
            <v>30220200</v>
          </cell>
        </row>
        <row r="192">
          <cell r="J192">
            <v>340</v>
          </cell>
          <cell r="K192">
            <v>43123</v>
          </cell>
          <cell r="L192" t="str">
            <v>JUAN PABLO MOJICA FRIEDE</v>
          </cell>
          <cell r="M192">
            <v>145</v>
          </cell>
          <cell r="N192" t="str">
            <v>CONTRATO DE PRESTACION DE SERVICIOS PROFESIONALES</v>
          </cell>
          <cell r="O192">
            <v>345</v>
          </cell>
          <cell r="P192">
            <v>43123</v>
          </cell>
          <cell r="Q192" t="str">
            <v>PRESTACIÓN DE SERVICIOS PROFESIONALES PARA EL ACOMPAÑAMIENTO EN LA EJECUCIÓN DE LAS DIFERENTES ACTIVIDADES RELACIONADAS CON EL COMPONENTE TÉCNICO DE LA DIRECCIÓN DE REASENTAMIENTOS DE LA CAJA DE LA VIVIENDA POPULAR, EN EL MARCO DE LA EJECUCIÓN DEL DECRETO NO 457 DE 2017 "POR EL CUAL SE CREA E IMPLEMENTA EL PROGRAMA DE ACOMPAÑAMIENTO PARA LA MITIGACIÓN DE LAS ACCIONES DERIVADAS DE LA RECUPERACIÓN DEL PREDIO DENOMINADO VEREDITAS, UBICADO EN LA LOCALIDAD DE KENNEDY".</v>
          </cell>
          <cell r="R192">
            <v>21321000</v>
          </cell>
          <cell r="S192">
            <v>0</v>
          </cell>
          <cell r="T192">
            <v>0</v>
          </cell>
          <cell r="U192">
            <v>21321000</v>
          </cell>
          <cell r="V192">
            <v>21321000</v>
          </cell>
        </row>
        <row r="193">
          <cell r="J193">
            <v>341</v>
          </cell>
          <cell r="K193">
            <v>43123</v>
          </cell>
          <cell r="L193" t="str">
            <v>CAMILA ANDREA HUERTAS HUERTAS</v>
          </cell>
          <cell r="M193">
            <v>148</v>
          </cell>
          <cell r="N193" t="str">
            <v>CONTRATO DE PRESTACION DE SERVICIOS DE APOYO A LA GESTION</v>
          </cell>
          <cell r="O193">
            <v>292</v>
          </cell>
          <cell r="P193">
            <v>43123</v>
          </cell>
          <cell r="Q193" t="str">
            <v>Prestación de servicios de apoyo a la gestión en lo relacionado con el manejo de archivo y gestión documental generado desde la Dirección de Reasentamientos de la Caja de la Vivienda Popular.</v>
          </cell>
          <cell r="R193">
            <v>27192000</v>
          </cell>
          <cell r="S193">
            <v>0</v>
          </cell>
          <cell r="T193">
            <v>0</v>
          </cell>
          <cell r="U193">
            <v>27192000</v>
          </cell>
          <cell r="V193">
            <v>15408800</v>
          </cell>
        </row>
        <row r="194">
          <cell r="J194">
            <v>342</v>
          </cell>
          <cell r="K194">
            <v>43123</v>
          </cell>
          <cell r="L194" t="str">
            <v>ANA MARÍA ESCUDERO ORTIZ</v>
          </cell>
          <cell r="M194">
            <v>145</v>
          </cell>
          <cell r="N194" t="str">
            <v>CONTRATO DE PRESTACION DE SERVICIOS PROFESIONALES</v>
          </cell>
          <cell r="O194">
            <v>346</v>
          </cell>
          <cell r="P194">
            <v>43123</v>
          </cell>
          <cell r="Q194" t="str">
            <v>Prestación de servicios profesionales en el componente social de la Dirección de Reasentamientos de la Caja de la Vivienda Popular, para la ejecución de planes y programas agenciados por el área misional.</v>
          </cell>
          <cell r="R194">
            <v>31981500</v>
          </cell>
          <cell r="S194">
            <v>0</v>
          </cell>
          <cell r="T194">
            <v>0</v>
          </cell>
          <cell r="U194">
            <v>31981500</v>
          </cell>
          <cell r="V194">
            <v>21913250</v>
          </cell>
        </row>
        <row r="195">
          <cell r="J195">
            <v>344</v>
          </cell>
          <cell r="K195">
            <v>43123</v>
          </cell>
          <cell r="L195" t="str">
            <v>FABIAN DANILO CAICEDO MOLINA</v>
          </cell>
          <cell r="M195">
            <v>148</v>
          </cell>
          <cell r="N195" t="str">
            <v>CONTRATO DE PRESTACION DE SERVICIOS DE APOYO A LA GESTION</v>
          </cell>
          <cell r="O195">
            <v>293</v>
          </cell>
          <cell r="P195">
            <v>43123</v>
          </cell>
          <cell r="Q195" t="str">
            <v>Prestación de servicios de apoyo a la gestión en la implementación de nuevos módulos para el Sistema de Información Geográfica de la Dirección de Reasentamientos de la Caja de la Vivienda Popular</v>
          </cell>
          <cell r="R195">
            <v>24308000</v>
          </cell>
          <cell r="S195">
            <v>0</v>
          </cell>
          <cell r="T195">
            <v>0</v>
          </cell>
          <cell r="U195">
            <v>24308000</v>
          </cell>
          <cell r="V195">
            <v>18939983</v>
          </cell>
        </row>
        <row r="196">
          <cell r="J196">
            <v>345</v>
          </cell>
          <cell r="K196">
            <v>43123</v>
          </cell>
          <cell r="L196" t="str">
            <v>WILLIAM FERNANDO HURTADO FERNANDEZ</v>
          </cell>
          <cell r="M196">
            <v>145</v>
          </cell>
          <cell r="N196" t="str">
            <v>CONTRATO DE PRESTACION DE SERVICIOS PROFESIONALES</v>
          </cell>
          <cell r="O196">
            <v>348</v>
          </cell>
          <cell r="P196">
            <v>43123</v>
          </cell>
          <cell r="Q196" t="str">
            <v>PRESTACIÓN DE SERVICIOS PROFESIONALES EN LOS PROCEDIMIENTOS A CARGO DE LA DIRECCIÓN DE REASENTAMIENTO PARA EL CUMPLIMIENTO DE SUS OBJETIVOS.</v>
          </cell>
          <cell r="R196">
            <v>20394000</v>
          </cell>
          <cell r="S196">
            <v>0</v>
          </cell>
          <cell r="T196">
            <v>0</v>
          </cell>
          <cell r="U196">
            <v>20394000</v>
          </cell>
          <cell r="V196">
            <v>20394000</v>
          </cell>
        </row>
        <row r="197">
          <cell r="J197">
            <v>346</v>
          </cell>
          <cell r="K197">
            <v>43123</v>
          </cell>
          <cell r="L197" t="str">
            <v>LINA ANDREA GARCIA MUÑOZ</v>
          </cell>
          <cell r="M197">
            <v>145</v>
          </cell>
          <cell r="N197" t="str">
            <v>CONTRATO DE PRESTACION DE SERVICIOS PROFESIONALES</v>
          </cell>
          <cell r="O197">
            <v>294</v>
          </cell>
          <cell r="P197">
            <v>43123</v>
          </cell>
          <cell r="Q197" t="str">
            <v>Prestación de servicios profesionales, para el acompañamiento jurídico, en los procesos y procedimientos establecidos frente a la ejecución del programa misional de la Dirección de reasentamientos de la Caja de la Vivienda Popular y en especial frente al beneficio de relocalización transitoria.</v>
          </cell>
          <cell r="R197">
            <v>27192000</v>
          </cell>
          <cell r="S197">
            <v>0</v>
          </cell>
          <cell r="T197">
            <v>0</v>
          </cell>
          <cell r="U197">
            <v>27192000</v>
          </cell>
          <cell r="V197">
            <v>21187100</v>
          </cell>
        </row>
        <row r="198">
          <cell r="J198">
            <v>347</v>
          </cell>
          <cell r="K198">
            <v>43123</v>
          </cell>
          <cell r="L198" t="str">
            <v>LUIS JORGE PATAQUIVA SILVA</v>
          </cell>
          <cell r="M198">
            <v>145</v>
          </cell>
          <cell r="N198" t="str">
            <v>CONTRATO DE PRESTACION DE SERVICIOS PROFESIONALES</v>
          </cell>
          <cell r="O198">
            <v>349</v>
          </cell>
          <cell r="P198">
            <v>43123</v>
          </cell>
          <cell r="Q198" t="str">
            <v>PRESTACIÓN DE SERVICIOS PROFESIONALES A LA DIRECCIÓN DE REASENTAMIENTOS DE LA CAJA DE LA VIVIENDA POPULAR, APOYANDO EL SEGUIMIENTO ADMINISTRATIVO Y FINANCIERO EN RELACIÓN CON LOS PROCESOS Y PROCEDIMIENTOS DEL ÁREA MISIONAL.</v>
          </cell>
          <cell r="R198">
            <v>82400000</v>
          </cell>
          <cell r="S198">
            <v>0</v>
          </cell>
          <cell r="T198">
            <v>0</v>
          </cell>
          <cell r="U198">
            <v>82400000</v>
          </cell>
          <cell r="V198">
            <v>48341333</v>
          </cell>
        </row>
        <row r="199">
          <cell r="J199">
            <v>348</v>
          </cell>
          <cell r="K199">
            <v>43123</v>
          </cell>
          <cell r="L199" t="str">
            <v>MARGARITA MARIA GIRALDO CALDERON</v>
          </cell>
          <cell r="M199">
            <v>145</v>
          </cell>
          <cell r="N199" t="str">
            <v>CONTRATO DE PRESTACION DE SERVICIOS PROFESIONALES</v>
          </cell>
          <cell r="O199">
            <v>295</v>
          </cell>
          <cell r="P199">
            <v>43123</v>
          </cell>
          <cell r="Q199" t="str">
            <v>Prestación de servicios profesionales en la Dirección de Reasentamientos de la Caja de la Vivienda Popular, apoyando la ejecución de las diferentes actividades relacionadas con el componente técnico del área misional</v>
          </cell>
          <cell r="R199">
            <v>37080000</v>
          </cell>
          <cell r="S199">
            <v>0</v>
          </cell>
          <cell r="T199">
            <v>0</v>
          </cell>
          <cell r="U199">
            <v>37080000</v>
          </cell>
          <cell r="V199">
            <v>22385333</v>
          </cell>
        </row>
        <row r="200">
          <cell r="J200">
            <v>349</v>
          </cell>
          <cell r="K200">
            <v>43123</v>
          </cell>
          <cell r="L200" t="str">
            <v>MARIA XIMENA AVILA ACOSTA</v>
          </cell>
          <cell r="M200">
            <v>148</v>
          </cell>
          <cell r="N200" t="str">
            <v>CONTRATO DE PRESTACION DE SERVICIOS DE APOYO A LA GESTION</v>
          </cell>
          <cell r="O200">
            <v>350</v>
          </cell>
          <cell r="P200">
            <v>43123</v>
          </cell>
          <cell r="Q200" t="str">
            <v>Prestar sus servicios de apoyo a la gestión en la Dirección de Reasentamientos, brindando acompañamiento al componente social desarrollado en el marco de las acciones misionales a cargo de la entidad.</v>
          </cell>
          <cell r="R200">
            <v>30385000</v>
          </cell>
          <cell r="S200">
            <v>0</v>
          </cell>
          <cell r="T200">
            <v>0</v>
          </cell>
          <cell r="U200">
            <v>30385000</v>
          </cell>
          <cell r="V200">
            <v>18838700</v>
          </cell>
        </row>
        <row r="201">
          <cell r="J201">
            <v>350</v>
          </cell>
          <cell r="K201">
            <v>43123</v>
          </cell>
          <cell r="L201" t="str">
            <v>CAREN MILENA ROMERO FIGUEROA</v>
          </cell>
          <cell r="M201">
            <v>145</v>
          </cell>
          <cell r="N201" t="str">
            <v>CONTRATO DE PRESTACION DE SERVICIOS PROFESIONALES</v>
          </cell>
          <cell r="O201">
            <v>296</v>
          </cell>
          <cell r="P201">
            <v>43123</v>
          </cell>
          <cell r="Q201" t="str">
            <v>Prestación de servicios profesionales desde el componente jurídico, para realizar el seguimiento y control al cumplimiento de requisitos legales y reglamentarios, de las familias beneficiarias del programa de Reasentamientos de la Caja de la Vivienda Popular</v>
          </cell>
          <cell r="R201">
            <v>32960000</v>
          </cell>
          <cell r="S201">
            <v>0</v>
          </cell>
          <cell r="T201">
            <v>0</v>
          </cell>
          <cell r="U201">
            <v>32960000</v>
          </cell>
          <cell r="V201">
            <v>25681333</v>
          </cell>
        </row>
        <row r="202">
          <cell r="J202">
            <v>351</v>
          </cell>
          <cell r="K202">
            <v>43123</v>
          </cell>
          <cell r="L202" t="str">
            <v>MARIAN GHERALDINE BERMUDEZ SOLANO</v>
          </cell>
          <cell r="M202">
            <v>145</v>
          </cell>
          <cell r="N202" t="str">
            <v>CONTRATO DE PRESTACION DE SERVICIOS PROFESIONALES</v>
          </cell>
          <cell r="O202">
            <v>297</v>
          </cell>
          <cell r="P202">
            <v>43123</v>
          </cell>
          <cell r="Q202" t="str">
            <v>"Prestación de servicios profesionales para apoyar la planificación, seguimiento y evaluación de los procesos y procedimientos de la Dirección de Reasentamientos, a través de las herramientas de seguimiento y gestión que posee la Caja de la Vivienda Popular</v>
          </cell>
          <cell r="R202">
            <v>55403700</v>
          </cell>
          <cell r="S202">
            <v>0</v>
          </cell>
          <cell r="T202">
            <v>0</v>
          </cell>
          <cell r="U202">
            <v>55403700</v>
          </cell>
          <cell r="V202">
            <v>29716530</v>
          </cell>
        </row>
        <row r="203">
          <cell r="J203">
            <v>353</v>
          </cell>
          <cell r="K203">
            <v>43123</v>
          </cell>
          <cell r="L203" t="str">
            <v>NATALIA JACKELINE MANRIQUE TRUJILLO</v>
          </cell>
          <cell r="M203">
            <v>145</v>
          </cell>
          <cell r="N203" t="str">
            <v>CONTRATO DE PRESTACION DE SERVICIOS PROFESIONALES</v>
          </cell>
          <cell r="O203">
            <v>351</v>
          </cell>
          <cell r="P203">
            <v>43123</v>
          </cell>
          <cell r="Q203" t="str">
            <v>PRESTACIÓN DE SERVICIOS PROFESIONALES PARA EL ACOMPAÑAMIENTO JURÍDICO EN LAS ACTUACIONES PROPIAS QUE REQUIERA LA DIRECCIÓN DE REASENTAMIENTOS DE LA CAJA DE LA VIVIENDA POPULAR, EN EL MARCO DE LA EJECUCIÓN DEL DECRETO NO 457 DE 2017 "POR EL CUAL SE CREA E IMPLEMENTA EL PROGRAMA DE ACOMPAÑAMIENTO PARA LA MITIGACIÓN DE LAS ACCIONES DERIVADAS DE LA RECUPERACIÓN DEL PREDIO DENOMINADO VEREDITAS, UBICADO EN LA LOCALIDAD DE KENNEDY.</v>
          </cell>
          <cell r="R203">
            <v>27192000</v>
          </cell>
          <cell r="S203">
            <v>0</v>
          </cell>
          <cell r="T203">
            <v>0</v>
          </cell>
          <cell r="U203">
            <v>27192000</v>
          </cell>
          <cell r="V203">
            <v>27192000</v>
          </cell>
        </row>
        <row r="204">
          <cell r="J204">
            <v>355</v>
          </cell>
          <cell r="K204">
            <v>43123</v>
          </cell>
          <cell r="L204" t="str">
            <v>CAROL ELIANA GONZALEZ GOMEZ</v>
          </cell>
          <cell r="M204">
            <v>148</v>
          </cell>
          <cell r="N204" t="str">
            <v>CONTRATO DE PRESTACION DE SERVICIOS DE APOYO A LA GESTION</v>
          </cell>
          <cell r="O204">
            <v>352</v>
          </cell>
          <cell r="P204">
            <v>43123</v>
          </cell>
          <cell r="Q204" t="str">
            <v>Prestación de servicios de apoyo a la gestión en lo relacionado con los trámites requeridos para el manejo de archivo y gestión documental generado desde la Dirección de Reasentamientos de la Caja de la Vivienda Popular.</v>
          </cell>
          <cell r="R204">
            <v>16995000</v>
          </cell>
          <cell r="S204">
            <v>0</v>
          </cell>
          <cell r="T204">
            <v>0</v>
          </cell>
          <cell r="U204">
            <v>16995000</v>
          </cell>
          <cell r="V204">
            <v>9579000</v>
          </cell>
        </row>
        <row r="205">
          <cell r="J205">
            <v>356</v>
          </cell>
          <cell r="K205">
            <v>43123</v>
          </cell>
          <cell r="L205" t="str">
            <v>INGRID CATALINA GOMEZ OSSA</v>
          </cell>
          <cell r="M205">
            <v>145</v>
          </cell>
          <cell r="N205" t="str">
            <v>CONTRATO DE PRESTACION DE SERVICIOS PROFESIONALES</v>
          </cell>
          <cell r="O205">
            <v>354</v>
          </cell>
          <cell r="P205">
            <v>43123</v>
          </cell>
          <cell r="Q205" t="str">
            <v>Prestación de servicios profesionales en las actividades relacionadas con Planeación institucional y Sistema Integrado de Gestión de la Dirección de Reasentamientos, a través de las herramientas de seguimiento y gestión que posee la Caja de la Vivienda Popular</v>
          </cell>
          <cell r="R205">
            <v>79310000</v>
          </cell>
          <cell r="S205">
            <v>0</v>
          </cell>
          <cell r="T205">
            <v>0</v>
          </cell>
          <cell r="U205">
            <v>79310000</v>
          </cell>
          <cell r="V205">
            <v>37251667</v>
          </cell>
        </row>
        <row r="206">
          <cell r="J206">
            <v>359</v>
          </cell>
          <cell r="K206">
            <v>43123</v>
          </cell>
          <cell r="L206" t="str">
            <v>ALBERTO  RODRIGUEZ GOMEZ</v>
          </cell>
          <cell r="M206">
            <v>145</v>
          </cell>
          <cell r="N206" t="str">
            <v>CONTRATO DE PRESTACION DE SERVICIOS PROFESIONALES</v>
          </cell>
          <cell r="O206">
            <v>300</v>
          </cell>
          <cell r="P206">
            <v>43123</v>
          </cell>
          <cell r="Q206" t="str">
            <v>Prestar sus servicios profesionales en la Dirección de Reasentamientos de la Caja de la Vivienda Popular, apoyando la ejecución de las diferentes actividades relacionadas con el componente tecnico del area misional.</v>
          </cell>
          <cell r="R206">
            <v>37080000</v>
          </cell>
          <cell r="S206">
            <v>0</v>
          </cell>
          <cell r="T206">
            <v>0</v>
          </cell>
          <cell r="U206">
            <v>37080000</v>
          </cell>
          <cell r="V206">
            <v>24994667</v>
          </cell>
        </row>
        <row r="207">
          <cell r="J207">
            <v>360</v>
          </cell>
          <cell r="K207">
            <v>43123</v>
          </cell>
          <cell r="L207" t="str">
            <v>NEYVA ABOGADOS ASOCIADOS S A S</v>
          </cell>
          <cell r="M207">
            <v>148</v>
          </cell>
          <cell r="N207" t="str">
            <v>CONTRATO DE PRESTACION DE SERVICIOS DE APOYO A LA GESTION</v>
          </cell>
          <cell r="O207">
            <v>301</v>
          </cell>
          <cell r="P207">
            <v>43123</v>
          </cell>
          <cell r="Q207" t="str">
            <v>PRESTACIÓN DE SERVICIOS PROFESIONALES PARA EL ACOMPAÑAMIENTO Y APOYO JURÍDICO EN LA IMPLEMENTACIÓN UNA METODOLOGÍA TENDIENTE AL DESARROLLO INTEGRAL DE COMUNIDADES SOSTENIBLES DE CONFORMIDAD CON LA MISIONALIDAD DE LA DIRECCIÓN DE REASENTAMIENTOS DE LA CAJA DE LA VIVIENDA POPULAR.</v>
          </cell>
          <cell r="R207">
            <v>50367000</v>
          </cell>
          <cell r="S207">
            <v>50367000</v>
          </cell>
          <cell r="T207">
            <v>0</v>
          </cell>
          <cell r="U207">
            <v>0</v>
          </cell>
          <cell r="V207">
            <v>0</v>
          </cell>
        </row>
        <row r="208">
          <cell r="J208">
            <v>367</v>
          </cell>
          <cell r="K208">
            <v>43124</v>
          </cell>
          <cell r="L208" t="str">
            <v>MARTHA CECILIA DIAZ ROCHA</v>
          </cell>
          <cell r="M208">
            <v>148</v>
          </cell>
          <cell r="N208" t="str">
            <v>CONTRATO DE PRESTACION DE SERVICIOS DE APOYO A LA GESTION</v>
          </cell>
          <cell r="O208">
            <v>267</v>
          </cell>
          <cell r="P208">
            <v>43124</v>
          </cell>
          <cell r="Q208" t="str">
            <v>Prestación de servicios de apoyo a la gestión en lo relacionado con los trámites requeridos para el manejo de archivo y gestión documental generado desde la Dirección de Reasentamientos de la Caja de la Vivienda Popular.</v>
          </cell>
          <cell r="R208">
            <v>10506000</v>
          </cell>
          <cell r="S208">
            <v>0</v>
          </cell>
          <cell r="T208">
            <v>0</v>
          </cell>
          <cell r="U208">
            <v>10506000</v>
          </cell>
          <cell r="V208">
            <v>10506000</v>
          </cell>
        </row>
        <row r="209">
          <cell r="J209">
            <v>369</v>
          </cell>
          <cell r="K209">
            <v>43124</v>
          </cell>
          <cell r="L209" t="str">
            <v>DAMIAN LEONARDO QUIROGA DIAZ</v>
          </cell>
          <cell r="M209">
            <v>145</v>
          </cell>
          <cell r="N209" t="str">
            <v>CONTRATO DE PRESTACION DE SERVICIOS PROFESIONALES</v>
          </cell>
          <cell r="O209">
            <v>324</v>
          </cell>
          <cell r="P209">
            <v>43124</v>
          </cell>
          <cell r="Q209" t="str">
            <v>Prestación de servicios profesionales, brindando apoyo al componente social para fortalecer la capacidad en la ejecución de actividades tendientes a lograr el desarrollo integral de comunidades sostenibles, de conformidad con la misionalidad de la Dirección de Reasentamientos de la Caja de la Vivienda Popular</v>
          </cell>
          <cell r="R209">
            <v>61800000</v>
          </cell>
          <cell r="S209">
            <v>0</v>
          </cell>
          <cell r="T209">
            <v>0</v>
          </cell>
          <cell r="U209">
            <v>61800000</v>
          </cell>
          <cell r="V209">
            <v>38522000</v>
          </cell>
        </row>
        <row r="210">
          <cell r="J210">
            <v>371</v>
          </cell>
          <cell r="K210">
            <v>43124</v>
          </cell>
          <cell r="L210" t="str">
            <v>ANGEL EDUARDO TRIANA ROJAS</v>
          </cell>
          <cell r="M210">
            <v>145</v>
          </cell>
          <cell r="N210" t="str">
            <v>CONTRATO DE PRESTACION DE SERVICIOS PROFESIONALES</v>
          </cell>
          <cell r="O210">
            <v>325</v>
          </cell>
          <cell r="P210">
            <v>43124</v>
          </cell>
          <cell r="Q210" t="str">
            <v>Prestación de servicios profesionales para el acompañamiento jurídico en las actuaciones propias que requiera la Dirección de Reasentamientos de la Caja de la Vivienda Popular, en el marco de la ejecución del Decreto No 457 de 2017 ¿Por el cual se crea e implementa el programa de acompañamiento para la mitigación de las acciones derivadas de la recuperación del predio denominado VEREDITAS, ubicado en la localidad de Kennedy¿.</v>
          </cell>
          <cell r="R210">
            <v>43260000</v>
          </cell>
          <cell r="S210">
            <v>0</v>
          </cell>
          <cell r="T210">
            <v>0</v>
          </cell>
          <cell r="U210">
            <v>43260000</v>
          </cell>
          <cell r="V210">
            <v>43260000</v>
          </cell>
        </row>
        <row r="211">
          <cell r="J211">
            <v>373</v>
          </cell>
          <cell r="K211">
            <v>43124</v>
          </cell>
          <cell r="L211" t="str">
            <v>FRANCISCO JOSE ARGUELLO ROJAS</v>
          </cell>
          <cell r="M211">
            <v>145</v>
          </cell>
          <cell r="N211" t="str">
            <v>CONTRATO DE PRESTACION DE SERVICIOS PROFESIONALES</v>
          </cell>
          <cell r="O211">
            <v>304</v>
          </cell>
          <cell r="P211">
            <v>43124</v>
          </cell>
          <cell r="Q211" t="str">
            <v>PRESTAR LOS SERVICIOS PROFESIONALES PARA LA PLANEACION, REALIZACION, Y DESARROLLO DE CONTENIDOS PERIODÍSTICOS QUE PERMITAN LA DIFUSION Y DIVULGACION DE LA GESTION SOCIAL QUE ADELANTA LA CVP CON LAS COMUNIDADES, A TRAVÉS DE SUS PROGRAMAS MISIONALES.</v>
          </cell>
          <cell r="R211">
            <v>11330000</v>
          </cell>
          <cell r="S211">
            <v>0</v>
          </cell>
          <cell r="T211">
            <v>0</v>
          </cell>
          <cell r="U211">
            <v>11330000</v>
          </cell>
          <cell r="V211">
            <v>6420333</v>
          </cell>
        </row>
        <row r="212">
          <cell r="J212">
            <v>377</v>
          </cell>
          <cell r="K212">
            <v>43124</v>
          </cell>
          <cell r="L212" t="str">
            <v>MARGARITA LUCIA GOMEZ ECHEVERRY</v>
          </cell>
          <cell r="M212">
            <v>145</v>
          </cell>
          <cell r="N212" t="str">
            <v>CONTRATO DE PRESTACION DE SERVICIOS PROFESIONALES</v>
          </cell>
          <cell r="O212">
            <v>327</v>
          </cell>
          <cell r="P212">
            <v>43124</v>
          </cell>
          <cell r="Q212" t="str">
            <v>Prestación de servicios profesionales en el componente social de la Dirección de Reasentamientos de la Caja de la Vivienda Popular, para la ejecución de planes y programas agenciados por el área misional</v>
          </cell>
          <cell r="R212">
            <v>37080000</v>
          </cell>
          <cell r="S212">
            <v>0</v>
          </cell>
          <cell r="T212">
            <v>0</v>
          </cell>
          <cell r="U212">
            <v>37080000</v>
          </cell>
          <cell r="V212">
            <v>2746666</v>
          </cell>
        </row>
        <row r="213">
          <cell r="J213">
            <v>380</v>
          </cell>
          <cell r="K213">
            <v>43124</v>
          </cell>
          <cell r="L213" t="str">
            <v>MARIA VICTORIA APONTE VALVERDE</v>
          </cell>
          <cell r="M213">
            <v>145</v>
          </cell>
          <cell r="N213" t="str">
            <v>CONTRATO DE PRESTACION DE SERVICIOS PROFESIONALES</v>
          </cell>
          <cell r="O213">
            <v>306</v>
          </cell>
          <cell r="P213">
            <v>43124</v>
          </cell>
          <cell r="Q213" t="str">
            <v>Prestación de servicios profesionales, en temas relacionados con el componente social apoyando procesos y procedimientos propios de la Dirección de Reasentamientos de la Caja de la Vivienda popular</v>
          </cell>
          <cell r="R213">
            <v>90640000</v>
          </cell>
          <cell r="S213">
            <v>0</v>
          </cell>
          <cell r="T213">
            <v>0</v>
          </cell>
          <cell r="U213">
            <v>90640000</v>
          </cell>
          <cell r="V213">
            <v>43122667</v>
          </cell>
        </row>
        <row r="214">
          <cell r="J214">
            <v>381</v>
          </cell>
          <cell r="K214">
            <v>43124</v>
          </cell>
          <cell r="L214" t="str">
            <v>VLADIMIR  MARTINEZ MARTINEZ</v>
          </cell>
          <cell r="M214">
            <v>145</v>
          </cell>
          <cell r="N214" t="str">
            <v>CONTRATO DE PRESTACION DE SERVICIOS PROFESIONALES</v>
          </cell>
          <cell r="O214">
            <v>359</v>
          </cell>
          <cell r="P214">
            <v>43124</v>
          </cell>
          <cell r="Q214" t="str">
            <v>PRESTACIÓN DE SERVICIOS PROFESIONALES PARA EL ACOMPAÑAMIENTO EN LA EJECUCIÓN DE LAS DIFERENTES ACTIVIDADES RELACIONADAS CON EL COMPONENTE TÉCNICO DE LA DIRECCIÓN DE REASENTAMIENTOS DE LA CAJA DE LA VIVIENDA POPULAR, EN EL MARCO DE LA EJECUCIÓN DEL DECRETO NO 457 DE 2017 POR EL CUAL SE CREA E IMPLEMENTA EL PROGRAMA DE ACOMPAÑAMIENTO PARA LA MITIGACIÓN DE LAS ACCIONES DERIVADAS DE LA RECUPERACIÓN DEL PREDIO DENOMINADO VEREDITAS, UBICADO EN LA LOCALIDAD DE KENNEDY.</v>
          </cell>
          <cell r="R214">
            <v>24720000</v>
          </cell>
          <cell r="S214">
            <v>0</v>
          </cell>
          <cell r="T214">
            <v>0</v>
          </cell>
          <cell r="U214">
            <v>24720000</v>
          </cell>
          <cell r="V214">
            <v>24720000</v>
          </cell>
        </row>
        <row r="215">
          <cell r="J215">
            <v>382</v>
          </cell>
          <cell r="K215">
            <v>43124</v>
          </cell>
          <cell r="L215" t="str">
            <v>BLANCA LEIDY PEÑA CALDERON</v>
          </cell>
          <cell r="M215">
            <v>148</v>
          </cell>
          <cell r="N215" t="str">
            <v>CONTRATO DE PRESTACION DE SERVICIOS DE APOYO A LA GESTION</v>
          </cell>
          <cell r="O215">
            <v>323</v>
          </cell>
          <cell r="P215">
            <v>43124</v>
          </cell>
          <cell r="Q215" t="str">
            <v>PRESTACIÓN DE SERVICIOS DE APOYO A LA GESTIÓN EN LOS PROCEDIMIENTOS A CARGO DE LA DIRECCIÓN DE REASENTAMIENTOS DE LA CAJA DE LA VIVIENDA POPULAR, PARA EL CUMPLIMIENTO DE SUS METAS.</v>
          </cell>
          <cell r="R215">
            <v>30385000</v>
          </cell>
          <cell r="S215">
            <v>0</v>
          </cell>
          <cell r="T215">
            <v>0</v>
          </cell>
          <cell r="U215">
            <v>30385000</v>
          </cell>
          <cell r="V215">
            <v>18939983</v>
          </cell>
        </row>
        <row r="216">
          <cell r="J216">
            <v>385</v>
          </cell>
          <cell r="K216">
            <v>43124</v>
          </cell>
          <cell r="L216" t="str">
            <v>LORENA  GOMEZ ANGEL</v>
          </cell>
          <cell r="M216">
            <v>145</v>
          </cell>
          <cell r="N216" t="str">
            <v>CONTRATO DE PRESTACION DE SERVICIOS PROFESIONALES</v>
          </cell>
          <cell r="O216">
            <v>328</v>
          </cell>
          <cell r="P216">
            <v>43124</v>
          </cell>
          <cell r="Q216" t="str">
            <v>Prestación de servicios profesionales en el componente social de la Dirección de Reasentamientos de la Caja de la Vivienda Popular para la ejecución de planes y programas agenciados por el área misional.</v>
          </cell>
          <cell r="R216">
            <v>17767500</v>
          </cell>
          <cell r="S216">
            <v>0</v>
          </cell>
          <cell r="T216">
            <v>0</v>
          </cell>
          <cell r="U216">
            <v>17767500</v>
          </cell>
          <cell r="V216">
            <v>17767500</v>
          </cell>
        </row>
        <row r="217">
          <cell r="J217">
            <v>389</v>
          </cell>
          <cell r="K217">
            <v>43124</v>
          </cell>
          <cell r="L217" t="str">
            <v>MIGUEL ANDRES ALFONSO ACOSTA</v>
          </cell>
          <cell r="M217">
            <v>145</v>
          </cell>
          <cell r="N217" t="str">
            <v>CONTRATO DE PRESTACION DE SERVICIOS PROFESIONALES</v>
          </cell>
          <cell r="O217">
            <v>312</v>
          </cell>
          <cell r="P217">
            <v>43124</v>
          </cell>
          <cell r="Q217" t="str">
            <v>Prestación de servicios profesionales en la Dirección de Reasentamientos de la Caja de la Vivienda Popular, apoyando la ejecución de las diferentes actividades relacionadas con el componente técnico del área misional</v>
          </cell>
          <cell r="R217">
            <v>61800000</v>
          </cell>
          <cell r="S217">
            <v>0</v>
          </cell>
          <cell r="T217">
            <v>0</v>
          </cell>
          <cell r="U217">
            <v>61800000</v>
          </cell>
          <cell r="V217">
            <v>38522000</v>
          </cell>
        </row>
        <row r="218">
          <cell r="J218">
            <v>390</v>
          </cell>
          <cell r="K218">
            <v>43124</v>
          </cell>
          <cell r="L218" t="str">
            <v>NIXA ZAIRANDRHY VILLAMIZAR MESA</v>
          </cell>
          <cell r="M218">
            <v>148</v>
          </cell>
          <cell r="N218" t="str">
            <v>CONTRATO DE PRESTACION DE SERVICIOS DE APOYO A LA GESTION</v>
          </cell>
          <cell r="O218">
            <v>329</v>
          </cell>
          <cell r="P218">
            <v>43124</v>
          </cell>
          <cell r="Q218" t="str">
            <v>Prestar sus servicios de apoyo a la gestión en la Dirección de Reasentamientos, brindando acompañamiento al componente social desarrollado en el marco de las acciones misionales a cargo de la entidad.</v>
          </cell>
          <cell r="R218">
            <v>24720000</v>
          </cell>
          <cell r="S218">
            <v>0</v>
          </cell>
          <cell r="T218">
            <v>0</v>
          </cell>
          <cell r="U218">
            <v>24720000</v>
          </cell>
          <cell r="V218">
            <v>15326400</v>
          </cell>
        </row>
        <row r="219">
          <cell r="J219">
            <v>391</v>
          </cell>
          <cell r="K219">
            <v>43124</v>
          </cell>
          <cell r="L219" t="str">
            <v>OLGA LUCIA CRUZ GARZON</v>
          </cell>
          <cell r="M219">
            <v>145</v>
          </cell>
          <cell r="N219" t="str">
            <v>CONTRATO DE PRESTACION DE SERVICIOS PROFESIONALES</v>
          </cell>
          <cell r="O219">
            <v>313</v>
          </cell>
          <cell r="P219">
            <v>43124</v>
          </cell>
          <cell r="Q219" t="str">
            <v>Prestación de servicios profesionales desde el componente jurídico, para realizar el seguimiento y control al cumplimiento de requisitos legales y reglamentarios, de las familias beneficiarias del programa de Reasentamientos de la Caja de la Vivienda Popular.</v>
          </cell>
          <cell r="R219">
            <v>32960000</v>
          </cell>
          <cell r="S219">
            <v>0</v>
          </cell>
          <cell r="T219">
            <v>0</v>
          </cell>
          <cell r="U219">
            <v>32960000</v>
          </cell>
          <cell r="V219">
            <v>25681333</v>
          </cell>
        </row>
        <row r="220">
          <cell r="J220">
            <v>396</v>
          </cell>
          <cell r="K220">
            <v>43124</v>
          </cell>
          <cell r="L220" t="str">
            <v>YAMILET  OROZCO DIAZ</v>
          </cell>
          <cell r="M220">
            <v>145</v>
          </cell>
          <cell r="N220" t="str">
            <v>CONTRATO DE PRESTACION DE SERVICIOS PROFESIONALES</v>
          </cell>
          <cell r="O220">
            <v>317</v>
          </cell>
          <cell r="P220">
            <v>43124</v>
          </cell>
          <cell r="Q220" t="str">
            <v>Prestación de servicios profesionales de seguimiento y soporte financiero respecto a la programación, control presupuestal y demás acciones en la Dirección de Reasentamientos de la Caja de la Vivienda Popular, de conformidad con los procesos y procedimientos establecidos.</v>
          </cell>
          <cell r="R220">
            <v>56650000</v>
          </cell>
          <cell r="S220">
            <v>0</v>
          </cell>
          <cell r="T220">
            <v>0</v>
          </cell>
          <cell r="U220">
            <v>56650000</v>
          </cell>
          <cell r="V220">
            <v>35311833</v>
          </cell>
        </row>
        <row r="221">
          <cell r="J221">
            <v>397</v>
          </cell>
          <cell r="K221">
            <v>43124</v>
          </cell>
          <cell r="L221" t="str">
            <v>MICHAEL ALEXANDER LADINO PEÑUELA</v>
          </cell>
          <cell r="M221">
            <v>145</v>
          </cell>
          <cell r="N221" t="str">
            <v>CONTRATO DE PRESTACION DE SERVICIOS PROFESIONALES</v>
          </cell>
          <cell r="O221">
            <v>318</v>
          </cell>
          <cell r="P221">
            <v>43124</v>
          </cell>
          <cell r="Q221" t="str">
            <v>Prestación de servicios profesionales brindando apoyo al seguimiento administrativo y financiero de los procedimientos de la Dirección de Reasentamientos de la Caja de la Vivienda Popular</v>
          </cell>
          <cell r="R221">
            <v>41200000</v>
          </cell>
          <cell r="S221">
            <v>0</v>
          </cell>
          <cell r="T221">
            <v>0</v>
          </cell>
          <cell r="U221">
            <v>41200000</v>
          </cell>
          <cell r="V221">
            <v>25681333</v>
          </cell>
        </row>
        <row r="222">
          <cell r="J222">
            <v>398</v>
          </cell>
          <cell r="K222">
            <v>43124</v>
          </cell>
          <cell r="L222" t="str">
            <v>LINDA GISSELLE SUAREZ VILLAMIZAR</v>
          </cell>
          <cell r="M222">
            <v>145</v>
          </cell>
          <cell r="N222" t="str">
            <v>CONTRATO DE PRESTACION DE SERVICIOS PROFESIONALES</v>
          </cell>
          <cell r="O222">
            <v>319</v>
          </cell>
          <cell r="P222">
            <v>43124</v>
          </cell>
          <cell r="Q222" t="str">
            <v>Prestación de servicios profesionales, para el acompañamiento jurídico, en los procesos y procedimientos establecidos frente a la ejecución del programa misional de la Dirección de reasentamientos de la Caja de la Vivienda Popular</v>
          </cell>
          <cell r="R222">
            <v>31724000</v>
          </cell>
          <cell r="S222">
            <v>0</v>
          </cell>
          <cell r="T222">
            <v>0</v>
          </cell>
          <cell r="U222">
            <v>31724000</v>
          </cell>
          <cell r="V222">
            <v>28098400</v>
          </cell>
        </row>
        <row r="223">
          <cell r="J223">
            <v>400</v>
          </cell>
          <cell r="K223">
            <v>43124</v>
          </cell>
          <cell r="L223" t="str">
            <v>DARLY PATRICIA CAICEDO CAMILO</v>
          </cell>
          <cell r="M223">
            <v>145</v>
          </cell>
          <cell r="N223" t="str">
            <v>CONTRATO DE PRESTACION DE SERVICIOS PROFESIONALES</v>
          </cell>
          <cell r="O223">
            <v>321</v>
          </cell>
          <cell r="P223">
            <v>43124</v>
          </cell>
          <cell r="Q223" t="str">
            <v>Prestar sus servicios profesionales en el componente social de la Dirección de Reasentamientos de la Caja de la Vivienda Popular, para la ejecución de planes y programas agenciados por el área misional.</v>
          </cell>
          <cell r="R223">
            <v>17767500</v>
          </cell>
          <cell r="S223">
            <v>0</v>
          </cell>
          <cell r="T223">
            <v>0</v>
          </cell>
          <cell r="U223">
            <v>17767500</v>
          </cell>
          <cell r="V223">
            <v>17767500</v>
          </cell>
        </row>
        <row r="224">
          <cell r="J224">
            <v>401</v>
          </cell>
          <cell r="K224">
            <v>43124</v>
          </cell>
          <cell r="L224" t="str">
            <v>JORGE EDUARDO BARON MENDEZ</v>
          </cell>
          <cell r="M224">
            <v>145</v>
          </cell>
          <cell r="N224" t="str">
            <v>CONTRATO DE PRESTACION DE SERVICIOS PROFESIONALES</v>
          </cell>
          <cell r="O224">
            <v>322</v>
          </cell>
          <cell r="P224">
            <v>43124</v>
          </cell>
          <cell r="Q224" t="str">
            <v>Prestación de servicios profesionales, frente al componente financiero respecto a la programación, control presupuestal y acciones de soporte en la Dirección de Reasentamientos de la Caja de la Vivienda Popular, en el marco de la ejecución del Decreto No 457 de 2017. ¿Por el cual se crea e implementa el programa de acompañamiento para la mitigación de las acciones derivadas de la recuperación del predio denominado VEREDITAS, ubicado en la localidad de Kennedy¿.</v>
          </cell>
          <cell r="R224">
            <v>24720000</v>
          </cell>
          <cell r="S224">
            <v>0</v>
          </cell>
          <cell r="T224">
            <v>0</v>
          </cell>
          <cell r="U224">
            <v>24720000</v>
          </cell>
          <cell r="V224">
            <v>24720000</v>
          </cell>
        </row>
        <row r="225">
          <cell r="J225">
            <v>402</v>
          </cell>
          <cell r="K225">
            <v>43124</v>
          </cell>
          <cell r="L225" t="str">
            <v>NEYVA ABOGADOS ASOCIADOS S A S</v>
          </cell>
          <cell r="M225">
            <v>145</v>
          </cell>
          <cell r="N225" t="str">
            <v>CONTRATO DE PRESTACION DE SERVICIOS PROFESIONALES</v>
          </cell>
          <cell r="O225">
            <v>301</v>
          </cell>
          <cell r="P225">
            <v>43124</v>
          </cell>
          <cell r="Q225" t="str">
            <v>Prestación de servicios profesionales para el acompañamiento y apoyo jurídico en la implementación una metodología tendiente al desarrollo integral de comunidades sostenibles de conformidad con la misionalidad de la Dirección de Reasentamientos de la Caja de la Vivienda Popular</v>
          </cell>
          <cell r="R225">
            <v>50367000</v>
          </cell>
          <cell r="S225">
            <v>0</v>
          </cell>
          <cell r="T225">
            <v>0</v>
          </cell>
          <cell r="U225">
            <v>50367000</v>
          </cell>
          <cell r="V225">
            <v>31227540</v>
          </cell>
        </row>
        <row r="226">
          <cell r="J226">
            <v>403</v>
          </cell>
          <cell r="K226">
            <v>43124</v>
          </cell>
          <cell r="L226" t="str">
            <v>DIANA CAROLINA ESPITIA ZAMBRANO</v>
          </cell>
          <cell r="M226">
            <v>145</v>
          </cell>
          <cell r="N226" t="str">
            <v>CONTRATO DE PRESTACION DE SERVICIOS PROFESIONALES</v>
          </cell>
          <cell r="O226">
            <v>332</v>
          </cell>
          <cell r="P226">
            <v>43124</v>
          </cell>
          <cell r="Q226" t="str">
            <v>Prestación de servicios profesionales para acompañar la ejecución de diferentes actividades relacionadas con el componente social de la Dirección de Reasentamientos de la Caja de la Vivienda Popular, en el marco de la ejecución del Decreto No 457 de 2017 ¿Por el cual se crea e implementa el programa de acompañamiento para la mitigación de las acciones derivadas de la recuperación del predio denominado VEREDITAS, ubicado en la localidad de Kennedy¿.</v>
          </cell>
          <cell r="R226">
            <v>43260000</v>
          </cell>
          <cell r="S226">
            <v>0</v>
          </cell>
          <cell r="T226">
            <v>0</v>
          </cell>
          <cell r="U226">
            <v>43260000</v>
          </cell>
          <cell r="V226">
            <v>43260000</v>
          </cell>
        </row>
        <row r="227">
          <cell r="J227">
            <v>405</v>
          </cell>
          <cell r="K227">
            <v>43124</v>
          </cell>
          <cell r="L227" t="str">
            <v>JUAN CARLOS ALVARADO SANCHEZ</v>
          </cell>
          <cell r="M227">
            <v>145</v>
          </cell>
          <cell r="N227" t="str">
            <v>CONTRATO DE PRESTACION DE SERVICIOS PROFESIONALES</v>
          </cell>
          <cell r="O227">
            <v>333</v>
          </cell>
          <cell r="P227">
            <v>43124</v>
          </cell>
          <cell r="Q227" t="str">
            <v>Prestación de servicios profesionales para el acompañamiento en la ejecución de las diferentes actividades relacionadas con el componente técnico de la Dirección de Reasentamientos de la Caja de la Vivienda Popular, en el marco de la ejecución del Decreto No 457 de 2017 ¿Por el cual se crea e implementa el programa de acompañamiento para la mitigación de las acciones derivadas de la recuperación del predio denominado VEREDITAS, ubicado en la localidad de Kennedy ¿.</v>
          </cell>
          <cell r="R227">
            <v>21321000</v>
          </cell>
          <cell r="S227">
            <v>0</v>
          </cell>
          <cell r="T227">
            <v>0</v>
          </cell>
          <cell r="U227">
            <v>21321000</v>
          </cell>
          <cell r="V227">
            <v>21321000</v>
          </cell>
        </row>
        <row r="228">
          <cell r="J228">
            <v>407</v>
          </cell>
          <cell r="K228">
            <v>43124</v>
          </cell>
          <cell r="L228" t="str">
            <v>RUTH MIREYA VARGAS FIGUEREDO</v>
          </cell>
          <cell r="M228">
            <v>148</v>
          </cell>
          <cell r="N228" t="str">
            <v>CONTRATO DE PRESTACION DE SERVICIOS DE APOYO A LA GESTION</v>
          </cell>
          <cell r="O228">
            <v>356</v>
          </cell>
          <cell r="P228">
            <v>43124</v>
          </cell>
          <cell r="Q228" t="str">
            <v>PRESTACIÓN DE SERVICIOS DE APOYO A LA GESTIÓN EN LAS DIFERENTES ACTIVIDADES RELACIONADAS CON DIGITALIZACIÓN DE FICHAS, GESTIÓN DOCUMENTAL, ARCHIVO Y ESCANEO DE LOS ARCHIVOS CORRESPONDIENTES, EN EL MARCO DE LA EJECUCIÓN DEL DECRETO NO 457 DE 2017. "POR EL CUAL SE CREA E IMPLEMENTA EL PROGRAMA DE ACOMPAÑAMIENTO PARA LA MITIGACIÓN DE LAS ACCIONES DERIVADAS DE LA RECUPERACIÓN DEL PREDIO DENOMINADO VEREDITAS, UBICADO EN LA LOCALIDAD DE KENNEDY".</v>
          </cell>
          <cell r="R228">
            <v>10506000</v>
          </cell>
          <cell r="S228">
            <v>0</v>
          </cell>
          <cell r="T228">
            <v>0</v>
          </cell>
          <cell r="U228">
            <v>10506000</v>
          </cell>
          <cell r="V228">
            <v>10506000</v>
          </cell>
        </row>
        <row r="229">
          <cell r="J229">
            <v>408</v>
          </cell>
          <cell r="K229">
            <v>43124</v>
          </cell>
          <cell r="L229" t="str">
            <v>MARTA ESPERANZA CARDENAS ESTRADA</v>
          </cell>
          <cell r="M229">
            <v>145</v>
          </cell>
          <cell r="N229" t="str">
            <v>CONTRATO DE PRESTACION DE SERVICIOS PROFESIONALES</v>
          </cell>
          <cell r="O229">
            <v>357</v>
          </cell>
          <cell r="P229">
            <v>43124</v>
          </cell>
          <cell r="Q229" t="str">
            <v>PRESTACIÓN DE SERVICIOS PROFESIONALES, FRENTE AL COMPONENTE FINANCIERO RESPECTO A LA PROGRAMACIÓN, CONTROL PRESUPUESTAL Y ACCIONES DE SOPORTE EN LA DIRECCIÓN DE REASENTAMIENTOS DE LA CAJA DE LA VIVIENDA POPULAR, EN EL MARCO DE LA EJECUCIÓN DEL DECRETO NO 457 DE 2017. "POR EL CUAL SE CREA E IMPLEMENTA EL PROGRAMA DE ACOMPAÑAMIENTO PARA LA MITIGACIÓN DE LAS ACCIONES DERIVADAS DE LA RECUPERACIÓN DEL PREDIO DENOMINADO VEREDITAS, UBICADO EN LA LOCALIDAD DE KENNEDY".</v>
          </cell>
          <cell r="R229">
            <v>31518000</v>
          </cell>
          <cell r="S229">
            <v>0</v>
          </cell>
          <cell r="T229">
            <v>0</v>
          </cell>
          <cell r="U229">
            <v>31518000</v>
          </cell>
          <cell r="V229">
            <v>31518000</v>
          </cell>
        </row>
        <row r="230">
          <cell r="J230">
            <v>409</v>
          </cell>
          <cell r="K230">
            <v>43124</v>
          </cell>
          <cell r="L230" t="str">
            <v>GLORIA ESPERANZA CASTRO RODRIGUEZ</v>
          </cell>
          <cell r="M230">
            <v>148</v>
          </cell>
          <cell r="N230" t="str">
            <v>CONTRATO DE PRESTACION DE SERVICIOS DE APOYO A LA GESTION</v>
          </cell>
          <cell r="O230">
            <v>358</v>
          </cell>
          <cell r="P230">
            <v>43124</v>
          </cell>
          <cell r="Q230" t="str">
            <v>PRESTACIÓN DE SERVICIOS DE APOYO A LA GESTIÓN EN LAS DIFERENTES ACTIVIDADES RELACIONADAS CON DIGITALIZACIÓN DE FICHAS, GESTIÓN DOCUMENTAL, ARCHIVO Y ESCANEO DE LOS ARCHIVOS CORRESPONDIENTES, EN EL MARCO DE LA EJECUCIÓN DEL DECRETO NO 457 DE 2017. "POR MEDIO DEL CUAL SE IMPLEMENTA EL PROGRAMA DE ACOMPAÑAMIENTO PARA LA MITIGACIÓN DE LAS ACCIONES DERIVADAS DE LA RECUPERACIÓN DEL PREDIO DENOMINADO VEREDITAS, UBICADO EN LA LOCALIDAD DE KENNEDY".</v>
          </cell>
          <cell r="R230">
            <v>9270000</v>
          </cell>
          <cell r="S230">
            <v>0</v>
          </cell>
          <cell r="T230">
            <v>0</v>
          </cell>
          <cell r="U230">
            <v>9270000</v>
          </cell>
          <cell r="V230">
            <v>9270000</v>
          </cell>
        </row>
        <row r="231">
          <cell r="J231">
            <v>411</v>
          </cell>
          <cell r="K231">
            <v>43124</v>
          </cell>
          <cell r="L231" t="str">
            <v>LUKAS FERNANDO URIBE FRANCO</v>
          </cell>
          <cell r="M231">
            <v>145</v>
          </cell>
          <cell r="N231" t="str">
            <v>CONTRATO DE PRESTACION DE SERVICIOS PROFESIONALES</v>
          </cell>
          <cell r="O231">
            <v>314</v>
          </cell>
          <cell r="P231">
            <v>43124</v>
          </cell>
          <cell r="Q231" t="str">
            <v>Prestar servicios profesionales a la Dirección de Urbanizaciones y Titulación en el seguimiento técnico y administrativo de los proyectos de vivienda VIP y a la Dirección de Reasentamientos en el apoyo a la estructuración de los procesos de Gestión Inmobiliaria, destinados a la entrega de viviendas desarrolladas por la CVP a las familias vinculadas al Programa de Reasentamientos de Entidad.</v>
          </cell>
          <cell r="R231">
            <v>58632750</v>
          </cell>
          <cell r="S231">
            <v>0</v>
          </cell>
          <cell r="T231">
            <v>0</v>
          </cell>
          <cell r="U231">
            <v>58632750</v>
          </cell>
          <cell r="V231">
            <v>41888000</v>
          </cell>
        </row>
        <row r="232">
          <cell r="J232">
            <v>412</v>
          </cell>
          <cell r="K232">
            <v>43124</v>
          </cell>
          <cell r="L232" t="str">
            <v>YURY ANDREA RICO MAHECHA</v>
          </cell>
          <cell r="M232">
            <v>148</v>
          </cell>
          <cell r="N232" t="str">
            <v>CONTRATO DE PRESTACION DE SERVICIOS DE APOYO A LA GESTION</v>
          </cell>
          <cell r="O232">
            <v>334</v>
          </cell>
          <cell r="P232">
            <v>43124</v>
          </cell>
          <cell r="Q232" t="str">
            <v>Prestación de servicios de apoyo a la gestión en lo relacionado con el manejo de archivo y gestión documental generado desde la Dirección de Reasentamientos de la Caja de la Vivienda Popular.</v>
          </cell>
          <cell r="R232">
            <v>27192000</v>
          </cell>
          <cell r="S232">
            <v>0</v>
          </cell>
          <cell r="T232">
            <v>0</v>
          </cell>
          <cell r="U232">
            <v>27192000</v>
          </cell>
          <cell r="V232">
            <v>15326400</v>
          </cell>
        </row>
        <row r="233">
          <cell r="J233">
            <v>414</v>
          </cell>
          <cell r="K233">
            <v>43124</v>
          </cell>
          <cell r="L233" t="str">
            <v>DIANA MILENA OCHOA PARRA</v>
          </cell>
          <cell r="M233">
            <v>145</v>
          </cell>
          <cell r="N233" t="str">
            <v>CONTRATO DE PRESTACION DE SERVICIOS PROFESIONALES</v>
          </cell>
          <cell r="O233">
            <v>335</v>
          </cell>
          <cell r="P233">
            <v>43124</v>
          </cell>
          <cell r="Q233" t="str">
            <v>Prestación de servicios profesionales para el acompañamiento jurídico en las actuaciones propias que requiera la Dirección de Reasentamientos de la Caja de la Vivienda Popular, en el marco de la ejecución del Decreto No 457 de 2017 ¿Por el cual se crea e implementa el programa de acompañamiento para la mitigación de las acciones derivadas de la recuperación del predio denominado VEREDITAS, ubicado en la localidad de Kennedy¿.</v>
          </cell>
          <cell r="R233">
            <v>31518000</v>
          </cell>
          <cell r="S233">
            <v>0</v>
          </cell>
          <cell r="T233">
            <v>0</v>
          </cell>
          <cell r="U233">
            <v>31518000</v>
          </cell>
          <cell r="V233">
            <v>31518000</v>
          </cell>
        </row>
        <row r="234">
          <cell r="J234">
            <v>415</v>
          </cell>
          <cell r="K234">
            <v>43124</v>
          </cell>
          <cell r="L234" t="str">
            <v>JOSE LUIS REYES DELGADO</v>
          </cell>
          <cell r="M234">
            <v>145</v>
          </cell>
          <cell r="N234" t="str">
            <v>CONTRATO DE PRESTACION DE SERVICIOS PROFESIONALES</v>
          </cell>
          <cell r="O234">
            <v>336</v>
          </cell>
          <cell r="P234">
            <v>43124</v>
          </cell>
          <cell r="Q234" t="str">
            <v>Prestación de servicios profesionales para apoyar los asuntos presupuestales y herramientas de gestión a cargo de la Dirección de Reasentamientos de la Caja de la Vivienda Popular</v>
          </cell>
          <cell r="R234">
            <v>90640000</v>
          </cell>
          <cell r="S234">
            <v>0</v>
          </cell>
          <cell r="T234">
            <v>0</v>
          </cell>
          <cell r="U234">
            <v>90640000</v>
          </cell>
          <cell r="V234">
            <v>42848000</v>
          </cell>
        </row>
        <row r="235">
          <cell r="J235">
            <v>417</v>
          </cell>
          <cell r="K235">
            <v>43124</v>
          </cell>
          <cell r="L235" t="str">
            <v>DIANA CAROLINA SANCHEZ ARDILA</v>
          </cell>
          <cell r="M235">
            <v>145</v>
          </cell>
          <cell r="N235" t="str">
            <v>CONTRATO DE PRESTACION DE SERVICIOS PROFESIONALES</v>
          </cell>
          <cell r="O235">
            <v>338</v>
          </cell>
          <cell r="P235">
            <v>43124</v>
          </cell>
          <cell r="Q235" t="str">
            <v>Prestación de servicios profesionales en el componente social de la Dirección de Reasentamientos de la Caja de la Vivienda Popular, para la ejecución de planes y programas agenciados por el área misional.</v>
          </cell>
          <cell r="R235">
            <v>41200000</v>
          </cell>
          <cell r="S235">
            <v>0</v>
          </cell>
          <cell r="T235">
            <v>0</v>
          </cell>
          <cell r="U235">
            <v>41200000</v>
          </cell>
          <cell r="V235">
            <v>24033334</v>
          </cell>
        </row>
        <row r="236">
          <cell r="J236">
            <v>418</v>
          </cell>
          <cell r="K236">
            <v>43124</v>
          </cell>
          <cell r="L236" t="str">
            <v>LINA MARIA SILVA CABRERA</v>
          </cell>
          <cell r="M236">
            <v>145</v>
          </cell>
          <cell r="N236" t="str">
            <v>CONTRATO DE PRESTACION DE SERVICIOS PROFESIONALES</v>
          </cell>
          <cell r="O236">
            <v>369</v>
          </cell>
          <cell r="P236">
            <v>43124</v>
          </cell>
          <cell r="Q236" t="str">
            <v>Prestación de servicios profesionales en las actividades relacionadas con Planeación institucional y Sistema Integrado de Gestión de la Dirección de Reasentamientos, a través de las herramientas de seguimiento y gestión que posee la Caja de la Vivienda Popular.</v>
          </cell>
          <cell r="R236">
            <v>47277000</v>
          </cell>
          <cell r="S236">
            <v>0</v>
          </cell>
          <cell r="T236">
            <v>0</v>
          </cell>
          <cell r="U236">
            <v>47277000</v>
          </cell>
          <cell r="V236">
            <v>32568600</v>
          </cell>
        </row>
        <row r="237">
          <cell r="J237">
            <v>419</v>
          </cell>
          <cell r="K237">
            <v>43124</v>
          </cell>
          <cell r="L237" t="str">
            <v>ALEJANDRO  URIBE JIMENEZ</v>
          </cell>
          <cell r="M237">
            <v>145</v>
          </cell>
          <cell r="N237" t="str">
            <v>CONTRATO DE PRESTACION DE SERVICIOS PROFESIONALES</v>
          </cell>
          <cell r="O237">
            <v>368</v>
          </cell>
          <cell r="P237">
            <v>43124</v>
          </cell>
          <cell r="Q237" t="str">
            <v>PRESTACIÓN DE SERVICIOS PROFESIONALES PARA EL ACOMPAÑAMIENTO Y APOYO FINANCIERO RESPECTO A LA PROGRAMACIÓN, CONTROL PRESUPUESTAL Y ACCIONES A EJECUTAR EN LA IMPLEMENTACIÓN UNA METODOLOGÍA TENDIENTE AL DESARROLLO INTEGRAL DE COMUNIDADES SOSTENIBLES DE CONFORMIDAD CON LA MISIONALIDAD DE LA DIRECCIÓN DE REASENTAMIENTOS DE LA CAJA DE LA VIVIENDA POPULAR.</v>
          </cell>
          <cell r="R237">
            <v>50367000</v>
          </cell>
          <cell r="S237">
            <v>0</v>
          </cell>
          <cell r="T237">
            <v>0</v>
          </cell>
          <cell r="U237">
            <v>50367000</v>
          </cell>
          <cell r="V237">
            <v>31227540</v>
          </cell>
        </row>
        <row r="238">
          <cell r="J238">
            <v>420</v>
          </cell>
          <cell r="K238">
            <v>43124</v>
          </cell>
          <cell r="L238" t="str">
            <v>MARTHA HELENA CORREAL ISAZA</v>
          </cell>
          <cell r="M238">
            <v>145</v>
          </cell>
          <cell r="N238" t="str">
            <v>CONTRATO DE PRESTACION DE SERVICIOS PROFESIONALES</v>
          </cell>
          <cell r="O238">
            <v>365</v>
          </cell>
          <cell r="P238">
            <v>43124</v>
          </cell>
          <cell r="Q238" t="str">
            <v>Prestación de servicios profesionales para asesorar a la Dirección de Reasentamientos, en el desarrollo estratégico y de ejecución de acciones tendientes al cumplimiento de los objetivos del área misional, de conformidad con los procesos y procedimientos internos e institucionales.</v>
          </cell>
          <cell r="R238">
            <v>118450000</v>
          </cell>
          <cell r="S238">
            <v>0</v>
          </cell>
          <cell r="T238">
            <v>0</v>
          </cell>
          <cell r="U238">
            <v>118450000</v>
          </cell>
          <cell r="V238">
            <v>63860000</v>
          </cell>
        </row>
        <row r="239">
          <cell r="J239">
            <v>421</v>
          </cell>
          <cell r="K239">
            <v>43124</v>
          </cell>
          <cell r="L239" t="str">
            <v>IVAN DARIO CARRILLO DURAN</v>
          </cell>
          <cell r="M239">
            <v>145</v>
          </cell>
          <cell r="N239" t="str">
            <v>CONTRATO DE PRESTACION DE SERVICIOS PROFESIONALES</v>
          </cell>
          <cell r="O239">
            <v>370</v>
          </cell>
          <cell r="P239">
            <v>43124</v>
          </cell>
          <cell r="Q239" t="str">
            <v>Prestación de servicios profesionales en la implementación de módulos alfanuméricos y geográficos para el Sistema de Información Geográfica  de la Dirección de Reasentamientos de la Caja de la Vivienda Popular.</v>
          </cell>
          <cell r="R239">
            <v>28428000</v>
          </cell>
          <cell r="S239">
            <v>0</v>
          </cell>
          <cell r="T239">
            <v>0</v>
          </cell>
          <cell r="U239">
            <v>28428000</v>
          </cell>
          <cell r="V239">
            <v>22031700</v>
          </cell>
        </row>
        <row r="240">
          <cell r="J240">
            <v>423</v>
          </cell>
          <cell r="K240">
            <v>43124</v>
          </cell>
          <cell r="L240" t="str">
            <v>ELCIDA  CONTRERAS AYALA</v>
          </cell>
          <cell r="M240">
            <v>145</v>
          </cell>
          <cell r="N240" t="str">
            <v>CONTRATO DE PRESTACION DE SERVICIOS PROFESIONALES</v>
          </cell>
          <cell r="O240">
            <v>366</v>
          </cell>
          <cell r="P240">
            <v>43124</v>
          </cell>
          <cell r="Q240" t="str">
            <v>PRESTACIÓN DE SERVICIOS PROFESIONALES PARA EL ACOMPAÑAMIENTO JURÍDICO EN LAS ACTUACIONES PROPIAS QUE REQUIERA LA DIRECCIÓN DE REASENTAMIENTOS DE LA CAJA DE LA VIVIENDA POPULAR, EN EL MARCO DE LA EJECUCIÓN DEL DECRETO NO 457 DE 2017 "POR EL CUAL SE CREA E IMPLEMENTA EL PROGRAMA DE ACOMPAÑAMIENTO PARA LA MITIGACIÓN DE LAS ACCIONES DERIVADAS DE LA RECUPERACIÓN DEL PREDIO DENOMINADO VEREDITAS, UBICADO EN LA LOCALIDAD DE KENNEDY.</v>
          </cell>
          <cell r="R240">
            <v>43260000</v>
          </cell>
          <cell r="S240">
            <v>0</v>
          </cell>
          <cell r="T240">
            <v>0</v>
          </cell>
          <cell r="U240">
            <v>43260000</v>
          </cell>
          <cell r="V240">
            <v>43260000</v>
          </cell>
        </row>
        <row r="241">
          <cell r="J241">
            <v>425</v>
          </cell>
          <cell r="K241">
            <v>43124</v>
          </cell>
          <cell r="L241" t="str">
            <v>LUIS CAMILO MARTINEZ TORO</v>
          </cell>
          <cell r="M241">
            <v>145</v>
          </cell>
          <cell r="N241" t="str">
            <v>CONTRATO DE PRESTACION DE SERVICIOS PROFESIONALES</v>
          </cell>
          <cell r="O241">
            <v>367</v>
          </cell>
          <cell r="P241">
            <v>43124</v>
          </cell>
          <cell r="Q241" t="str">
            <v>PRESTACIÓN DE SERVICIOS PROFESIONALES PARA EL ACOMPAÑAMIENTO JURÍDICO EN LAS ACTUACIONES PROPIAS QUE REQUIERA LA DIRECCIÓN DE REASENTAMIENTOS DE LA CAJA DE LA VIVIENDA POPULAR, EN EL MARCO DE LA EJECUCIÓN DEL DECRETO NO 457 DE 2017 "POR EL CUAL SE CREA E IMPLEMENTA EL PROGRAMA DE ACOMPAÑAMIENTO PARA LA MITIGACIÓN DE LAS ACCIONES DERIVADAS DE LA RECUPERACIÓN DEL PREDIO DENOMINADO VEREDITAS, UBICADO EN LA LOCALIDAD DE KENNEDY.</v>
          </cell>
          <cell r="R241">
            <v>43260000</v>
          </cell>
          <cell r="S241">
            <v>0</v>
          </cell>
          <cell r="T241">
            <v>0</v>
          </cell>
          <cell r="U241">
            <v>43260000</v>
          </cell>
          <cell r="V241">
            <v>43260000</v>
          </cell>
        </row>
        <row r="242">
          <cell r="J242">
            <v>426</v>
          </cell>
          <cell r="K242">
            <v>43124</v>
          </cell>
          <cell r="L242" t="str">
            <v>LAURA MAGOLA RAMIREZ GARCIA</v>
          </cell>
          <cell r="M242">
            <v>145</v>
          </cell>
          <cell r="N242" t="str">
            <v>CONTRATO DE PRESTACION DE SERVICIOS PROFESIONALES</v>
          </cell>
          <cell r="O242">
            <v>361</v>
          </cell>
          <cell r="P242">
            <v>43124</v>
          </cell>
          <cell r="Q242" t="str">
            <v>PRESTAR SUS SERVICIOS PROFESIONALES APOYANDO LA EJECUCION DE LAS DIFERENTES ACTIVIDADES RELACIONADAS CON EL COMPONENTE TECNICO Y  FINANCIERO DE LA DIRECCION DE REASENTAMIENTOS DE LA CVP EN EL MARCO DE LA EJECUCIÓN DEL DECRETO NO 457 DE 2017 ¿POR EL CUAL SE IMPLEMENTA EL PROGRAMA DE ACOMPAÑAMIENTO PARA LA MITIGACIÓN DE LAS ACCIONES DERIVADAS DE LA RECUPERACIÓN DEL PREDIO DENOMINADO VEREDITAS, UBICADO EN LA LOCALIDAD DE KENNEDY.</v>
          </cell>
          <cell r="R242">
            <v>21321000</v>
          </cell>
          <cell r="S242">
            <v>0</v>
          </cell>
          <cell r="T242">
            <v>0</v>
          </cell>
          <cell r="U242">
            <v>21321000</v>
          </cell>
          <cell r="V242">
            <v>21321000</v>
          </cell>
        </row>
        <row r="243">
          <cell r="J243">
            <v>427</v>
          </cell>
          <cell r="K243">
            <v>43124</v>
          </cell>
          <cell r="L243" t="str">
            <v>MARTHA TERESA ORTIZ BARAHONA</v>
          </cell>
          <cell r="M243">
            <v>148</v>
          </cell>
          <cell r="N243" t="str">
            <v>CONTRATO DE PRESTACION DE SERVICIOS DE APOYO A LA GESTION</v>
          </cell>
          <cell r="O243">
            <v>362</v>
          </cell>
          <cell r="P243">
            <v>43124</v>
          </cell>
          <cell r="Q243" t="str">
            <v>Prestación de servicios de apoyo a la gestión, en los componentes operativo y asistencial para la ejecución de los procesos y procedimientos internos de la Dirección de Reasentamientos frente al cumplimiento de sus metas.</v>
          </cell>
          <cell r="R243">
            <v>19961400</v>
          </cell>
          <cell r="S243">
            <v>0</v>
          </cell>
          <cell r="T243">
            <v>0</v>
          </cell>
          <cell r="U243">
            <v>19961400</v>
          </cell>
          <cell r="V243">
            <v>19961400</v>
          </cell>
        </row>
        <row r="244">
          <cell r="J244">
            <v>428</v>
          </cell>
          <cell r="K244">
            <v>43124</v>
          </cell>
          <cell r="L244" t="str">
            <v>YALEIDY ANDREA RICO RADA</v>
          </cell>
          <cell r="M244">
            <v>145</v>
          </cell>
          <cell r="N244" t="str">
            <v>CONTRATO DE PRESTACION DE SERVICIOS PROFESIONALES</v>
          </cell>
          <cell r="O244">
            <v>363</v>
          </cell>
          <cell r="P244">
            <v>43124</v>
          </cell>
          <cell r="Q244" t="str">
            <v>PRESTACIÓN DE SERVICIOS PROFESIONALES PARA EL ACOMPAÑAMIENTO JURÍDICO EN LAS ACTUACIONES PROPIAS QUE REQUIERA LA DIRECCIÓN DE REASENTAMIENTOS DE LA CAJA DE LA VIVIENDA POPULAR, EN EL MARCO DE LA EJECUCIÓN DEL DECRETO NO 457 DE 2017 POR EL CUAL SE CREA E IMPLEMENTA EL PROGRAMA DE ACOMPAÑAMIENTO PARA LA MITIGACIÓN DE LAS ACCIONES DERIVADAS DE LA RECUPERACIÓN DEL PREDIO DENOMINADO VEREDITAS, UBICADO EN LA LOCALIDAD DE KENNEDY.</v>
          </cell>
          <cell r="R244">
            <v>33990000</v>
          </cell>
          <cell r="S244">
            <v>0</v>
          </cell>
          <cell r="T244">
            <v>0</v>
          </cell>
          <cell r="U244">
            <v>33990000</v>
          </cell>
          <cell r="V244">
            <v>33990000</v>
          </cell>
        </row>
        <row r="245">
          <cell r="J245">
            <v>430</v>
          </cell>
          <cell r="K245">
            <v>43124</v>
          </cell>
          <cell r="L245" t="str">
            <v>LINA MARCELA RINCON ANDRADE</v>
          </cell>
          <cell r="M245">
            <v>145</v>
          </cell>
          <cell r="N245" t="str">
            <v>CONTRATO DE PRESTACION DE SERVICIOS PROFESIONALES</v>
          </cell>
          <cell r="O245">
            <v>371</v>
          </cell>
          <cell r="P245">
            <v>43124</v>
          </cell>
          <cell r="Q245" t="str">
            <v>Prestación de servicios profesionales, en materia jurídica a la Dirección de Reasentamientos de la Caja de la Vivienda Popular, para el adelantamiento de los procedimientos en virtud de los intereses de la entidad, de conformidad con las normas ma¿s elevadas de competencia, idoneidad e integridad ética y profesional.</v>
          </cell>
          <cell r="R245">
            <v>52530000</v>
          </cell>
          <cell r="S245">
            <v>0</v>
          </cell>
          <cell r="T245">
            <v>0</v>
          </cell>
          <cell r="U245">
            <v>52530000</v>
          </cell>
          <cell r="V245">
            <v>32568600</v>
          </cell>
        </row>
        <row r="246">
          <cell r="J246">
            <v>436</v>
          </cell>
          <cell r="K246">
            <v>43125</v>
          </cell>
          <cell r="L246" t="str">
            <v>GERLEY  AMAYA CULMA</v>
          </cell>
          <cell r="M246">
            <v>145</v>
          </cell>
          <cell r="N246" t="str">
            <v>CONTRATO DE PRESTACION DE SERVICIOS PROFESIONALES</v>
          </cell>
          <cell r="O246">
            <v>376</v>
          </cell>
          <cell r="P246">
            <v>43125</v>
          </cell>
          <cell r="Q246" t="str">
            <v>Prestación de servicios profesionales de apoyo financiero respecto a la programación, control presupuestal y acciones de soporte en la Dirección de Reasentamientos de la Caja de la Vivienda Popular</v>
          </cell>
          <cell r="R246">
            <v>27192000</v>
          </cell>
          <cell r="S246">
            <v>0</v>
          </cell>
          <cell r="T246">
            <v>0</v>
          </cell>
          <cell r="U246">
            <v>27192000</v>
          </cell>
          <cell r="V246">
            <v>27192000</v>
          </cell>
        </row>
        <row r="247">
          <cell r="J247">
            <v>449</v>
          </cell>
          <cell r="K247">
            <v>43125</v>
          </cell>
          <cell r="L247" t="str">
            <v>HARLEY LIZARDO GONZALEZ RODRIGUEZ</v>
          </cell>
          <cell r="M247">
            <v>148</v>
          </cell>
          <cell r="N247" t="str">
            <v>CONTRATO DE PRESTACION DE SERVICIOS DE APOYO A LA GESTION</v>
          </cell>
          <cell r="O247">
            <v>385</v>
          </cell>
          <cell r="P247">
            <v>43125</v>
          </cell>
          <cell r="Q247" t="str">
            <v>PRESTACIÓN DE SERVICIOS DE APOYO A LA GESTIÓN PARA EL ACOMPAÑAMIENTO JURÍDICO EN LAS ACTUACIONES PROPIAS QUE REQUIERA LA DIRECCIÓN DE REASENTAMIENTOS DE LA CAJA DE LA VIVIENDA POPULAR, EN EL MARCO DE LA EJECUCIÓN DEL DECRETO NO 457 DE 2017. "POR EL CUAL SE CREA E IMPLEMENTA EL PROGRAMA DE ACOMPAÑAMIENTO PARA LA MITIGACIÓN DE LAS ACCIONES DERIVADAS DE LA RECUPERACIÓN DEL PREDIO DENOMINADO VEREDITAS, UBICADO EN LA LOCALIDAD DE KENNEDY.</v>
          </cell>
          <cell r="R247">
            <v>19961400</v>
          </cell>
          <cell r="S247">
            <v>0</v>
          </cell>
          <cell r="T247">
            <v>0</v>
          </cell>
          <cell r="U247">
            <v>19961400</v>
          </cell>
          <cell r="V247">
            <v>19961400</v>
          </cell>
        </row>
        <row r="248">
          <cell r="J248">
            <v>450</v>
          </cell>
          <cell r="K248">
            <v>43125</v>
          </cell>
          <cell r="L248" t="str">
            <v>LUPIEN ROSENBERG ET ASSOCIES SAS</v>
          </cell>
          <cell r="M248">
            <v>145</v>
          </cell>
          <cell r="N248" t="str">
            <v>CONTRATO DE PRESTACION DE SERVICIOS PROFESIONALES</v>
          </cell>
          <cell r="O248">
            <v>386</v>
          </cell>
          <cell r="P248">
            <v>43125</v>
          </cell>
          <cell r="Q248" t="str">
            <v>Prestación de servicios profesionales para brindar apoyo en la implementación de la metodología de Desarrollo Integral de Comunidades Sostenibles de conformidad con la misionalidad de la Dirección de Reasentamientos de la Caja de la Vivienda Popular.</v>
          </cell>
          <cell r="R248">
            <v>82400000</v>
          </cell>
          <cell r="S248">
            <v>0</v>
          </cell>
          <cell r="T248">
            <v>0</v>
          </cell>
          <cell r="U248">
            <v>82400000</v>
          </cell>
          <cell r="V248">
            <v>51088000</v>
          </cell>
        </row>
        <row r="249">
          <cell r="J249">
            <v>454</v>
          </cell>
          <cell r="K249">
            <v>43125</v>
          </cell>
          <cell r="L249" t="str">
            <v>MARIA CRISTINA ALVAREZ ESPINOSA</v>
          </cell>
          <cell r="M249">
            <v>145</v>
          </cell>
          <cell r="N249" t="str">
            <v>CONTRATO DE PRESTACION DE SERVICIOS PROFESIONALES</v>
          </cell>
          <cell r="O249">
            <v>384</v>
          </cell>
          <cell r="P249">
            <v>43125</v>
          </cell>
          <cell r="Q249" t="str">
            <v>Prestación de servicios profesionales, para el acompañamiento jurídico, en los procesos y procedimientos establecidos frente a la ejecución del programa misional de la Dirección de reasentamientos de la Caja de la Vivienda Popular.</v>
          </cell>
          <cell r="R249">
            <v>31518000</v>
          </cell>
          <cell r="S249">
            <v>0</v>
          </cell>
          <cell r="T249">
            <v>0</v>
          </cell>
          <cell r="U249">
            <v>31518000</v>
          </cell>
          <cell r="V249">
            <v>31518000</v>
          </cell>
        </row>
        <row r="250">
          <cell r="J250">
            <v>455</v>
          </cell>
          <cell r="K250">
            <v>43126</v>
          </cell>
          <cell r="L250" t="str">
            <v>CLORIS DEYANIRA MONICA ORTEGA CARDOZO</v>
          </cell>
          <cell r="M250">
            <v>148</v>
          </cell>
          <cell r="N250" t="str">
            <v>CONTRATO DE PRESTACION DE SERVICIOS DE APOYO A LA GESTION</v>
          </cell>
          <cell r="O250">
            <v>353</v>
          </cell>
          <cell r="P250">
            <v>43126</v>
          </cell>
          <cell r="Q250" t="str">
            <v>PRESTACIÓN DE SERVICIOS DE APOYO A LA GESTIÓN EN LAS DIFERENTES ACTIVIDADES RELACIONADAS CON DIGITALIZACIÓN DE FICHAS, GESTIÓN DOCUMENTAL, ARCHIVO Y ESCANEO DE LOS ARCHIVOS CORRESPONDIENTES, EN EL MARCO DE LA EJECUCIÓN DEL DECRETO NO 457 DE 2017. "POR EL CUAL SE CREA E IMPLEMENTA EL PROGRAMA DE ACOMPAÑAMIENTO PARA LA MITIGACIÓN DE LAS ACCIONES DERIVADAS DE LA RECUPERACIÓN DEL PREDIO DENOMINADO VEREDITAS, UBICADO EN LA LOCALIDAD DE KENNEDY".</v>
          </cell>
          <cell r="R250">
            <v>10506000</v>
          </cell>
          <cell r="S250">
            <v>0</v>
          </cell>
          <cell r="T250">
            <v>0</v>
          </cell>
          <cell r="U250">
            <v>10506000</v>
          </cell>
          <cell r="V250">
            <v>10506000</v>
          </cell>
        </row>
        <row r="251">
          <cell r="J251">
            <v>461</v>
          </cell>
          <cell r="K251">
            <v>43126</v>
          </cell>
          <cell r="L251" t="str">
            <v>SANDRA JOHANA PAI GOMEZ</v>
          </cell>
          <cell r="M251">
            <v>145</v>
          </cell>
          <cell r="N251" t="str">
            <v>CONTRATO DE PRESTACION DE SERVICIOS PROFESIONALES</v>
          </cell>
          <cell r="O251">
            <v>388</v>
          </cell>
          <cell r="P251">
            <v>43126</v>
          </cell>
          <cell r="Q251" t="str">
            <v>Prestación de servicios profesionales, como apoyo jurídico en las actuaciones propias que requiera la Dirección de Reasentamientos de la Caja de la Vivienda Popular en la ejecución del programa de Reasentamientos</v>
          </cell>
          <cell r="R251">
            <v>82400000</v>
          </cell>
          <cell r="S251">
            <v>0</v>
          </cell>
          <cell r="T251">
            <v>0</v>
          </cell>
          <cell r="U251">
            <v>82400000</v>
          </cell>
          <cell r="V251">
            <v>50813333</v>
          </cell>
        </row>
        <row r="252">
          <cell r="J252">
            <v>466</v>
          </cell>
          <cell r="K252">
            <v>43126</v>
          </cell>
          <cell r="L252" t="str">
            <v>MARIA FERNANDA ANAYA SEDAN</v>
          </cell>
          <cell r="M252">
            <v>148</v>
          </cell>
          <cell r="N252" t="str">
            <v>CONTRATO DE PRESTACION DE SERVICIOS DE APOYO A LA GESTION</v>
          </cell>
          <cell r="O252">
            <v>393</v>
          </cell>
          <cell r="P252">
            <v>43126</v>
          </cell>
          <cell r="Q252" t="str">
            <v>Prestación de serviciosde apoyo a la gestion, para el acompañamiento jurídico, en los procesos y procedimientos establecidos frente a la ejecución del programa misional de la Dirección de Reasentamientos de la Caja de la Vivienda Popular.</v>
          </cell>
          <cell r="R252">
            <v>23288300</v>
          </cell>
          <cell r="S252">
            <v>0</v>
          </cell>
          <cell r="T252">
            <v>0</v>
          </cell>
          <cell r="U252">
            <v>23288300</v>
          </cell>
          <cell r="V252">
            <v>20515883</v>
          </cell>
        </row>
        <row r="253">
          <cell r="J253">
            <v>473</v>
          </cell>
          <cell r="K253">
            <v>43126</v>
          </cell>
          <cell r="L253" t="str">
            <v>WADY JORGE CHICA ORDOÑEZ</v>
          </cell>
          <cell r="M253">
            <v>148</v>
          </cell>
          <cell r="N253" t="str">
            <v>CONTRATO DE PRESTACION DE SERVICIOS DE APOYO A LA GESTION</v>
          </cell>
          <cell r="O253">
            <v>399</v>
          </cell>
          <cell r="P253">
            <v>43126</v>
          </cell>
          <cell r="Q253" t="str">
            <v>PRESTACIÓN DE SERVICIOS DE APOYO A LA GESTIÓN EN LO RELACIONADO CON EL MANEJO DE ARCHIVO Y GESTIÓN DOCUMENTAL GENERADO DESDE LA DIRECCIÓN DE REASENTAMIENTOS DE LA CAJA DE LA VIVIENDA POPULAR.</v>
          </cell>
          <cell r="R253">
            <v>19961400</v>
          </cell>
          <cell r="S253">
            <v>0</v>
          </cell>
          <cell r="T253">
            <v>0</v>
          </cell>
          <cell r="U253">
            <v>19961400</v>
          </cell>
          <cell r="V253">
            <v>19961400</v>
          </cell>
        </row>
        <row r="254">
          <cell r="J254">
            <v>474</v>
          </cell>
          <cell r="K254">
            <v>43126</v>
          </cell>
          <cell r="L254" t="str">
            <v>MANUEL JULIAN FIERRO GARZON</v>
          </cell>
          <cell r="M254">
            <v>145</v>
          </cell>
          <cell r="N254" t="str">
            <v>CONTRATO DE PRESTACION DE SERVICIOS PROFESIONALES</v>
          </cell>
          <cell r="O254">
            <v>400</v>
          </cell>
          <cell r="P254">
            <v>43126</v>
          </cell>
          <cell r="Q254" t="str">
            <v>Prestar sus servicios profesionales en la Dirección de Reasentamientos apoyando la ejecución de las diferentes actividades de la Dirección, en especial temas relacionados con relocalización transitoria.</v>
          </cell>
          <cell r="R254">
            <v>33990000</v>
          </cell>
          <cell r="S254">
            <v>0</v>
          </cell>
          <cell r="T254">
            <v>0</v>
          </cell>
          <cell r="U254">
            <v>33990000</v>
          </cell>
          <cell r="V254">
            <v>20960500</v>
          </cell>
        </row>
        <row r="255">
          <cell r="J255">
            <v>484</v>
          </cell>
          <cell r="K255">
            <v>43126</v>
          </cell>
          <cell r="L255" t="str">
            <v>JENNY CATALINA VILLARREAL OREJUELA</v>
          </cell>
          <cell r="M255">
            <v>145</v>
          </cell>
          <cell r="N255" t="str">
            <v>CONTRATO DE PRESTACION DE SERVICIOS PROFESIONALES</v>
          </cell>
          <cell r="O255">
            <v>406</v>
          </cell>
          <cell r="P255">
            <v>43126</v>
          </cell>
          <cell r="Q255" t="str">
            <v>Prestación de servicios profesionales para apoyar a la Dirección de Reasentamientos en los procesos y procedimientos que se requieran para el cumplimiento de sus metas.</v>
          </cell>
          <cell r="R255">
            <v>20394000</v>
          </cell>
          <cell r="S255">
            <v>0</v>
          </cell>
          <cell r="T255">
            <v>0</v>
          </cell>
          <cell r="U255">
            <v>20394000</v>
          </cell>
          <cell r="V255">
            <v>20394000</v>
          </cell>
        </row>
        <row r="256">
          <cell r="J256">
            <v>485</v>
          </cell>
          <cell r="K256">
            <v>43126</v>
          </cell>
          <cell r="L256" t="str">
            <v>JOSE ANDRES CHAVES MEJIA</v>
          </cell>
          <cell r="M256">
            <v>148</v>
          </cell>
          <cell r="N256" t="str">
            <v>CONTRATO DE PRESTACION DE SERVICIOS DE APOYO A LA GESTION</v>
          </cell>
          <cell r="O256">
            <v>407</v>
          </cell>
          <cell r="P256">
            <v>43126</v>
          </cell>
          <cell r="Q256" t="str">
            <v>PRESTACIÓN DE SERVICIOS DE APOYO A LA GESTIÓN PARA EL ACOMPAÑAMIENTO EN LA EJECUCIÓN DE LAS DIFERENTES ACTIVIDADES RELACIONADAS CON EL COMPONENTE TÉCNICO DE LA DIRECCIÓN DE REASENTAMIENTOS DE LA CAJA DE LA VIVIENDA POPULAR, EN EL MARCO DE LA EJECUCIÓN DEL DECRETO NO 457 DE 2017 "POR EL CUAL SE CREA E IMPLEMENTA EL PROGRAMA DE ACOMPAÑAMIENTO PARA LA MITIGACIÓN DE LAS ACCIONES DERIVADAS DE LA RECUPERACIÓN DEL PREDIO DENOMINADO VEREDITAS, UBICADO EN LA LOCALIDAD DE KENNEDY".</v>
          </cell>
          <cell r="R256">
            <v>19961400</v>
          </cell>
          <cell r="S256">
            <v>0</v>
          </cell>
          <cell r="T256">
            <v>0</v>
          </cell>
          <cell r="U256">
            <v>19961400</v>
          </cell>
          <cell r="V256">
            <v>19739607</v>
          </cell>
        </row>
        <row r="257">
          <cell r="J257">
            <v>500</v>
          </cell>
          <cell r="K257">
            <v>43126</v>
          </cell>
          <cell r="L257" t="str">
            <v>CLAUDIA VIVIANA VANEGAS BELTRAN</v>
          </cell>
          <cell r="M257">
            <v>145</v>
          </cell>
          <cell r="N257" t="str">
            <v>CONTRATO DE PRESTACION DE SERVICIOS PROFESIONALES</v>
          </cell>
          <cell r="O257">
            <v>410</v>
          </cell>
          <cell r="P257">
            <v>43126</v>
          </cell>
          <cell r="Q257" t="str">
            <v>Prestación de servicios profesionales, en materia jurídica a la Dirección de Reasentamientos de la Caja de la Vivienda Popular, para el adelantamiento de los procedimientos en virtud de los intereses de la entidad, de conformidad con las normas ma¿s elevadas de competencia, idoneidad e integridad e¿tica y profesional.</v>
          </cell>
          <cell r="R257">
            <v>72100000</v>
          </cell>
          <cell r="S257">
            <v>0</v>
          </cell>
          <cell r="T257">
            <v>0</v>
          </cell>
          <cell r="U257">
            <v>72100000</v>
          </cell>
          <cell r="V257">
            <v>43740667</v>
          </cell>
        </row>
        <row r="258">
          <cell r="J258">
            <v>501</v>
          </cell>
          <cell r="K258">
            <v>43126</v>
          </cell>
          <cell r="L258" t="str">
            <v>MARTHA CAROLINA HERNANDEZ ACEVEDO</v>
          </cell>
          <cell r="M258">
            <v>145</v>
          </cell>
          <cell r="N258" t="str">
            <v>CONTRATO DE PRESTACION DE SERVICIOS PROFESIONALES</v>
          </cell>
          <cell r="O258">
            <v>411</v>
          </cell>
          <cell r="P258">
            <v>43126</v>
          </cell>
          <cell r="Q258" t="str">
            <v>PRESTACIÓN DE SERVICIOS PROFESIONALES PARA ACOMPAÑAR LA EJECUCIÓN DE DIFERENTES ACTIVIDADES RELACIONADAS CON EL COMPONENTE SOCIAL DE LA DIRECCIÓN DE REASENTAMIENTOS DE LA CAJA DE LA VIVIENDA POPULAR, EN EL MARCO DE LA EJECUCIÓN DEL DECRETO NO 457 DE 2017 ¿POR EL CUAL SE CREA E IMPLEMENTA EL PROGRAMA DE ACOMPAÑAMIENTO PARA LA MITIGACIÓN DE LAS ACCIONES DERIVADAS DE LA RECUPERACIÓN DEL PREDIO DENOMINADO VEREDITAS, UBICADO EN LA LOCALIDAD DE KENNEDY.</v>
          </cell>
          <cell r="R258">
            <v>31518000</v>
          </cell>
          <cell r="S258">
            <v>0</v>
          </cell>
          <cell r="T258">
            <v>0</v>
          </cell>
          <cell r="U258">
            <v>31518000</v>
          </cell>
          <cell r="V258">
            <v>26615200</v>
          </cell>
        </row>
        <row r="259">
          <cell r="J259">
            <v>503</v>
          </cell>
          <cell r="K259">
            <v>43126</v>
          </cell>
          <cell r="L259" t="str">
            <v>YESENIA  MIRANDA PACHECO</v>
          </cell>
          <cell r="M259">
            <v>148</v>
          </cell>
          <cell r="N259" t="str">
            <v>CONTRATO DE PRESTACION DE SERVICIOS DE APOYO A LA GESTION</v>
          </cell>
          <cell r="O259">
            <v>412</v>
          </cell>
          <cell r="P259">
            <v>43126</v>
          </cell>
          <cell r="Q259" t="str">
            <v>PRESTACIÓN DE SERVICIOS DE APOYO A LA GESTIÓN EN LAS DIFERENTES ACTIVIDADES RELACIONADAS CON DIGITALIZACIÓN DE FICHAS, GESTIÓN DOCUMENTAL, ARCHIVO Y ESCANEO DE LOS ARCHIVOS CORRESPONDIENTES, EN EL MARCO DE LA EJECUCIÓN DEL DECRETO NO 457 DE 2017. POR MEDIO DEL CUAL SE CREA E IMPLEMENTA EL PROGRAMA DE ACOMPAÑAMIENTO PARA LA MITIGACIÓN DE LAS ACCIONES DERIVADAS DE LA RECUPERACIÓN DEL PREDIO DENOMINADO VEREDITAS, UBICADO EN LA LOCALIDAD DE KENNEDY.</v>
          </cell>
          <cell r="R259">
            <v>10506000</v>
          </cell>
          <cell r="S259">
            <v>0</v>
          </cell>
          <cell r="T259">
            <v>0</v>
          </cell>
          <cell r="U259">
            <v>10506000</v>
          </cell>
          <cell r="V259">
            <v>10506000</v>
          </cell>
        </row>
        <row r="260">
          <cell r="J260">
            <v>505</v>
          </cell>
          <cell r="K260">
            <v>43126</v>
          </cell>
          <cell r="L260" t="str">
            <v>LEYDI JOHANA GONZALEZ URREGO</v>
          </cell>
          <cell r="M260">
            <v>145</v>
          </cell>
          <cell r="N260" t="str">
            <v>CONTRATO DE PRESTACION DE SERVICIOS PROFESIONALES</v>
          </cell>
          <cell r="O260">
            <v>415</v>
          </cell>
          <cell r="P260">
            <v>43126</v>
          </cell>
          <cell r="Q260" t="str">
            <v>Prestación de servicios de profesionales en las diferentes actividades relacionadas con digitalización de fichas, gestión documental, archivo y escaneo de los archivos correspondientes, en el marco de la ejecución del Decreto No 457 de 2017. ¿Por el cual se crea e implementa el programa de acompañamiento para la mitigación de las acciones derivadas de la recuperación del predio denominado VEREDITAS, ubicado en la localidad de Kennedy¿</v>
          </cell>
          <cell r="R260">
            <v>21321000</v>
          </cell>
          <cell r="S260">
            <v>0</v>
          </cell>
          <cell r="T260">
            <v>0</v>
          </cell>
          <cell r="U260">
            <v>21321000</v>
          </cell>
          <cell r="V260">
            <v>21321000</v>
          </cell>
        </row>
        <row r="261">
          <cell r="J261">
            <v>653</v>
          </cell>
          <cell r="K261">
            <v>43136</v>
          </cell>
          <cell r="L261" t="str">
            <v>ALONSO  HERRERA CARPIO</v>
          </cell>
          <cell r="M261">
            <v>31</v>
          </cell>
          <cell r="N261" t="str">
            <v>RESOLUCION</v>
          </cell>
          <cell r="O261">
            <v>116</v>
          </cell>
          <cell r="P261">
            <v>43136</v>
          </cell>
          <cell r="Q261" t="str">
            <v>AYUDA TEMPORAL A LAS FAMILIAS DE VARIAS LOCALIDADES, PARA RELOCALIZACIÓN DE HOGARES LOCALIZADOS EN ZONAS DE ALTO RIESGO NO MITIGABLE ID:2011-4-12695, LOCALIDAD:04 SAN CRISTÓBAL, UPZ:32 SAN BLAS</v>
          </cell>
          <cell r="R261">
            <v>2301678</v>
          </cell>
          <cell r="S261">
            <v>2301678</v>
          </cell>
          <cell r="T261">
            <v>0</v>
          </cell>
          <cell r="U261">
            <v>0</v>
          </cell>
          <cell r="V261">
            <v>0</v>
          </cell>
        </row>
        <row r="262">
          <cell r="J262">
            <v>1555</v>
          </cell>
          <cell r="K262">
            <v>43172</v>
          </cell>
          <cell r="L262" t="str">
            <v>JUAN DAVID CUADROS GARZON</v>
          </cell>
          <cell r="M262">
            <v>145</v>
          </cell>
          <cell r="N262" t="str">
            <v>CONTRATO DE PRESTACION DE SERVICIOS PROFESIONALES</v>
          </cell>
          <cell r="O262">
            <v>537</v>
          </cell>
          <cell r="P262">
            <v>43172</v>
          </cell>
          <cell r="Q262" t="str">
            <v>Pròrroga y Adiciòn al Contrato No 537 de 2017 cuyo objeto es:  Prestación de servicios profesionales para el acompañamiento jurídico en las actuaciones propias que requiera la Dirección de Reasentamientos de la Caja de la Vivienda Popular, en el marco de la ejecución del Decreto No. 457 de 2017 "Por el cual se crea e implementa el programa de acompañamiento para la mitigación de las acciones derivadas de la recuperación del predio denominado VEREDITAS, ubicado en la localidad de Kennedy".</v>
          </cell>
          <cell r="R262">
            <v>12000000</v>
          </cell>
          <cell r="S262">
            <v>0</v>
          </cell>
          <cell r="T262">
            <v>0</v>
          </cell>
          <cell r="U262">
            <v>12000000</v>
          </cell>
          <cell r="V262">
            <v>12000000</v>
          </cell>
        </row>
        <row r="263">
          <cell r="J263">
            <v>1556</v>
          </cell>
          <cell r="K263">
            <v>43172</v>
          </cell>
          <cell r="L263" t="str">
            <v>CONSUELO  NAVAS MARTINEZ</v>
          </cell>
          <cell r="M263">
            <v>145</v>
          </cell>
          <cell r="N263" t="str">
            <v>CONTRATO DE PRESTACION DE SERVICIOS PROFESIONALES</v>
          </cell>
          <cell r="O263">
            <v>536</v>
          </cell>
          <cell r="P263">
            <v>43172</v>
          </cell>
          <cell r="Q263" t="str">
            <v>"PRÒRROGA Y ADICIÒN AL CONTRATO NO 536 DE 2017 CUYO OBJETO ES:  PRESTACIÓN DE SERVICIOS PROFESIONALES PARA EL ACOMPAÑAMIENTO JURÍDICO EN LAS ACTUACIONES PROPIAS QUE REQUIERA LA DIRECCIÓN DE REASENTAMIENTOS DE LA CAJA DE LA VIVIENDA POPULAR, EN EL MARCO DE LA EJECUCIÓN DEL DECRETO NO. 457 DE 2017. "POR EL CUAL SE CREA E IMPLEMENTA EL PROGRAMA DE ACOMPAÑAMIENTO PARA LA MITIGACIÓN DE LAS ACCIONES DERIVADAS DE LA RECUPERACIÓN DEL PREDIO DENOMINADO VEREDITAS, UBICADO EN LA LOCALIDAD DE KENNEDY".</v>
          </cell>
          <cell r="R263">
            <v>15300000</v>
          </cell>
          <cell r="S263">
            <v>0</v>
          </cell>
          <cell r="T263">
            <v>0</v>
          </cell>
          <cell r="U263">
            <v>15300000</v>
          </cell>
          <cell r="V263">
            <v>15300000</v>
          </cell>
        </row>
        <row r="264">
          <cell r="J264">
            <v>1572</v>
          </cell>
          <cell r="K264">
            <v>43173</v>
          </cell>
          <cell r="L264" t="str">
            <v>CINDY MARYORY RAMIREZ DURAN</v>
          </cell>
          <cell r="M264">
            <v>145</v>
          </cell>
          <cell r="N264" t="str">
            <v>CONTRATO DE PRESTACION DE SERVICIOS PROFESIONALES</v>
          </cell>
          <cell r="O264">
            <v>541</v>
          </cell>
          <cell r="P264">
            <v>43173</v>
          </cell>
          <cell r="Q264" t="str">
            <v>Pròrroga y Adiciòn al Contrato No 541 de 2017 cuyo objeto es:  Prestación de servicios profesionales para acompañar la ejecución de diferentes actividades relacionadas con el componente social de la Dirección de Reasentamientos de la Caja de la Vivienda Popular, en el marco de la ejecución del Decreto No. 457 de 2017 "Por el cual se crea e implementa el programa de acompañamiento para la mitigación de las acciones derivadas de la recuperación del predio denominado VEREDITAS, ubicado en la localidad de Kennedy.</v>
          </cell>
          <cell r="R264">
            <v>9900000</v>
          </cell>
          <cell r="S264">
            <v>0</v>
          </cell>
          <cell r="T264">
            <v>0</v>
          </cell>
          <cell r="U264">
            <v>9900000</v>
          </cell>
          <cell r="V264">
            <v>9900000</v>
          </cell>
        </row>
        <row r="265">
          <cell r="J265">
            <v>1573</v>
          </cell>
          <cell r="K265">
            <v>43173</v>
          </cell>
          <cell r="L265" t="str">
            <v>LINA YESSENIA CAMPOS PASTRAN</v>
          </cell>
          <cell r="M265">
            <v>145</v>
          </cell>
          <cell r="N265" t="str">
            <v>CONTRATO DE PRESTACION DE SERVICIOS PROFESIONALES</v>
          </cell>
          <cell r="O265">
            <v>540</v>
          </cell>
          <cell r="P265">
            <v>43173</v>
          </cell>
          <cell r="Q265" t="str">
            <v>Pròrroga y Adiciòn al Contrato No 540 de 2017 cuyo objeto es:   Prestación de servicios profesionales para acompañar la ejecución de diferentes actividades relacionadas con el componente social de la Dirección de Reasentamientos de la Caja de la Vivienda Popular, en el marco de la ejecución del Decreto No. 457 de 2017 "Por el cual se crea e implementa el programa de acompañamiento para la mitigación de las acciones derivadas de la recuperación del predio denominado VEREDITAS, ubicado en la localidad de Kennedy</v>
          </cell>
          <cell r="R265">
            <v>16500000</v>
          </cell>
          <cell r="S265">
            <v>0</v>
          </cell>
          <cell r="T265">
            <v>0</v>
          </cell>
          <cell r="U265">
            <v>16500000</v>
          </cell>
          <cell r="V265">
            <v>16500000</v>
          </cell>
        </row>
        <row r="266">
          <cell r="J266">
            <v>1574</v>
          </cell>
          <cell r="K266">
            <v>43173</v>
          </cell>
          <cell r="L266" t="str">
            <v>MARIA CRISTINA FLORIAN RODRIGUEZ</v>
          </cell>
          <cell r="M266">
            <v>145</v>
          </cell>
          <cell r="N266" t="str">
            <v>CONTRATO DE PRESTACION DE SERVICIOS PROFESIONALES</v>
          </cell>
          <cell r="O266">
            <v>539</v>
          </cell>
          <cell r="P266">
            <v>43173</v>
          </cell>
          <cell r="Q266" t="str">
            <v>"Pròrroga y Adiciòn al Contrato No 539 de 2017 cuyo objeto es:  Prestación de servicios profesionales para el acompañamiento en la ejecución de las diferentes actividades relacionadas con el componente técnico de la Dirección de Reasentamientos de la Caja de la Vivienda Popular, en el marco de la ejecución del Decreto No. 457 de 2017 "Por el cual se crea e implementa el programa de acompañamiento para la mitigación de las acciones derivadas de la recuperación del predio denominado VEREDITAS, ubicado en la localidad de Kennedy".</v>
          </cell>
          <cell r="R266">
            <v>14670000</v>
          </cell>
          <cell r="S266">
            <v>0</v>
          </cell>
          <cell r="T266">
            <v>0</v>
          </cell>
          <cell r="U266">
            <v>14670000</v>
          </cell>
          <cell r="V266">
            <v>14670000</v>
          </cell>
        </row>
        <row r="267">
          <cell r="J267">
            <v>1575</v>
          </cell>
          <cell r="K267">
            <v>43173</v>
          </cell>
          <cell r="L267" t="str">
            <v>DIANA CAROLINA RATIVA SANTAFE</v>
          </cell>
          <cell r="M267">
            <v>145</v>
          </cell>
          <cell r="N267" t="str">
            <v>CONTRATO DE PRESTACION DE SERVICIOS PROFESIONALES</v>
          </cell>
          <cell r="O267">
            <v>534</v>
          </cell>
          <cell r="P267">
            <v>43173</v>
          </cell>
          <cell r="Q267" t="str">
            <v>Pròrroga y Adiciòn al Contrato No 534 de 2017 cuyo objeto es:  Prestación de servicios profesionales para el acompañamiento en la ejecución de las diferentes actividades relacionadas con el componente técnico de la Dirección de Reasentamientos de la Caja de la Vivienda Popular, en el marco de la ejecución del Decreto No. 457 de 2017 "por el cual se crea e implementa el programa de acompañamiento para la mitigación de las acciones derivadas de la recuperación del predio denominado VEREDITAS, ubicado en la localidad de Kennedy".</v>
          </cell>
          <cell r="R267">
            <v>15300000</v>
          </cell>
          <cell r="S267">
            <v>0</v>
          </cell>
          <cell r="T267">
            <v>0</v>
          </cell>
          <cell r="U267">
            <v>15300000</v>
          </cell>
          <cell r="V267">
            <v>15300000</v>
          </cell>
        </row>
        <row r="268">
          <cell r="J268">
            <v>1576</v>
          </cell>
          <cell r="K268">
            <v>43173</v>
          </cell>
          <cell r="L268" t="str">
            <v>MARIA DEL PILAR FERNANDEZ GARCIA</v>
          </cell>
          <cell r="M268">
            <v>145</v>
          </cell>
          <cell r="N268" t="str">
            <v>CONTRATO DE PRESTACION DE SERVICIOS PROFESIONALES</v>
          </cell>
          <cell r="O268">
            <v>542</v>
          </cell>
          <cell r="P268">
            <v>43173</v>
          </cell>
          <cell r="Q268" t="str">
            <v>PRÒRROGA Y ADICIÒN AL CONTRATO NO 542 DE 2017 CUYO OBJETO ES:   PRESTACIÓN DE SERVICIOS PROFESIONALES PARA ACOMPAÑAR LA EJECUCIÓN DE DIFERENTES ACTIVIDADES RELACIONADAS CON EL COMPONENTE SOCIAL DE LA DIRECCIÓN DE REASENTAMIENTOS DE LA CAJA DE LA VIVIENDA POPULAR, EN EL MARCO DE LA EJECUCIÓN DEL DECRETO NO. 457 DE 2017 "POR EL CUAL SE CREA E IMPLEMENTA EL PROGRAMA DE ACOMPAÑAMIENTO PARA LA MITIGACIÓN DE LAS ACCIONES DERIVADAS DE LA RECUPERACIÓN DEL PREDIO DENOMINADO VEREDITAS, UBICADO EN LA LOCALIDAD DE KENNEDY".</v>
          </cell>
          <cell r="R268">
            <v>15300000</v>
          </cell>
          <cell r="S268">
            <v>0</v>
          </cell>
          <cell r="T268">
            <v>0</v>
          </cell>
          <cell r="U268">
            <v>15300000</v>
          </cell>
          <cell r="V268">
            <v>15300000</v>
          </cell>
        </row>
        <row r="269">
          <cell r="J269">
            <v>1591</v>
          </cell>
          <cell r="K269">
            <v>43175</v>
          </cell>
          <cell r="L269" t="str">
            <v>NATALIA ANDREA MELENDEZ MONTENEGRO</v>
          </cell>
          <cell r="M269">
            <v>145</v>
          </cell>
          <cell r="N269" t="str">
            <v>CONTRATO DE PRESTACION DE SERVICIOS PROFESIONALES</v>
          </cell>
          <cell r="O269">
            <v>549</v>
          </cell>
          <cell r="P269">
            <v>43175</v>
          </cell>
          <cell r="Q269" t="str">
            <v>Pròrroga y Adiciòn al Contrato No 549 de 2017 cuyo objeto es:  Prestación de servicios profesionales para acompañar la ejecución de diferentes actividades relacionadas con el componente social de la Dirección de Reasentamientos de la Caja de la Vivienda Popular, en el marco de la ejecución del Decreto No. 457 de 2017 "Por el cual se crea e implementa el programa de acompañamiento para la mitigación de las acciones derivadas de la recuperación del predio denominado VEREDITAS, ubicado en la localidad de Kennedy</v>
          </cell>
          <cell r="R269">
            <v>9900000</v>
          </cell>
          <cell r="S269">
            <v>0</v>
          </cell>
          <cell r="T269">
            <v>0</v>
          </cell>
          <cell r="U269">
            <v>9900000</v>
          </cell>
          <cell r="V269">
            <v>9900000</v>
          </cell>
        </row>
        <row r="270">
          <cell r="J270">
            <v>1592</v>
          </cell>
          <cell r="K270">
            <v>43175</v>
          </cell>
          <cell r="L270" t="str">
            <v>LILIANA  MACHADO BOTERO</v>
          </cell>
          <cell r="M270">
            <v>145</v>
          </cell>
          <cell r="N270" t="str">
            <v>CONTRATO DE PRESTACION DE SERVICIOS PROFESIONALES</v>
          </cell>
          <cell r="O270">
            <v>545</v>
          </cell>
          <cell r="P270">
            <v>43175</v>
          </cell>
          <cell r="Q270" t="str">
            <v>"Pròrroga y Adiciòn al Contrato No 545 de 2017 cuyo objeto es:   Prestación de servicios profesionales para acompañar la ejecución de diferentes actividades relacionadas con el componente social de la Dirección de Reasentamientos de la Caja de la Vivienda Popular, en el marco de la ejecución del Decreto No. 457 de 2017 "Por el cual se crea e implementa el programa de acompañamiento para la mitigación de las acciones derivadas de la recuperación del predio denominado VEREDITAS, ubicado en la localidad de Kennedy".</v>
          </cell>
          <cell r="R270">
            <v>15300000</v>
          </cell>
          <cell r="S270">
            <v>0</v>
          </cell>
          <cell r="T270">
            <v>0</v>
          </cell>
          <cell r="U270">
            <v>15300000</v>
          </cell>
          <cell r="V270">
            <v>15300000</v>
          </cell>
        </row>
        <row r="271">
          <cell r="J271">
            <v>1593</v>
          </cell>
          <cell r="K271">
            <v>43175</v>
          </cell>
          <cell r="L271" t="str">
            <v>SEBASTIAN  HERRERA RAMOS</v>
          </cell>
          <cell r="M271">
            <v>145</v>
          </cell>
          <cell r="N271" t="str">
            <v>CONTRATO DE PRESTACION DE SERVICIOS PROFESIONALES</v>
          </cell>
          <cell r="O271">
            <v>546</v>
          </cell>
          <cell r="P271">
            <v>43175</v>
          </cell>
          <cell r="Q271" t="str">
            <v>"Pròrroga y Adiciòn al Contrato No 546 de 2017 cuyo objeto es: Prestación de servicios profesionales para el acompañamiento en la ejecución de las diferentes actividades relacionadas con el componente técnico de la Dirección de Reasentamientos de la Caja de la Vivienda Popular, en el marco de la ejecución del Decreto No. 457 de 2017 "Por el cual se crea e implementa el programa de acompañamiento para la mitigación de las acciones derivadas de la recuperación del predio denominado VEREDITAS, ubicado en la localidad de Kennedy".</v>
          </cell>
          <cell r="R271">
            <v>10350000</v>
          </cell>
          <cell r="S271">
            <v>0</v>
          </cell>
          <cell r="T271">
            <v>0</v>
          </cell>
          <cell r="U271">
            <v>10350000</v>
          </cell>
          <cell r="V271">
            <v>10350000</v>
          </cell>
        </row>
        <row r="272">
          <cell r="J272">
            <v>1594</v>
          </cell>
          <cell r="K272">
            <v>43175</v>
          </cell>
          <cell r="L272" t="str">
            <v>MARISOL  DELGADO FANDIÑO</v>
          </cell>
          <cell r="M272">
            <v>145</v>
          </cell>
          <cell r="N272" t="str">
            <v>CONTRATO DE PRESTACION DE SERVICIOS PROFESIONALES</v>
          </cell>
          <cell r="O272">
            <v>543</v>
          </cell>
          <cell r="P272">
            <v>43175</v>
          </cell>
          <cell r="Q272" t="str">
            <v>Pròrroga y Adiciòn al Contrato No 543 de 2017 cuyo objeto es:  Prestación de servicios profesionales para el acompañamiento jurídico en las actuaciones propias que requiera la Dirección de Reasentamientos de la Caja de la Vivienda Popular, en el marco de la ejecución del Decreto No. 457 de 2017 "Por el cual se crea e implementa el programa de acompañamiento para la mitigación de las acciones derivadas de la recuperación del predio denominado VEREDITAS, ubicado en la localidad de Kennedy</v>
          </cell>
          <cell r="R272">
            <v>9900000</v>
          </cell>
          <cell r="S272">
            <v>0</v>
          </cell>
          <cell r="T272">
            <v>0</v>
          </cell>
          <cell r="U272">
            <v>9900000</v>
          </cell>
          <cell r="V272">
            <v>9900000</v>
          </cell>
        </row>
        <row r="273">
          <cell r="J273">
            <v>1595</v>
          </cell>
          <cell r="K273">
            <v>43175</v>
          </cell>
          <cell r="L273" t="str">
            <v>CINDY LORENA MONROY OSSA</v>
          </cell>
          <cell r="M273">
            <v>145</v>
          </cell>
          <cell r="N273" t="str">
            <v>CONTRATO DE PRESTACION DE SERVICIOS PROFESIONALES</v>
          </cell>
          <cell r="O273">
            <v>551</v>
          </cell>
          <cell r="P273">
            <v>43175</v>
          </cell>
          <cell r="Q273" t="str">
            <v>PRÒRROGA Y ADICIÒN AL CONTRATO NO 551 DE 2017 CUYO OBJETO ES:  PRESTACIÓN DE SERVICIOS PROFESIONALES PARA ACOMPAÑAR LA EJECUCIÓN DE DIFERENTES ACTIVIDADES RELACIONADAS CON EL COMPONENTE SOCIAL DE LA DIRECCIÓN DE REASENTAMIENTOS DE LA CAJA DE LA VIVIENDA POPULAR, EN EL MARCO DE LA EJECUCIÓN DEL DECRETO NO. 457 DE 2017 "POR EL CUAL SE CREA E IMPLEMENTA EL PROGRAMA DE ACOMPAÑAMIENTO PARA LA MITIGACIÓN DE LAS ACCIONES DERIVADAS DE LA RECUPERACIÓN DEL PREDIO DENOMINADO VEREDITAS, UBICADO EN LA LOCALIDAD DE KENNEDY".</v>
          </cell>
          <cell r="R273">
            <v>12000000</v>
          </cell>
          <cell r="S273">
            <v>0</v>
          </cell>
          <cell r="T273">
            <v>0</v>
          </cell>
          <cell r="U273">
            <v>12000000</v>
          </cell>
          <cell r="V273">
            <v>5733333</v>
          </cell>
        </row>
        <row r="274">
          <cell r="J274">
            <v>1596</v>
          </cell>
          <cell r="K274">
            <v>43175</v>
          </cell>
          <cell r="L274" t="str">
            <v>OSCAR  ROBAYO ULLOA</v>
          </cell>
          <cell r="M274">
            <v>145</v>
          </cell>
          <cell r="N274" t="str">
            <v>CONTRATO DE PRESTACION DE SERVICIOS PROFESIONALES</v>
          </cell>
          <cell r="O274">
            <v>544</v>
          </cell>
          <cell r="P274">
            <v>43175</v>
          </cell>
          <cell r="Q274" t="str">
            <v>"Pròrroga y Adiciòn al Contrato No 544 de 2017 cuyo objeto es:   Prestación de servicios profesionales para el acompañamiento en la ejecución de las diferentes actividades relacionadas con el componente técnico de la Dirección de Reasentamientos de la Caja de la Vivienda Popular, en el marco de la ejecución del Decreto No. 457 de 2017 "Por el cual se crea e implementa el programa de acompañamiento para la mitigación de las acciones derivadas de la recuperación del predio denominado VEREDITAS, ubicado en la localidad de Kennedy".</v>
          </cell>
          <cell r="R274">
            <v>15300000</v>
          </cell>
          <cell r="S274">
            <v>0</v>
          </cell>
          <cell r="T274">
            <v>0</v>
          </cell>
          <cell r="U274">
            <v>15300000</v>
          </cell>
          <cell r="V274">
            <v>15300000</v>
          </cell>
        </row>
        <row r="275">
          <cell r="J275">
            <v>1597</v>
          </cell>
          <cell r="K275">
            <v>43175</v>
          </cell>
          <cell r="L275" t="str">
            <v>LUZ CECILIA MARTINEZ MOSQUERA</v>
          </cell>
          <cell r="M275">
            <v>145</v>
          </cell>
          <cell r="N275" t="str">
            <v>CONTRATO DE PRESTACION DE SERVICIOS PROFESIONALES</v>
          </cell>
          <cell r="O275">
            <v>552</v>
          </cell>
          <cell r="P275">
            <v>43175</v>
          </cell>
          <cell r="Q275" t="str">
            <v>PRÒRROGA Y ADICIÒN AL CONTRATO NO 552 DE 2017 CUYO OBJETO ES:  PRESTACIÓN DE SERVICIOS PROFESIONALES PARA EL ACOMPAÑAMIENTO EN LA EJECUCIÓN DE LAS DIFERENTES ACTIVIDADES RELACIONADAS CON EL COMPONENTE TÉCNICO DE LA DIRECCIÓN DE REASENTAMIENTOS DE LA CAJA DE LA VIVIENDA POPULAR, EN EL MARCO DE LA EJECUCIÓN DEL DECRETO NO. 457 DE 2017 "POR EL CUAL SE CREA E IMPLEMENTA EL PROGRAMA DE ACOMPAÑAMIENTO PARA LA MITIGACIÓN DE LAS ACCIONES DERIVADAS DE LA RECUPERACIÓN DEL PREDIO DENOMINADO VEREDITAS, UBICADO EN LA LOCALIDAD DE KENNEDY.</v>
          </cell>
          <cell r="R275">
            <v>12000000</v>
          </cell>
          <cell r="S275">
            <v>0</v>
          </cell>
          <cell r="T275">
            <v>0</v>
          </cell>
          <cell r="U275">
            <v>12000000</v>
          </cell>
          <cell r="V275">
            <v>12000000</v>
          </cell>
        </row>
        <row r="276">
          <cell r="J276">
            <v>1598</v>
          </cell>
          <cell r="K276">
            <v>43175</v>
          </cell>
          <cell r="L276" t="str">
            <v>MARIA CAROLINA ALVAREZ TECANO</v>
          </cell>
          <cell r="M276">
            <v>145</v>
          </cell>
          <cell r="N276" t="str">
            <v>CONTRATO DE PRESTACION DE SERVICIOS PROFESIONALES</v>
          </cell>
          <cell r="O276">
            <v>558</v>
          </cell>
          <cell r="P276">
            <v>43175</v>
          </cell>
          <cell r="Q276" t="str">
            <v>Pròrroga y Adiciòn al Contrato No 558 de 2017 cuyo objeto es: Prestación de servicios profesionales para acompañar la ejecución de diferentes actividades relacionadas con el componente social de la Dirección de Reasentamientos de la Caja de la Vivienda Popular, en el marco de la ejecución del Decreto No. 457 de 2017 "Por el cual se crea e implementa el programa de acompañamiento para la mitigación de las acciones derivadas de la recuperación del predio denominado VEREDITAS, ubicado en la localidad de Kennedy</v>
          </cell>
          <cell r="R276">
            <v>10350000</v>
          </cell>
          <cell r="S276">
            <v>0</v>
          </cell>
          <cell r="T276">
            <v>0</v>
          </cell>
          <cell r="U276">
            <v>10350000</v>
          </cell>
          <cell r="V276">
            <v>10350000</v>
          </cell>
        </row>
        <row r="277">
          <cell r="J277">
            <v>1599</v>
          </cell>
          <cell r="K277">
            <v>43175</v>
          </cell>
          <cell r="L277" t="str">
            <v>MARISOL  AMAYA OVIEDO</v>
          </cell>
          <cell r="M277">
            <v>145</v>
          </cell>
          <cell r="N277" t="str">
            <v>CONTRATO DE PRESTACION DE SERVICIOS PROFESIONALES</v>
          </cell>
          <cell r="O277">
            <v>554</v>
          </cell>
          <cell r="P277">
            <v>43175</v>
          </cell>
          <cell r="Q277" t="str">
            <v>PRÒRROGA Y ADICIÒN AL CONTRATO NO 554 DE 2017 CUYO OBJETO ES: PRESTACIÓN DE SERVICIOS PROFESIONALES PARA ACOMPAÑAR LA EJECUCIÓN DE DIFERENTES ACTIVIDADES RELACIONADAS CON EL COMPONENTE SOCIAL DE LA DIRECCIÓN DE REASENTAMIENTOS DE LA CAJA DE LA VIVIENDA POPULAR, EN EL MARCO DE LA EJECUCIÓN DEL DECRETO NO. 457 DE 2017 "POR EL CUAL SE CREA E IMPLEMENTA EL PROGRAMA DE ACOMPAÑAMIENTO PARA LA MITIGACIÓN DE LAS ACCIONES DERIVADAS DE LA RECUPERACIÓN DEL PREDIO DENOMINADO VEREDITAS, UBICADO EN LA LOCALIDAD DE KENNEDY".</v>
          </cell>
          <cell r="R277">
            <v>15300000</v>
          </cell>
          <cell r="S277">
            <v>0</v>
          </cell>
          <cell r="T277">
            <v>0</v>
          </cell>
          <cell r="U277">
            <v>15300000</v>
          </cell>
          <cell r="V277">
            <v>15300000</v>
          </cell>
        </row>
        <row r="278">
          <cell r="J278">
            <v>1612</v>
          </cell>
          <cell r="K278">
            <v>43181</v>
          </cell>
          <cell r="L278" t="str">
            <v>GINA ESTEPHANIA LESCANO NIÑO</v>
          </cell>
          <cell r="M278">
            <v>145</v>
          </cell>
          <cell r="N278" t="str">
            <v>CONTRATO DE PRESTACION DE SERVICIOS PROFESIONALES</v>
          </cell>
          <cell r="O278">
            <v>561</v>
          </cell>
          <cell r="P278">
            <v>43181</v>
          </cell>
          <cell r="Q278" t="str">
            <v>"Pròrroga y Adiciòn al Contrato No 561 de 2017 cuyo objeto es: Prestación de servicios profesionales para el acompañamiento jurídico en las actuaciones propias que requiera la Dirección de Reasentamientos de la Caja de la Vivienda Popular, en el marco de la ejecución del Decreto No. 457 de 2017 "Por el cual se crea e implementa el programa de acompañamiento para la mitigación de las acciones derivadas de la recuperación del predio denominado VEREDITAS, ubicado en la localidad de Kennedy".</v>
          </cell>
          <cell r="R278">
            <v>10350000</v>
          </cell>
          <cell r="S278">
            <v>0</v>
          </cell>
          <cell r="T278">
            <v>0</v>
          </cell>
          <cell r="U278">
            <v>10350000</v>
          </cell>
          <cell r="V278">
            <v>10350000</v>
          </cell>
        </row>
        <row r="279">
          <cell r="J279">
            <v>1639</v>
          </cell>
          <cell r="K279">
            <v>43182</v>
          </cell>
          <cell r="L279" t="str">
            <v>MANUEL CAMILO MARTINEZ OSORIO</v>
          </cell>
          <cell r="M279">
            <v>148</v>
          </cell>
          <cell r="N279" t="str">
            <v>CONTRATO DE PRESTACION DE SERVICIOS DE APOYO A LA GESTION</v>
          </cell>
          <cell r="O279">
            <v>569</v>
          </cell>
          <cell r="P279">
            <v>43182</v>
          </cell>
          <cell r="Q279" t="str">
            <v>Pròrroga y Adiciòn al Contrato No 569 de 2017 cuyo objeto es:  Prestación de servicios de apoyo a la gestión para el acompañamiento en la ejecución de las diferentes actividades relacionadas con el componente técnico de la Dirección de Reasentamientos de la Caja de la Vivienda Popular, en el marco de la ejecución del Decreto No. 457 de 2017 "Por el cual se crea e implementa el programa de acompañamiento para la mitigación de las acciones derivadas de la recuperación del predio denominado VEREDITAS, ubicado en la localidad de Kennedy".Cordialmente,</v>
          </cell>
          <cell r="R279">
            <v>7200000</v>
          </cell>
          <cell r="S279">
            <v>0</v>
          </cell>
          <cell r="T279">
            <v>0</v>
          </cell>
          <cell r="U279">
            <v>7200000</v>
          </cell>
          <cell r="V279">
            <v>5200000</v>
          </cell>
        </row>
        <row r="280">
          <cell r="J280">
            <v>1754</v>
          </cell>
          <cell r="K280">
            <v>43200</v>
          </cell>
          <cell r="L280" t="str">
            <v>FRANCY PAOLA CRUZ ARDILA</v>
          </cell>
          <cell r="M280">
            <v>145</v>
          </cell>
          <cell r="N280" t="str">
            <v>CONTRATO DE PRESTACION DE SERVICIOS PROFESIONALES</v>
          </cell>
          <cell r="O280">
            <v>548</v>
          </cell>
          <cell r="P280">
            <v>43200</v>
          </cell>
          <cell r="Q280" t="str">
            <v>PRÒRROGA Y ADICIÒN AL CONTRATO NO 548 DE 2017 CUYO OBJETO ES: PRESTACIÓN DE SERVICIOS PROFESIONALES PARA ACOMPAÑAR LA EJECUCIÓN DE DIFERENTES ACTIVIDADES RELACIONADAS CON EL COMPONENTE SOCIAL DE LA DIRECCIÓN DE REASENTAMIENTOS DE LA CAJA DE LA VIVIENDA POPULAR, EN EL MARCO DE LA EJECUCIÓN DEL DECRETO NO. 457 DE 2017 "POR EL CUAL SE CREA E IMPLEMENTA EL PROGRAMA DE ACOMPAÑAMIENTO PARA LA MITIGACIÓN DE LAS ACCIONES DERIVADAS DE LA RECUPERACIÓN DEL PREDIO DENOMINADO VEREDITAS, UBICADO EN LA LOCALIDAD DE KENNEDY".</v>
          </cell>
          <cell r="R280">
            <v>15300000</v>
          </cell>
          <cell r="S280">
            <v>0</v>
          </cell>
          <cell r="T280">
            <v>0</v>
          </cell>
          <cell r="U280">
            <v>15300000</v>
          </cell>
          <cell r="V280">
            <v>15300000</v>
          </cell>
        </row>
        <row r="281">
          <cell r="J281">
            <v>2403</v>
          </cell>
          <cell r="K281">
            <v>43280</v>
          </cell>
          <cell r="L281" t="str">
            <v>UNIDAD ADMINISTRATIVA ESPECIAL DE CATASTRO DISTRITAL</v>
          </cell>
          <cell r="M281">
            <v>21</v>
          </cell>
          <cell r="N281" t="str">
            <v>CONVENIO INTERADMINISTRATIVO</v>
          </cell>
          <cell r="O281">
            <v>436</v>
          </cell>
          <cell r="P281">
            <v>43280</v>
          </cell>
          <cell r="Q281" t="str">
            <v>Realizar los avalúos comerciales y las tasaciones de daño emergente y lucro cesante de los predios que hacen parte de la acción popular 2009-0036 sector " Perpetuo Socorro" Localidad 08-Kennedy.</v>
          </cell>
          <cell r="R281">
            <v>59220487</v>
          </cell>
          <cell r="S281">
            <v>59220487</v>
          </cell>
          <cell r="T281">
            <v>0</v>
          </cell>
          <cell r="U281">
            <v>0</v>
          </cell>
          <cell r="V281">
            <v>0</v>
          </cell>
        </row>
        <row r="282">
          <cell r="J282">
            <v>2404</v>
          </cell>
          <cell r="K282">
            <v>43280</v>
          </cell>
          <cell r="L282" t="str">
            <v>UNIDAD ADMINISTRATIVA ESPECIAL DE CATASTRO DISTRITAL</v>
          </cell>
          <cell r="M282">
            <v>11</v>
          </cell>
          <cell r="N282" t="str">
            <v>CONTRATOS INTERADMINISTRATIVOS</v>
          </cell>
          <cell r="O282">
            <v>436</v>
          </cell>
          <cell r="P282">
            <v>43280</v>
          </cell>
          <cell r="Q282" t="str">
            <v>Realizar los avalúos comerciales y las tasaciones de daño emergente y lucro cesante de los predios que hacen parte de la acción popular 2009-0036 sector " Perpetuo Socorro" Localidad 08-Kennedy.</v>
          </cell>
          <cell r="R282">
            <v>59220487</v>
          </cell>
          <cell r="S282">
            <v>0</v>
          </cell>
          <cell r="T282">
            <v>0</v>
          </cell>
          <cell r="U282">
            <v>59220487</v>
          </cell>
          <cell r="V282">
            <v>0</v>
          </cell>
        </row>
        <row r="283">
          <cell r="J283">
            <v>2553</v>
          </cell>
          <cell r="K283">
            <v>43313</v>
          </cell>
          <cell r="L283" t="str">
            <v>ELIA BEATRIZ SAMPAYO MEZA</v>
          </cell>
          <cell r="M283">
            <v>145</v>
          </cell>
          <cell r="N283" t="str">
            <v>CONTRATO DE PRESTACION DE SERVICIOS PROFESIONALES</v>
          </cell>
          <cell r="O283">
            <v>472</v>
          </cell>
          <cell r="P283">
            <v>43313</v>
          </cell>
          <cell r="Q283" t="str">
            <v>Prestar sus servicios profesionales como enlace entre la Dirección Técnica de Reasentamientos y La Dirección Jurídica, para el desarrollo de actividades jurídicas relacionadas con los procedimientos, actuaciones, competencias y trámites en general que se encuentren a cargo de Reasentamientos.</v>
          </cell>
          <cell r="R283">
            <v>17767500</v>
          </cell>
          <cell r="S283">
            <v>0</v>
          </cell>
          <cell r="T283">
            <v>0</v>
          </cell>
          <cell r="U283">
            <v>17767500</v>
          </cell>
          <cell r="V283">
            <v>0</v>
          </cell>
        </row>
        <row r="284">
          <cell r="J284">
            <v>2677</v>
          </cell>
          <cell r="K284">
            <v>43329</v>
          </cell>
          <cell r="L284" t="str">
            <v>CAROLINA MARIA QUIMBAYA NOCHES</v>
          </cell>
          <cell r="M284">
            <v>145</v>
          </cell>
          <cell r="N284" t="str">
            <v>CONTRATO DE PRESTACION DE SERVICIOS PROFESIONALES</v>
          </cell>
          <cell r="O284">
            <v>505</v>
          </cell>
          <cell r="P284">
            <v>43329</v>
          </cell>
          <cell r="Q284" t="str">
            <v>Prestación de servicios profesionales en el componente social de la Dirección de Reasentamientos de la Caja de la Vivienda Popular, para la ejecución de planes y programas agenciados por el área misional.</v>
          </cell>
          <cell r="R284">
            <v>18540000</v>
          </cell>
          <cell r="S284">
            <v>0</v>
          </cell>
          <cell r="T284">
            <v>0</v>
          </cell>
          <cell r="U284">
            <v>18540000</v>
          </cell>
          <cell r="V284">
            <v>0</v>
          </cell>
        </row>
        <row r="285">
          <cell r="J285">
            <v>2706</v>
          </cell>
          <cell r="K285">
            <v>43334</v>
          </cell>
          <cell r="L285" t="str">
            <v>DORIS JOHANNA NOVOA LOZANO</v>
          </cell>
          <cell r="M285">
            <v>145</v>
          </cell>
          <cell r="N285" t="str">
            <v>CONTRATO DE PRESTACION DE SERVICIOS PROFESIONALES</v>
          </cell>
          <cell r="O285">
            <v>514</v>
          </cell>
          <cell r="P285">
            <v>43334</v>
          </cell>
          <cell r="Q285" t="str">
            <v>Prestación de servicios profesionales para el acompañamiento jurídico en las actuaciones propias que requiera la Dirección de Reasentamientos de la Caja de la Vivienda Popular.</v>
          </cell>
          <cell r="R285">
            <v>22660000</v>
          </cell>
          <cell r="S285">
            <v>0</v>
          </cell>
          <cell r="T285">
            <v>0</v>
          </cell>
          <cell r="U285">
            <v>22660000</v>
          </cell>
          <cell r="V285">
            <v>0</v>
          </cell>
        </row>
        <row r="286">
          <cell r="J286">
            <v>2707</v>
          </cell>
          <cell r="K286">
            <v>43334</v>
          </cell>
          <cell r="L286" t="str">
            <v>CONSUELO  NAVAS MARTINEZ</v>
          </cell>
          <cell r="M286">
            <v>145</v>
          </cell>
          <cell r="N286" t="str">
            <v>CONTRATO DE PRESTACION DE SERVICIOS PROFESIONALES</v>
          </cell>
          <cell r="O286">
            <v>515</v>
          </cell>
          <cell r="P286">
            <v>43334</v>
          </cell>
          <cell r="Q286" t="str">
            <v>Prestación de servicios profesionales para el acompañamiento jurídico en las actuaciones propias que requiera la Dirección de Reasentamientos de la Caja de la Vivienda Popular.</v>
          </cell>
          <cell r="R286">
            <v>21012000</v>
          </cell>
          <cell r="S286">
            <v>0</v>
          </cell>
          <cell r="T286">
            <v>0</v>
          </cell>
          <cell r="U286">
            <v>21012000</v>
          </cell>
          <cell r="V286">
            <v>0</v>
          </cell>
        </row>
        <row r="287">
          <cell r="J287">
            <v>2708</v>
          </cell>
          <cell r="K287">
            <v>43334</v>
          </cell>
          <cell r="L287" t="str">
            <v>NARDA XIMENA HERNANDEZ MARTINEZ</v>
          </cell>
          <cell r="M287">
            <v>145</v>
          </cell>
          <cell r="N287" t="str">
            <v>CONTRATO DE PRESTACION DE SERVICIOS PROFESIONALES</v>
          </cell>
          <cell r="O287">
            <v>516</v>
          </cell>
          <cell r="P287">
            <v>43334</v>
          </cell>
          <cell r="Q287" t="str">
            <v>Prestación de servicios profesionales en el componente social de la Dirección de Reasentamientos de la Caja de la Vivienda Popular, para la ejecución de planes y programas agenciados por el área misional.</v>
          </cell>
          <cell r="R287">
            <v>21012000</v>
          </cell>
          <cell r="S287">
            <v>0</v>
          </cell>
          <cell r="T287">
            <v>0</v>
          </cell>
          <cell r="U287">
            <v>21012000</v>
          </cell>
          <cell r="V287">
            <v>0</v>
          </cell>
        </row>
        <row r="288">
          <cell r="J288">
            <v>2709</v>
          </cell>
          <cell r="K288">
            <v>43334</v>
          </cell>
          <cell r="L288" t="str">
            <v>RICARDO  PARDO PINZON</v>
          </cell>
          <cell r="M288">
            <v>145</v>
          </cell>
          <cell r="N288" t="str">
            <v>CONTRATO DE PRESTACION DE SERVICIOS PROFESIONALES</v>
          </cell>
          <cell r="O288">
            <v>513</v>
          </cell>
          <cell r="P288">
            <v>43334</v>
          </cell>
          <cell r="Q288" t="str">
            <v>Prestación de servicios profesionales en el componente social de la Dirección de Reasentamientos de la Caja de la Vivienda Popular, para la ejecución de planes y programas agenciados por el área misional.</v>
          </cell>
          <cell r="R288">
            <v>28840000</v>
          </cell>
          <cell r="S288">
            <v>0</v>
          </cell>
          <cell r="T288">
            <v>0</v>
          </cell>
          <cell r="U288">
            <v>28840000</v>
          </cell>
          <cell r="V288">
            <v>0</v>
          </cell>
        </row>
        <row r="289">
          <cell r="J289">
            <v>2710</v>
          </cell>
          <cell r="K289">
            <v>43334</v>
          </cell>
          <cell r="L289" t="str">
            <v>LIZETH YANIRA ARDILA MUÑOZ</v>
          </cell>
          <cell r="M289">
            <v>145</v>
          </cell>
          <cell r="N289" t="str">
            <v>CONTRATO DE PRESTACION DE SERVICIOS PROFESIONALES</v>
          </cell>
          <cell r="O289">
            <v>511</v>
          </cell>
          <cell r="P289">
            <v>43334</v>
          </cell>
          <cell r="Q289" t="str">
            <v>Prestación de servicios profesionales para el acompañamiento jurídico en las actuaciones propias que requiera la Dirección de Reasentamientos de la Caja de la Vivienda Popular.</v>
          </cell>
          <cell r="R289">
            <v>14214000</v>
          </cell>
          <cell r="S289">
            <v>0</v>
          </cell>
          <cell r="T289">
            <v>0</v>
          </cell>
          <cell r="U289">
            <v>14214000</v>
          </cell>
          <cell r="V289">
            <v>0</v>
          </cell>
        </row>
        <row r="290">
          <cell r="J290">
            <v>2711</v>
          </cell>
          <cell r="K290">
            <v>43334</v>
          </cell>
          <cell r="L290" t="str">
            <v>MARIA CAROLINA ALVAREZ TECANO</v>
          </cell>
          <cell r="M290">
            <v>145</v>
          </cell>
          <cell r="N290" t="str">
            <v>CONTRATO DE PRESTACION DE SERVICIOS PROFESIONALES</v>
          </cell>
          <cell r="O290">
            <v>512</v>
          </cell>
          <cell r="P290">
            <v>43334</v>
          </cell>
          <cell r="Q290" t="str">
            <v>Prestación de servicios profesionales en el componente social de la Dirección de Reasentamientos de la Caja de la Vivienda Popular, para la ejecución de planes y programas agenciados por el área misional.</v>
          </cell>
          <cell r="R290">
            <v>14214000</v>
          </cell>
          <cell r="S290">
            <v>0</v>
          </cell>
          <cell r="T290">
            <v>0</v>
          </cell>
          <cell r="U290">
            <v>14214000</v>
          </cell>
          <cell r="V290">
            <v>0</v>
          </cell>
        </row>
        <row r="291">
          <cell r="J291">
            <v>2712</v>
          </cell>
          <cell r="K291">
            <v>43334</v>
          </cell>
          <cell r="L291" t="str">
            <v>VICTOR MANUEL LOPEZ RINCON</v>
          </cell>
          <cell r="M291">
            <v>145</v>
          </cell>
          <cell r="N291" t="str">
            <v>CONTRATO DE PRESTACION DE SERVICIOS PROFESIONALES</v>
          </cell>
          <cell r="O291">
            <v>517</v>
          </cell>
          <cell r="P291">
            <v>43334</v>
          </cell>
          <cell r="Q291" t="str">
            <v>Prestación de servicios profesionales en la Dirección de Reasentamientos de la Caja de la Vivienda Popular, apoyando la ejecución de las diferentes actividades relacionadas con el componente técnico del área misional.</v>
          </cell>
          <cell r="R291">
            <v>20146800</v>
          </cell>
          <cell r="S291">
            <v>0</v>
          </cell>
          <cell r="T291">
            <v>0</v>
          </cell>
          <cell r="U291">
            <v>20146800</v>
          </cell>
          <cell r="V291">
            <v>0</v>
          </cell>
        </row>
        <row r="292">
          <cell r="J292">
            <v>2713</v>
          </cell>
          <cell r="K292">
            <v>43334</v>
          </cell>
          <cell r="L292" t="str">
            <v>MARIENT LORENA PADILLA GARCIA</v>
          </cell>
          <cell r="M292">
            <v>145</v>
          </cell>
          <cell r="N292" t="str">
            <v>CONTRATO DE PRESTACION DE SERVICIOS PROFESIONALES</v>
          </cell>
          <cell r="O292">
            <v>527</v>
          </cell>
          <cell r="P292">
            <v>43334</v>
          </cell>
          <cell r="Q292" t="str">
            <v>PRESTACIÓN DE SERVICIOS PROFESIONALES PARA EL ACOMPAÑAMIENTO JURÍDICO EN LAS ACTUACIONES PROPIAS QUE REQUIERA LA DIRECCIÓN DE REASENTAMIENTOS DE LA CAJA DE LA VIVIENDA POPULAR.</v>
          </cell>
          <cell r="R292">
            <v>28840000</v>
          </cell>
          <cell r="S292">
            <v>0</v>
          </cell>
          <cell r="T292">
            <v>0</v>
          </cell>
          <cell r="U292">
            <v>28840000</v>
          </cell>
          <cell r="V292">
            <v>0</v>
          </cell>
        </row>
        <row r="293">
          <cell r="J293">
            <v>2715</v>
          </cell>
          <cell r="K293">
            <v>43334</v>
          </cell>
          <cell r="L293" t="str">
            <v>RUTH MIREYA VARGAS FIGUEREDO</v>
          </cell>
          <cell r="M293">
            <v>148</v>
          </cell>
          <cell r="N293" t="str">
            <v>CONTRATO DE PRESTACION DE SERVICIOS DE APOYO A LA GESTION</v>
          </cell>
          <cell r="O293">
            <v>509</v>
          </cell>
          <cell r="P293">
            <v>43334</v>
          </cell>
          <cell r="Q293" t="str">
            <v>Prestación de servicios de apoyo a la gestión en lo relacionado con los trámites requeridos para el manejo de archivo y gestión documental generado desde la Dirección de Reasentamientos de la Caja de la Vivienda Popular.</v>
          </cell>
          <cell r="R293">
            <v>7004000</v>
          </cell>
          <cell r="S293">
            <v>0</v>
          </cell>
          <cell r="T293">
            <v>0</v>
          </cell>
          <cell r="U293">
            <v>7004000</v>
          </cell>
          <cell r="V293">
            <v>0</v>
          </cell>
        </row>
        <row r="294">
          <cell r="J294">
            <v>2716</v>
          </cell>
          <cell r="K294">
            <v>43334</v>
          </cell>
          <cell r="L294" t="str">
            <v>LAURA MAGOLA RAMIREZ GARCIA</v>
          </cell>
          <cell r="M294">
            <v>145</v>
          </cell>
          <cell r="N294" t="str">
            <v>CONTRATO DE PRESTACION DE SERVICIOS PROFESIONALES</v>
          </cell>
          <cell r="O294">
            <v>510</v>
          </cell>
          <cell r="P294">
            <v>43334</v>
          </cell>
          <cell r="Q294" t="str">
            <v>Prestación de servicios profesionales de seguimiento y soporte financiero respecto de la asignación de recursos en el marco de los programas y proyectos de la dirección de reasentamientos previa verificación del cumplimiento de requisitos, así como la programación y control presupuestal del área misional.</v>
          </cell>
          <cell r="R294">
            <v>14214000</v>
          </cell>
          <cell r="S294">
            <v>0</v>
          </cell>
          <cell r="T294">
            <v>0</v>
          </cell>
          <cell r="U294">
            <v>14214000</v>
          </cell>
          <cell r="V294">
            <v>0</v>
          </cell>
        </row>
        <row r="295">
          <cell r="J295">
            <v>2722</v>
          </cell>
          <cell r="K295">
            <v>43335</v>
          </cell>
          <cell r="L295" t="str">
            <v>MARISOL  AMAYA OVIEDO</v>
          </cell>
          <cell r="M295">
            <v>145</v>
          </cell>
          <cell r="N295" t="str">
            <v>CONTRATO DE PRESTACION DE SERVICIOS PROFESIONALES</v>
          </cell>
          <cell r="O295">
            <v>508</v>
          </cell>
          <cell r="P295">
            <v>43335</v>
          </cell>
          <cell r="Q295" t="str">
            <v>Prestación de servicios profesionales en el componente social de la Dirección de Reasentamientos de la Caja de la Vivienda Popular, para la ejecución de planes y programas agenciados por el área misional.</v>
          </cell>
          <cell r="R295">
            <v>21012000</v>
          </cell>
          <cell r="S295">
            <v>0</v>
          </cell>
          <cell r="T295">
            <v>0</v>
          </cell>
          <cell r="U295">
            <v>21012000</v>
          </cell>
          <cell r="V295">
            <v>0</v>
          </cell>
        </row>
        <row r="296">
          <cell r="J296">
            <v>2724</v>
          </cell>
          <cell r="K296">
            <v>43335</v>
          </cell>
          <cell r="L296" t="str">
            <v>JUAN DAVID CUADROS GARZON</v>
          </cell>
          <cell r="M296">
            <v>145</v>
          </cell>
          <cell r="N296" t="str">
            <v>CONTRATO DE PRESTACION DE SERVICIOS PROFESIONALES</v>
          </cell>
          <cell r="O296">
            <v>528</v>
          </cell>
          <cell r="P296">
            <v>43335</v>
          </cell>
          <cell r="Q296" t="str">
            <v>Prestación de servicios profesionales para el acompañamiento jurídico en las actuaciones propias que requiera la Dirección de Reasentamientos de la Caja de la Vivienda Popular.</v>
          </cell>
          <cell r="R296">
            <v>16480000</v>
          </cell>
          <cell r="S296">
            <v>0</v>
          </cell>
          <cell r="T296">
            <v>0</v>
          </cell>
          <cell r="U296">
            <v>16480000</v>
          </cell>
          <cell r="V296">
            <v>0</v>
          </cell>
        </row>
        <row r="297">
          <cell r="J297">
            <v>2726</v>
          </cell>
          <cell r="K297">
            <v>43335</v>
          </cell>
          <cell r="L297" t="str">
            <v>MARIA ISABEL BARRERA CATAÑO</v>
          </cell>
          <cell r="M297">
            <v>145</v>
          </cell>
          <cell r="N297" t="str">
            <v>CONTRATO DE PRESTACION DE SERVICIOS PROFESIONALES</v>
          </cell>
          <cell r="O297">
            <v>523</v>
          </cell>
          <cell r="P297">
            <v>43335</v>
          </cell>
          <cell r="Q297" t="str">
            <v>Prestación de servicios profesionales de seguimiento y soporte financiero respecto de la asignación de recursos en el marco de los programas y proyectos de la dirección de reasentamientos previa verificación del cumplimiento de requisitos, así como la programación y control presupuestal del área misional.</v>
          </cell>
          <cell r="R297">
            <v>21012000</v>
          </cell>
          <cell r="S297">
            <v>0</v>
          </cell>
          <cell r="T297">
            <v>0</v>
          </cell>
          <cell r="U297">
            <v>21012000</v>
          </cell>
          <cell r="V297">
            <v>0</v>
          </cell>
        </row>
        <row r="298">
          <cell r="J298">
            <v>2727</v>
          </cell>
          <cell r="K298">
            <v>43335</v>
          </cell>
          <cell r="L298" t="str">
            <v>HEIDY VANESSA PENAGOS SANDOVAL</v>
          </cell>
          <cell r="M298">
            <v>145</v>
          </cell>
          <cell r="N298" t="str">
            <v>CONTRATO DE PRESTACION DE SERVICIOS PROFESIONALES</v>
          </cell>
          <cell r="O298">
            <v>522</v>
          </cell>
          <cell r="P298">
            <v>43335</v>
          </cell>
          <cell r="Q298" t="str">
            <v>Prestación de servicios profesionales en la Dirección de Reasentamientos de la Caja de la Vivienda Popular, apoyando la ejecución de las diferentes actividades relacionadas con el componente técnico del área misional.</v>
          </cell>
          <cell r="R298">
            <v>14214000</v>
          </cell>
          <cell r="S298">
            <v>0</v>
          </cell>
          <cell r="T298">
            <v>0</v>
          </cell>
          <cell r="U298">
            <v>14214000</v>
          </cell>
          <cell r="V298">
            <v>0</v>
          </cell>
        </row>
        <row r="299">
          <cell r="J299">
            <v>2728</v>
          </cell>
          <cell r="K299">
            <v>43335</v>
          </cell>
          <cell r="L299" t="str">
            <v>JUDY ANDREA ESPAÑOL FLOREZ</v>
          </cell>
          <cell r="M299">
            <v>145</v>
          </cell>
          <cell r="N299" t="str">
            <v>CONTRATO DE PRESTACION DE SERVICIOS PROFESIONALES</v>
          </cell>
          <cell r="O299">
            <v>520</v>
          </cell>
          <cell r="P299">
            <v>43335</v>
          </cell>
          <cell r="Q299" t="str">
            <v>Prestacion de servicios profesionales, para el acompañamiento juridico, en los procesos y procedimientos establecidos frente a la ejecucion del programa misional de la Direccion de Reasentamientos de la Caja de la Vivienda Popular.</v>
          </cell>
          <cell r="R299">
            <v>22665150</v>
          </cell>
          <cell r="S299">
            <v>0</v>
          </cell>
          <cell r="T299">
            <v>0</v>
          </cell>
          <cell r="U299">
            <v>22665150</v>
          </cell>
          <cell r="V299">
            <v>0</v>
          </cell>
        </row>
        <row r="300">
          <cell r="J300">
            <v>2742</v>
          </cell>
          <cell r="K300">
            <v>43336</v>
          </cell>
          <cell r="L300" t="str">
            <v>LINDA GISSELLE SUAREZ VILLAMIZAR</v>
          </cell>
          <cell r="M300">
            <v>145</v>
          </cell>
          <cell r="N300" t="str">
            <v>CONTRATO DE PRESTACION DE SERVICIOS PROFESIONALES</v>
          </cell>
          <cell r="O300">
            <v>319</v>
          </cell>
          <cell r="P300">
            <v>43336</v>
          </cell>
          <cell r="Q300" t="str">
            <v>ADICIÒN Y PRORROGA AL CONTRATO NO 319 DE 2018 CUYO OBJETO ES: PRESTACIÓN DE SERVICIOS PROFESIONALES, PARA EL ACOMPAÑAMIENTO JURÍDICO, EN LOS PROCESOS Y PROCEDIMIENTOS ESTABLECIDOS FRENTE A LA EJECUCIÓN DEL PROGRAMA MISIONAL DE LA DIRECCIÓN DE REASENTAMIENTOS DE LA CAJA DE LA VIVIENDA POPULAR.</v>
          </cell>
          <cell r="R300">
            <v>4532000</v>
          </cell>
          <cell r="S300">
            <v>0</v>
          </cell>
          <cell r="T300">
            <v>0</v>
          </cell>
          <cell r="U300">
            <v>4532000</v>
          </cell>
          <cell r="V300">
            <v>0</v>
          </cell>
        </row>
        <row r="301">
          <cell r="J301">
            <v>2745</v>
          </cell>
          <cell r="K301">
            <v>43336</v>
          </cell>
          <cell r="L301" t="str">
            <v>GINA ESTEPHANIA LESCANO NIÑO</v>
          </cell>
          <cell r="M301">
            <v>145</v>
          </cell>
          <cell r="N301" t="str">
            <v>CONTRATO DE PRESTACION DE SERVICIOS PROFESIONALES</v>
          </cell>
          <cell r="O301">
            <v>521</v>
          </cell>
          <cell r="P301">
            <v>43336</v>
          </cell>
          <cell r="Q301" t="str">
            <v>Prestación de servicios profesionales para el acompañamiento jurídico en las actuaciones propias que requiera la Dirección de Reasentamientos de la Caja de la Vivienda Popular.</v>
          </cell>
          <cell r="R301">
            <v>14214000</v>
          </cell>
          <cell r="S301">
            <v>0</v>
          </cell>
          <cell r="T301">
            <v>0</v>
          </cell>
          <cell r="U301">
            <v>14214000</v>
          </cell>
          <cell r="V301">
            <v>0</v>
          </cell>
        </row>
        <row r="302">
          <cell r="J302">
            <v>2746</v>
          </cell>
          <cell r="K302">
            <v>43336</v>
          </cell>
          <cell r="L302" t="str">
            <v>DIANA PAOLA CASTIBLANCO VENEGAS</v>
          </cell>
          <cell r="M302">
            <v>145</v>
          </cell>
          <cell r="N302" t="str">
            <v>CONTRATO DE PRESTACION DE SERVICIOS PROFESIONALES</v>
          </cell>
          <cell r="O302">
            <v>525</v>
          </cell>
          <cell r="P302">
            <v>43336</v>
          </cell>
          <cell r="Q302" t="str">
            <v>Prestación de servicios profesionales en el componente social de la Dirección de Reasentamientos de la Caja de la Vivienda Popular, para la ejecución de planes y programas agenciados por el área misional.</v>
          </cell>
          <cell r="R302">
            <v>21012000</v>
          </cell>
          <cell r="S302">
            <v>0</v>
          </cell>
          <cell r="T302">
            <v>0</v>
          </cell>
          <cell r="U302">
            <v>21012000</v>
          </cell>
          <cell r="V302">
            <v>0</v>
          </cell>
        </row>
        <row r="303">
          <cell r="J303">
            <v>2769</v>
          </cell>
          <cell r="K303">
            <v>43343</v>
          </cell>
          <cell r="L303" t="str">
            <v>OSCAR CAMILO CASTAÑEDA LEON</v>
          </cell>
          <cell r="M303">
            <v>148</v>
          </cell>
          <cell r="N303" t="str">
            <v>CONTRATO DE PRESTACION DE SERVICIOS DE APOYO A LA GESTION</v>
          </cell>
          <cell r="O303">
            <v>544</v>
          </cell>
          <cell r="P303">
            <v>43343</v>
          </cell>
          <cell r="Q303" t="str">
            <v>Prestación de servicios de apoyo a la gestión en el componente social de la Dirección de Reasentamientos de la Caja de la Vivienda Popular, para la ejecución de planes y programas agenciados por el área misional.</v>
          </cell>
          <cell r="R303">
            <v>13307600</v>
          </cell>
          <cell r="S303">
            <v>0</v>
          </cell>
          <cell r="T303">
            <v>0</v>
          </cell>
          <cell r="U303">
            <v>13307600</v>
          </cell>
          <cell r="V303">
            <v>0</v>
          </cell>
        </row>
        <row r="304">
          <cell r="J304">
            <v>4</v>
          </cell>
          <cell r="K304">
            <v>43112</v>
          </cell>
          <cell r="L304" t="str">
            <v>NICOLAS MAURICIO BAUTE CABARCAS</v>
          </cell>
          <cell r="M304">
            <v>148</v>
          </cell>
          <cell r="N304" t="str">
            <v>CONTRATO DE PRESTACION DE SERVICIOS DE APOYO A LA GESTION</v>
          </cell>
          <cell r="O304">
            <v>7</v>
          </cell>
          <cell r="P304">
            <v>43112</v>
          </cell>
          <cell r="Q304" t="str">
            <v>Prestar Servicios de Apoyo a la Gestión a la Dirección de Mejoramiento de Barrios de la Caja de Vivienda Popular en los proyectos de intervención física a escala barrial requeridos desde el componente Técnico.</v>
          </cell>
          <cell r="R304">
            <v>38259350</v>
          </cell>
          <cell r="S304">
            <v>0</v>
          </cell>
          <cell r="T304">
            <v>0</v>
          </cell>
          <cell r="U304">
            <v>38259350</v>
          </cell>
          <cell r="V304">
            <v>21735747</v>
          </cell>
        </row>
        <row r="305">
          <cell r="J305">
            <v>9</v>
          </cell>
          <cell r="K305">
            <v>43112</v>
          </cell>
          <cell r="L305" t="str">
            <v>KEVIN STICK POSADA GUARACA</v>
          </cell>
          <cell r="M305">
            <v>145</v>
          </cell>
          <cell r="N305" t="str">
            <v>CONTRATO DE PRESTACION DE SERVICIOS PROFESIONALES</v>
          </cell>
          <cell r="O305">
            <v>13</v>
          </cell>
          <cell r="P305">
            <v>43112</v>
          </cell>
          <cell r="Q305" t="str">
            <v>Prestación de Servicios profesionales para apoyar a la Dirección de Mejoramiento de Barrios de la Caja de Vivienda Popular en los proyectos de intervención física a escala barrial que, en materia de Seguridad Industrial, Salud Ocupacional y Medio Ambiente se requieran.</v>
          </cell>
          <cell r="R305">
            <v>40865250</v>
          </cell>
          <cell r="S305">
            <v>0</v>
          </cell>
          <cell r="T305">
            <v>0</v>
          </cell>
          <cell r="U305">
            <v>40865250</v>
          </cell>
          <cell r="V305">
            <v>22742400</v>
          </cell>
        </row>
        <row r="306">
          <cell r="J306">
            <v>10</v>
          </cell>
          <cell r="K306">
            <v>43112</v>
          </cell>
          <cell r="L306" t="str">
            <v>ANA YANET LEGUIZAMON FANDIÑO</v>
          </cell>
          <cell r="M306">
            <v>145</v>
          </cell>
          <cell r="N306" t="str">
            <v>CONTRATO DE PRESTACION DE SERVICIOS PROFESIONALES</v>
          </cell>
          <cell r="O306">
            <v>10</v>
          </cell>
          <cell r="P306">
            <v>43112</v>
          </cell>
          <cell r="Q306" t="str">
            <v>Prestación de Servicios profesionales para apoyar a la Dirección de Mejoramiento de Barrios de la Caja de Vivienda Popular en los proyectos de intervención física a escala barrial que en materia técnica se requiera.</v>
          </cell>
          <cell r="R306">
            <v>52118000</v>
          </cell>
          <cell r="S306">
            <v>0</v>
          </cell>
          <cell r="T306">
            <v>0</v>
          </cell>
          <cell r="U306">
            <v>52118000</v>
          </cell>
          <cell r="V306">
            <v>29458000</v>
          </cell>
        </row>
        <row r="307">
          <cell r="J307">
            <v>11</v>
          </cell>
          <cell r="K307">
            <v>43112</v>
          </cell>
          <cell r="L307" t="str">
            <v>ANDRES  LIZARRALDE MARTINEZ</v>
          </cell>
          <cell r="M307">
            <v>145</v>
          </cell>
          <cell r="N307" t="str">
            <v>CONTRATO DE PRESTACION DE SERVICIOS PROFESIONALES</v>
          </cell>
          <cell r="O307">
            <v>14</v>
          </cell>
          <cell r="P307">
            <v>43112</v>
          </cell>
          <cell r="Q307" t="str">
            <v>Prestación de Servicios profesionales para apoyar a la Dirección de Mejoramiento de Barrios de la Caja de Vivienda Popular en los proyectos de intervención física a escala barrial que en materia técnica se requiera.</v>
          </cell>
          <cell r="R307">
            <v>60409500</v>
          </cell>
          <cell r="S307">
            <v>0</v>
          </cell>
          <cell r="T307">
            <v>0</v>
          </cell>
          <cell r="U307">
            <v>60409500</v>
          </cell>
          <cell r="V307">
            <v>34144500</v>
          </cell>
        </row>
        <row r="308">
          <cell r="J308">
            <v>12</v>
          </cell>
          <cell r="K308">
            <v>43112</v>
          </cell>
          <cell r="L308" t="str">
            <v>JHON HAROLD PEÑA COMETTA</v>
          </cell>
          <cell r="M308">
            <v>145</v>
          </cell>
          <cell r="N308" t="str">
            <v>CONTRATO DE PRESTACION DE SERVICIOS PROFESIONALES</v>
          </cell>
          <cell r="O308">
            <v>9</v>
          </cell>
          <cell r="P308">
            <v>43112</v>
          </cell>
          <cell r="Q308" t="str">
            <v>Prestación de Servicios profesionales para apoyar a la Dirección de Mejoramiento de Barrios de la Caja de Vivienda Popular en los proyectos de intervención física a escala barrial que, en materia de Seguridad Industrial, Salud Ocupacional y Medio Ambiente se requieran.</v>
          </cell>
          <cell r="R308">
            <v>40865250</v>
          </cell>
          <cell r="S308">
            <v>0</v>
          </cell>
          <cell r="T308">
            <v>0</v>
          </cell>
          <cell r="U308">
            <v>40865250</v>
          </cell>
          <cell r="V308">
            <v>23097750</v>
          </cell>
        </row>
        <row r="309">
          <cell r="J309">
            <v>13</v>
          </cell>
          <cell r="K309">
            <v>43112</v>
          </cell>
          <cell r="L309" t="str">
            <v>LAURA DIOCITA ALEJANDRA SANCHEZ FORERO</v>
          </cell>
          <cell r="M309">
            <v>145</v>
          </cell>
          <cell r="N309" t="str">
            <v>CONTRATO DE PRESTACION DE SERVICIOS PROFESIONALES</v>
          </cell>
          <cell r="O309">
            <v>12</v>
          </cell>
          <cell r="P309">
            <v>43112</v>
          </cell>
          <cell r="Q309" t="str">
            <v>Prestación de Servicios profesionales de carácter jurídico para apoyar a la Dirección de Mejoramiento de Barrios de la Caja de la Vivienda Popular.</v>
          </cell>
          <cell r="R309">
            <v>60409500</v>
          </cell>
          <cell r="S309">
            <v>0</v>
          </cell>
          <cell r="T309">
            <v>0</v>
          </cell>
          <cell r="U309">
            <v>60409500</v>
          </cell>
          <cell r="V309">
            <v>34144500</v>
          </cell>
        </row>
        <row r="310">
          <cell r="J310">
            <v>15</v>
          </cell>
          <cell r="K310">
            <v>43112</v>
          </cell>
          <cell r="L310" t="str">
            <v>MARIA ALEJANDRA CERQUERA SANCHEZ</v>
          </cell>
          <cell r="M310">
            <v>145</v>
          </cell>
          <cell r="N310" t="str">
            <v>CONTRATO DE PRESTACION DE SERVICIOS PROFESIONALES</v>
          </cell>
          <cell r="O310">
            <v>11</v>
          </cell>
          <cell r="P310">
            <v>43112</v>
          </cell>
          <cell r="Q310" t="str">
            <v>Prestación de Servicios profesionales para apoyar a la Dirección de Mejoramiento de Barrios de la Caja de Vivienda Popular en los proyectos de intervención física a escala barrial que en materia social se requiera.</v>
          </cell>
          <cell r="R310">
            <v>40865250</v>
          </cell>
          <cell r="S310">
            <v>0</v>
          </cell>
          <cell r="T310">
            <v>0</v>
          </cell>
          <cell r="U310">
            <v>40865250</v>
          </cell>
          <cell r="V310">
            <v>23097750</v>
          </cell>
        </row>
        <row r="311">
          <cell r="J311">
            <v>40</v>
          </cell>
          <cell r="K311">
            <v>43116</v>
          </cell>
          <cell r="L311" t="str">
            <v>LINA MARIA AZUERO GUTIERREZ</v>
          </cell>
          <cell r="M311">
            <v>145</v>
          </cell>
          <cell r="N311" t="str">
            <v>CONTRATO DE PRESTACION DE SERVICIOS PROFESIONALES</v>
          </cell>
          <cell r="O311">
            <v>36</v>
          </cell>
          <cell r="P311">
            <v>43116</v>
          </cell>
          <cell r="Q311" t="str">
            <v>Prestación de servicios profesionales en los procesos misionales y proyectos especiales, para apoyar la gestión, planeación, concertación y seguimiento a los planes y cronogramas del componente social.</v>
          </cell>
          <cell r="R311">
            <v>23621333</v>
          </cell>
          <cell r="S311">
            <v>0</v>
          </cell>
          <cell r="T311">
            <v>0</v>
          </cell>
          <cell r="U311">
            <v>23621333</v>
          </cell>
          <cell r="V311">
            <v>16205333</v>
          </cell>
        </row>
        <row r="312">
          <cell r="J312">
            <v>60</v>
          </cell>
          <cell r="K312">
            <v>43116</v>
          </cell>
          <cell r="L312" t="str">
            <v>DANIEL FELIPE OROZCO ROA</v>
          </cell>
          <cell r="M312">
            <v>145</v>
          </cell>
          <cell r="N312" t="str">
            <v>CONTRATO DE PRESTACION DE SERVICIOS PROFESIONALES</v>
          </cell>
          <cell r="O312">
            <v>25</v>
          </cell>
          <cell r="P312">
            <v>43116</v>
          </cell>
          <cell r="Q312" t="str">
            <v>Prestación de Servicios profesionales para apoyar a la Dirección de Mejoramiento de Barrios de la Caja de Vivienda Popular en los proyectos de intervención física a escala barrial que, en materia de Seguridad Industrial, Salud Ocupacional y Medio Ambiente se requieran.</v>
          </cell>
          <cell r="R312">
            <v>47380000</v>
          </cell>
          <cell r="S312">
            <v>0</v>
          </cell>
          <cell r="T312">
            <v>0</v>
          </cell>
          <cell r="U312">
            <v>47380000</v>
          </cell>
          <cell r="V312">
            <v>26642667</v>
          </cell>
        </row>
        <row r="313">
          <cell r="J313">
            <v>79</v>
          </cell>
          <cell r="K313">
            <v>43116</v>
          </cell>
          <cell r="L313" t="str">
            <v>DIANA CAROLINA ESQUIVEL ROMERO</v>
          </cell>
          <cell r="M313">
            <v>145</v>
          </cell>
          <cell r="N313" t="str">
            <v>CONTRATO DE PRESTACION DE SERVICIOS PROFESIONALES</v>
          </cell>
          <cell r="O313">
            <v>65</v>
          </cell>
          <cell r="P313">
            <v>43116</v>
          </cell>
          <cell r="Q313" t="str">
            <v>Prestación de Servicios profesionales de carácter jurídico para apoyar a la Dirección de Mejoramiento de Barrios de la Caja de la Vivienda Popular.</v>
          </cell>
          <cell r="R313">
            <v>65147500</v>
          </cell>
          <cell r="S313">
            <v>0</v>
          </cell>
          <cell r="T313">
            <v>0</v>
          </cell>
          <cell r="U313">
            <v>65147500</v>
          </cell>
          <cell r="V313">
            <v>36633667</v>
          </cell>
        </row>
        <row r="314">
          <cell r="J314">
            <v>80</v>
          </cell>
          <cell r="K314">
            <v>43116</v>
          </cell>
          <cell r="L314" t="str">
            <v>MARIA ALEXANDRA TORO CHARRY</v>
          </cell>
          <cell r="M314">
            <v>145</v>
          </cell>
          <cell r="N314" t="str">
            <v>CONTRATO DE PRESTACION DE SERVICIOS PROFESIONALES</v>
          </cell>
          <cell r="O314">
            <v>55</v>
          </cell>
          <cell r="P314">
            <v>43116</v>
          </cell>
          <cell r="Q314" t="str">
            <v>Prestación de servicios profesionales para apoyar a la gestión administrativa de los procedimientos operativos, de información y documentales que se desarrollen al interior de la Dirección de Mejoramiento de Barrios de la Caja de Vivienda Popular en los proyectos de intervención física a escala barrial.</v>
          </cell>
          <cell r="R314">
            <v>94760000</v>
          </cell>
          <cell r="S314">
            <v>0</v>
          </cell>
          <cell r="T314">
            <v>0</v>
          </cell>
          <cell r="U314">
            <v>94760000</v>
          </cell>
          <cell r="V314">
            <v>40101333</v>
          </cell>
        </row>
        <row r="315">
          <cell r="J315">
            <v>119</v>
          </cell>
          <cell r="K315">
            <v>43117</v>
          </cell>
          <cell r="L315" t="str">
            <v>CHRISTIAN ALEXIS VALDERRAMA TORRES</v>
          </cell>
          <cell r="M315">
            <v>148</v>
          </cell>
          <cell r="N315" t="str">
            <v>CONTRATO DE PRESTACION DE SERVICIOS DE APOYO A LA GESTION</v>
          </cell>
          <cell r="O315">
            <v>98</v>
          </cell>
          <cell r="P315">
            <v>43117</v>
          </cell>
          <cell r="Q315" t="str">
            <v>Prestación de servicios para apoyar a la Dirección de Mejoramiento de Barrios de la Caja de la Vivienda Popular en las actividades documentales y operativas de los proyectos de intervención física a escala barrial.</v>
          </cell>
          <cell r="R315">
            <v>28428000</v>
          </cell>
          <cell r="S315">
            <v>0</v>
          </cell>
          <cell r="T315">
            <v>0</v>
          </cell>
          <cell r="U315">
            <v>28428000</v>
          </cell>
          <cell r="V315">
            <v>15903200</v>
          </cell>
        </row>
        <row r="316">
          <cell r="J316">
            <v>120</v>
          </cell>
          <cell r="K316">
            <v>43117</v>
          </cell>
          <cell r="L316" t="str">
            <v>JOAQUIN EDUARDO PERDOMO ARTUNDUAGA</v>
          </cell>
          <cell r="M316">
            <v>148</v>
          </cell>
          <cell r="N316" t="str">
            <v>CONTRATO DE PRESTACION DE SERVICIOS DE APOYO A LA GESTION</v>
          </cell>
          <cell r="O316">
            <v>99</v>
          </cell>
          <cell r="P316">
            <v>43117</v>
          </cell>
          <cell r="Q316" t="str">
            <v>Prestación de servicios para apoyar a la Dirección de Mejoramiento de Barrios de la Caja de la Vivienda Popular en las actividades operativas de los proyectos de intervención física a escala barrial que en materia de planeación, administrativa, financiera y presupuestal se requieran en el desarrollo de las actividades del componente administrativo.</v>
          </cell>
          <cell r="R316">
            <v>38259350</v>
          </cell>
          <cell r="S316">
            <v>0</v>
          </cell>
          <cell r="T316">
            <v>0</v>
          </cell>
          <cell r="U316">
            <v>38259350</v>
          </cell>
          <cell r="V316">
            <v>21403056</v>
          </cell>
        </row>
        <row r="317">
          <cell r="J317">
            <v>142</v>
          </cell>
          <cell r="K317">
            <v>43117</v>
          </cell>
          <cell r="L317" t="str">
            <v>JACQUELINE  CACHAYA SANCHEZ</v>
          </cell>
          <cell r="M317">
            <v>145</v>
          </cell>
          <cell r="N317" t="str">
            <v>CONTRATO DE PRESTACION DE SERVICIOS PROFESIONALES</v>
          </cell>
          <cell r="O317">
            <v>147</v>
          </cell>
          <cell r="P317">
            <v>43117</v>
          </cell>
          <cell r="Q317" t="str">
            <v>Prestación de Servicios profesionales para apoyar a la Dirección de Mejoramiento de Barrios de la Caja de Vivienda Popular en los proyectos de intervención física a escala barrial que en materia técnica se requiera.</v>
          </cell>
          <cell r="R317">
            <v>71070000</v>
          </cell>
          <cell r="S317">
            <v>0</v>
          </cell>
          <cell r="T317">
            <v>0</v>
          </cell>
          <cell r="U317">
            <v>71070000</v>
          </cell>
          <cell r="V317">
            <v>39758000</v>
          </cell>
        </row>
        <row r="318">
          <cell r="J318">
            <v>144</v>
          </cell>
          <cell r="K318">
            <v>43117</v>
          </cell>
          <cell r="L318" t="str">
            <v>JEIMY TATIANA CRUZ BEJARANO</v>
          </cell>
          <cell r="M318">
            <v>148</v>
          </cell>
          <cell r="N318" t="str">
            <v>CONTRATO DE PRESTACION DE SERVICIOS DE APOYO A LA GESTION</v>
          </cell>
          <cell r="O318">
            <v>148</v>
          </cell>
          <cell r="P318">
            <v>43117</v>
          </cell>
          <cell r="Q318" t="str">
            <v>Prestación de servicios para apoyar las actividades documentales y operativas que se requieran acorde a la normatividad vigente de los proyectos de intervención física a escala barrial que se encuentren a cargo de la Dirección de Mejoramiento de Barrios de la Caja de la Vivienda Popular.</v>
          </cell>
          <cell r="R318">
            <v>17767500</v>
          </cell>
          <cell r="S318">
            <v>0</v>
          </cell>
          <cell r="T318">
            <v>0</v>
          </cell>
          <cell r="U318">
            <v>17767500</v>
          </cell>
          <cell r="V318">
            <v>9939500</v>
          </cell>
        </row>
        <row r="319">
          <cell r="J319">
            <v>146</v>
          </cell>
          <cell r="K319">
            <v>43117</v>
          </cell>
          <cell r="L319" t="str">
            <v>JULY PAOLA TORRES RISCANEVO</v>
          </cell>
          <cell r="M319">
            <v>145</v>
          </cell>
          <cell r="N319" t="str">
            <v>CONTRATO DE PRESTACION DE SERVICIOS PROFESIONALES</v>
          </cell>
          <cell r="O319">
            <v>155</v>
          </cell>
          <cell r="P319">
            <v>43117</v>
          </cell>
          <cell r="Q319" t="str">
            <v>Prestar servicios profesionales en la implementacion y seguimiento de la politica de responsabilidad social, bajo los tres pilares de sostenibilidad a los procesos de gestion misional de la entidad.</v>
          </cell>
          <cell r="R319">
            <v>23690000</v>
          </cell>
          <cell r="S319">
            <v>23690000</v>
          </cell>
          <cell r="T319">
            <v>0</v>
          </cell>
          <cell r="U319">
            <v>0</v>
          </cell>
          <cell r="V319">
            <v>0</v>
          </cell>
        </row>
        <row r="320">
          <cell r="J320">
            <v>152</v>
          </cell>
          <cell r="K320">
            <v>43117</v>
          </cell>
          <cell r="L320" t="str">
            <v>JULY PAOLA TORRES RISCANEVO</v>
          </cell>
          <cell r="M320">
            <v>145</v>
          </cell>
          <cell r="N320" t="str">
            <v>CONTRATO DE PRESTACION DE SERVICIOS PROFESIONALES</v>
          </cell>
          <cell r="O320">
            <v>155</v>
          </cell>
          <cell r="P320">
            <v>43117</v>
          </cell>
          <cell r="Q320" t="str">
            <v>PRESTAR SERVICIOS PROFESIONALES PARA EL DESARROLLO DE LA POLITICA DE RESPONSABILIDAD SOCIAL, BAJO LOS TRES PILARES DE SOSTENIBILIDAD A LOS PROCESOS DE GESTION MISIONAL DE LA CAJA DE LA VIVIENDA POPULAR.</v>
          </cell>
          <cell r="R320">
            <v>23690000</v>
          </cell>
          <cell r="S320">
            <v>0</v>
          </cell>
          <cell r="T320">
            <v>0</v>
          </cell>
          <cell r="U320">
            <v>23690000</v>
          </cell>
          <cell r="V320">
            <v>13252669</v>
          </cell>
        </row>
        <row r="321">
          <cell r="J321">
            <v>159</v>
          </cell>
          <cell r="K321">
            <v>43118</v>
          </cell>
          <cell r="L321" t="str">
            <v>RAUL  TOVAR MARTINEZ</v>
          </cell>
          <cell r="M321">
            <v>145</v>
          </cell>
          <cell r="N321" t="str">
            <v>CONTRATO DE PRESTACION DE SERVICIOS PROFESIONALES</v>
          </cell>
          <cell r="O321">
            <v>126</v>
          </cell>
          <cell r="P321">
            <v>43118</v>
          </cell>
          <cell r="Q321" t="str">
            <v>Prestación de servicios de profesionales para apoyar a la Dirección de Mejoramiento de Barrios y a la Dirección de Titulaciones y Urbanizaciones de la Caja de la Vivienda Popular en las actividades precontractuales y contractuales que en materia Técnica se requieran.</v>
          </cell>
          <cell r="R321">
            <v>35535000</v>
          </cell>
          <cell r="S321">
            <v>0</v>
          </cell>
          <cell r="T321">
            <v>0</v>
          </cell>
          <cell r="U321">
            <v>35535000</v>
          </cell>
          <cell r="V321">
            <v>16789000</v>
          </cell>
        </row>
        <row r="322">
          <cell r="J322">
            <v>160</v>
          </cell>
          <cell r="K322">
            <v>43118</v>
          </cell>
          <cell r="L322" t="str">
            <v>RUBEN DARIO AGUILERA DIAZ</v>
          </cell>
          <cell r="M322">
            <v>148</v>
          </cell>
          <cell r="N322" t="str">
            <v>CONTRATO DE PRESTACION DE SERVICIOS DE APOYO A LA GESTION</v>
          </cell>
          <cell r="O322">
            <v>133</v>
          </cell>
          <cell r="P322">
            <v>43118</v>
          </cell>
          <cell r="Q322" t="str">
            <v>Prestación de servicios para apoyar las actividades documentales y operativas que se requieran acorde a la normatividad vigente de los proyectos de intervención física a escala barrial que se encuentren a cargo de la Dirección de Mejoramiento de Barrios de la Caja de la Vivienda Popular.</v>
          </cell>
          <cell r="R322">
            <v>17767500</v>
          </cell>
          <cell r="S322">
            <v>0</v>
          </cell>
          <cell r="T322">
            <v>0</v>
          </cell>
          <cell r="U322">
            <v>17767500</v>
          </cell>
          <cell r="V322">
            <v>9939500</v>
          </cell>
        </row>
        <row r="323">
          <cell r="J323">
            <v>163</v>
          </cell>
          <cell r="K323">
            <v>43118</v>
          </cell>
          <cell r="L323" t="str">
            <v>INGRID PAOLA MARTIN CASTILLO</v>
          </cell>
          <cell r="M323">
            <v>148</v>
          </cell>
          <cell r="N323" t="str">
            <v>CONTRATO DE PRESTACION DE SERVICIOS DE APOYO A LA GESTION</v>
          </cell>
          <cell r="O323">
            <v>132</v>
          </cell>
          <cell r="P323">
            <v>43118</v>
          </cell>
          <cell r="Q323" t="str">
            <v>Prestación de servicios de apoyo a la gestión para el desarrollo de los procedimientos operativos; así como realizar el seguimiento, alimentación y actualización de la gestión documental, inventario y administración del archivo de gestión en medio físico y digital acorde a la normatividad vigente de los proyectos de intervención física a escala barrial que se encuentren a cargo de la Dirección de Mejoramiento de Barrios de la Caja de la Vivienda Popular.</v>
          </cell>
          <cell r="R323">
            <v>28428000</v>
          </cell>
          <cell r="S323">
            <v>0</v>
          </cell>
          <cell r="T323">
            <v>0</v>
          </cell>
          <cell r="U323">
            <v>28428000</v>
          </cell>
          <cell r="V323">
            <v>15903200</v>
          </cell>
        </row>
        <row r="324">
          <cell r="J324">
            <v>165</v>
          </cell>
          <cell r="K324">
            <v>43118</v>
          </cell>
          <cell r="L324" t="str">
            <v>OSCAR ABIMELEC BALLESTEROS CARRILLO</v>
          </cell>
          <cell r="M324">
            <v>145</v>
          </cell>
          <cell r="N324" t="str">
            <v>CONTRATO DE PRESTACION DE SERVICIOS PROFESIONALES</v>
          </cell>
          <cell r="O324">
            <v>131</v>
          </cell>
          <cell r="P324">
            <v>43118</v>
          </cell>
          <cell r="Q324" t="str">
            <v>Prestación de Servicios profesionales para apoyar a la Dirección de Mejoramiento de Barrios de la Caja de la Vivienda Popular en los procesos y procedimientos de carácter administrativo, financiero y presupuestal que se requieran en la etapa pos contractual.</v>
          </cell>
          <cell r="R324">
            <v>57922050</v>
          </cell>
          <cell r="S324">
            <v>0</v>
          </cell>
          <cell r="T324">
            <v>0</v>
          </cell>
          <cell r="U324">
            <v>57922050</v>
          </cell>
          <cell r="V324">
            <v>32402770</v>
          </cell>
        </row>
        <row r="325">
          <cell r="J325">
            <v>167</v>
          </cell>
          <cell r="K325">
            <v>43118</v>
          </cell>
          <cell r="L325" t="str">
            <v>ANA YAMILE QUINTERO BERNAL</v>
          </cell>
          <cell r="M325">
            <v>148</v>
          </cell>
          <cell r="N325" t="str">
            <v>CONTRATO DE PRESTACION DE SERVICIOS DE APOYO A LA GESTION</v>
          </cell>
          <cell r="O325">
            <v>130</v>
          </cell>
          <cell r="P325">
            <v>43118</v>
          </cell>
          <cell r="Q325" t="str">
            <v>Prestación de servicios para apoyar las actividades documentales y operativas que se requieran acorde a la normatividad vigente de los proyectos de intervención física a escala barrial que se encuentren a cargo de la Dirección de Mejoramiento de Barrios de la Caja de la Vivienda Popular.</v>
          </cell>
          <cell r="R325">
            <v>17767500</v>
          </cell>
          <cell r="S325">
            <v>0</v>
          </cell>
          <cell r="T325">
            <v>0</v>
          </cell>
          <cell r="U325">
            <v>17767500</v>
          </cell>
          <cell r="V325">
            <v>8394500</v>
          </cell>
        </row>
        <row r="326">
          <cell r="J326">
            <v>168</v>
          </cell>
          <cell r="K326">
            <v>43118</v>
          </cell>
          <cell r="L326" t="str">
            <v>LUISA LORENA BECERRA BENAVIDES</v>
          </cell>
          <cell r="M326">
            <v>148</v>
          </cell>
          <cell r="N326" t="str">
            <v>CONTRATO DE PRESTACION DE SERVICIOS DE APOYO A LA GESTION</v>
          </cell>
          <cell r="O326">
            <v>129</v>
          </cell>
          <cell r="P326">
            <v>43118</v>
          </cell>
          <cell r="Q326" t="str">
            <v>Prestación de servicios para apoyar las actividades documentales y operativas que se requieran acorde a la normatividad vigente de los proyectos de intervención física a escala barrial que se encuentren a cargo de la Dirección de Mejoramiento de Barrios de la Caja de la Vivienda Popular.</v>
          </cell>
          <cell r="R326">
            <v>17767500</v>
          </cell>
          <cell r="S326">
            <v>0</v>
          </cell>
          <cell r="T326">
            <v>0</v>
          </cell>
          <cell r="U326">
            <v>17767500</v>
          </cell>
          <cell r="V326">
            <v>9939500</v>
          </cell>
        </row>
        <row r="327">
          <cell r="J327">
            <v>170</v>
          </cell>
          <cell r="K327">
            <v>43118</v>
          </cell>
          <cell r="L327" t="str">
            <v>JUAN SEBASTIAN CARDENAS LOZANO</v>
          </cell>
          <cell r="M327">
            <v>145</v>
          </cell>
          <cell r="N327" t="str">
            <v>CONTRATO DE PRESTACION DE SERVICIOS PROFESIONALES</v>
          </cell>
          <cell r="O327">
            <v>127</v>
          </cell>
          <cell r="P327">
            <v>43118</v>
          </cell>
          <cell r="Q327" t="str">
            <v>Prestación de Servicios profesionales para apoyar a la Dirección de Mejoramiento de Barrios de la Caja de la Vivienda Popular en los procesos y procedimientos de carácter administrativo, financiero y presupuestal que se requieran.</v>
          </cell>
          <cell r="R327">
            <v>65147500</v>
          </cell>
          <cell r="S327">
            <v>0</v>
          </cell>
          <cell r="T327">
            <v>0</v>
          </cell>
          <cell r="U327">
            <v>65147500</v>
          </cell>
          <cell r="V327">
            <v>36444833</v>
          </cell>
        </row>
        <row r="328">
          <cell r="J328">
            <v>173</v>
          </cell>
          <cell r="K328">
            <v>43118</v>
          </cell>
          <cell r="L328" t="str">
            <v>JOHN JAIRO SALINAS PIÑEROS</v>
          </cell>
          <cell r="M328">
            <v>145</v>
          </cell>
          <cell r="N328" t="str">
            <v>CONTRATO DE PRESTACION DE SERVICIOS PROFESIONALES</v>
          </cell>
          <cell r="O328">
            <v>138</v>
          </cell>
          <cell r="P328">
            <v>43118</v>
          </cell>
          <cell r="Q328" t="str">
            <v>Prestación de Servicios profesionales para apoyar a la Dirección de Mejoramiento de Barrios de la Caja de Vivienda Popular en los proyectos de intervención física a escala barrial que en materia técnica se requiera.</v>
          </cell>
          <cell r="R328">
            <v>65147500</v>
          </cell>
          <cell r="S328">
            <v>0</v>
          </cell>
          <cell r="T328">
            <v>0</v>
          </cell>
          <cell r="U328">
            <v>65147500</v>
          </cell>
          <cell r="V328">
            <v>36444833</v>
          </cell>
        </row>
        <row r="329">
          <cell r="J329">
            <v>177</v>
          </cell>
          <cell r="K329">
            <v>43118</v>
          </cell>
          <cell r="L329" t="str">
            <v>MONICA VIVIANA CEBALLOS CRIOLLO</v>
          </cell>
          <cell r="M329">
            <v>145</v>
          </cell>
          <cell r="N329" t="str">
            <v>CONTRATO DE PRESTACION DE SERVICIOS PROFESIONALES</v>
          </cell>
          <cell r="O329">
            <v>160</v>
          </cell>
          <cell r="P329">
            <v>43118</v>
          </cell>
          <cell r="Q329" t="str">
            <v>CONTRATAR LOS SERVICIOS PROFESIONALES DE UN COMUNICADOR SOCIAL QUE DESARROLLE LA INFORMACION PERIODISTICA DE LAS AREAS MISIONALES, PARA FORTALECER LOS CANALES DE COMUNICACIÓN INTERNOS Y EXTERNOS DE LA ENTIDAD, CONFORME A LA ESTRATEGIA DE COMUNICACIONES DE LA CAJA DE LA VIVIENDA POPULAR.</v>
          </cell>
          <cell r="R329">
            <v>13850925</v>
          </cell>
          <cell r="S329">
            <v>0</v>
          </cell>
          <cell r="T329">
            <v>0</v>
          </cell>
          <cell r="U329">
            <v>13850925</v>
          </cell>
          <cell r="V329">
            <v>8100692</v>
          </cell>
        </row>
        <row r="330">
          <cell r="J330">
            <v>180</v>
          </cell>
          <cell r="K330">
            <v>43118</v>
          </cell>
          <cell r="L330" t="str">
            <v>ANA MARIA BERMUDEZ ANDRADE</v>
          </cell>
          <cell r="M330">
            <v>145</v>
          </cell>
          <cell r="N330" t="str">
            <v>CONTRATO DE PRESTACION DE SERVICIOS PROFESIONALES</v>
          </cell>
          <cell r="O330">
            <v>134</v>
          </cell>
          <cell r="P330">
            <v>43118</v>
          </cell>
          <cell r="Q330" t="str">
            <v>Prestación de Servicios profesionales para apoyar a la Dirección de Mejoramiento de Barrios de la Caja de Vivienda Popular en los proyectos de intervención física a escala barrial que, en materia de Seguridad Industrial, Salud Ocupacional y Medio Ambiente se requieran.</v>
          </cell>
          <cell r="R330">
            <v>40865250</v>
          </cell>
          <cell r="S330">
            <v>0</v>
          </cell>
          <cell r="T330">
            <v>0</v>
          </cell>
          <cell r="U330">
            <v>40865250</v>
          </cell>
          <cell r="V330">
            <v>22860850</v>
          </cell>
        </row>
        <row r="331">
          <cell r="J331">
            <v>183</v>
          </cell>
          <cell r="K331">
            <v>43118</v>
          </cell>
          <cell r="L331" t="str">
            <v>MAYRA ALEJANDRA BAUTISTA ROJAS</v>
          </cell>
          <cell r="M331">
            <v>145</v>
          </cell>
          <cell r="N331" t="str">
            <v>CONTRATO DE PRESTACION DE SERVICIOS PROFESIONALES</v>
          </cell>
          <cell r="O331">
            <v>137</v>
          </cell>
          <cell r="P331">
            <v>43118</v>
          </cell>
          <cell r="Q331" t="str">
            <v>Prestación de Servicios profesionales para apoyar a la Dirección de Mejoramiento de Barrios de la Caja de Vivienda Popular en los proyectos de intervención física a escala barrial que en materia social se requiera.</v>
          </cell>
          <cell r="R331">
            <v>40865250</v>
          </cell>
          <cell r="S331">
            <v>0</v>
          </cell>
          <cell r="T331">
            <v>0</v>
          </cell>
          <cell r="U331">
            <v>40865250</v>
          </cell>
          <cell r="V331">
            <v>22860850</v>
          </cell>
        </row>
        <row r="332">
          <cell r="J332">
            <v>184</v>
          </cell>
          <cell r="K332">
            <v>43118</v>
          </cell>
          <cell r="L332" t="str">
            <v>ANA MARIA LUNA TRUJILLO</v>
          </cell>
          <cell r="M332">
            <v>145</v>
          </cell>
          <cell r="N332" t="str">
            <v>CONTRATO DE PRESTACION DE SERVICIOS PROFESIONALES</v>
          </cell>
          <cell r="O332">
            <v>135</v>
          </cell>
          <cell r="P332">
            <v>43118</v>
          </cell>
          <cell r="Q332" t="str">
            <v>Prestación de Servicios profesionales para apoyar a la Dirección de Mejoramiento de Barrios de la Caja de Vivienda Popular en los proyectos de intervención física a escala barrial que en materia social se requiera.</v>
          </cell>
          <cell r="R332">
            <v>47380000</v>
          </cell>
          <cell r="S332">
            <v>0</v>
          </cell>
          <cell r="T332">
            <v>0</v>
          </cell>
          <cell r="U332">
            <v>47380000</v>
          </cell>
          <cell r="V332">
            <v>26505333</v>
          </cell>
        </row>
        <row r="333">
          <cell r="J333">
            <v>185</v>
          </cell>
          <cell r="K333">
            <v>43118</v>
          </cell>
          <cell r="L333" t="str">
            <v>LUIS ALEXANDER PEÑA CADENA</v>
          </cell>
          <cell r="M333">
            <v>145</v>
          </cell>
          <cell r="N333" t="str">
            <v>CONTRATO DE PRESTACION DE SERVICIOS PROFESIONALES</v>
          </cell>
          <cell r="O333">
            <v>136</v>
          </cell>
          <cell r="P333">
            <v>43118</v>
          </cell>
          <cell r="Q333" t="str">
            <v>Prestar los servicios profesionales a la dirección de mejoramiento de barrios como enlace con la oficina asesora de comunicación de la caja de la vivienda popular, garantizando la implementación y desarrollo de estrategias de comunicación institucional, bajo los parámetros contemplados en el plan estratégico de comunicaciones de la entidad.</v>
          </cell>
          <cell r="R333">
            <v>47380000</v>
          </cell>
          <cell r="S333">
            <v>0</v>
          </cell>
          <cell r="T333">
            <v>0</v>
          </cell>
          <cell r="U333">
            <v>47380000</v>
          </cell>
          <cell r="V333">
            <v>26368000</v>
          </cell>
        </row>
        <row r="334">
          <cell r="J334">
            <v>186</v>
          </cell>
          <cell r="K334">
            <v>43118</v>
          </cell>
          <cell r="L334" t="str">
            <v>HECTOR JAVIER VARGAS NAVARRO</v>
          </cell>
          <cell r="M334">
            <v>145</v>
          </cell>
          <cell r="N334" t="str">
            <v>CONTRATO DE PRESTACION DE SERVICIOS PROFESIONALES</v>
          </cell>
          <cell r="O334">
            <v>149</v>
          </cell>
          <cell r="P334">
            <v>43118</v>
          </cell>
          <cell r="Q334" t="str">
            <v>Prestación de Servicios profesionales para apoyar a la Dirección de Mejoramiento de Barrios de la Caja de Vivienda Popular en los proyectos de intervención física a escala barrial que en materia técnica se requiera.</v>
          </cell>
          <cell r="R334">
            <v>65147500</v>
          </cell>
          <cell r="S334">
            <v>0</v>
          </cell>
          <cell r="T334">
            <v>0</v>
          </cell>
          <cell r="U334">
            <v>65147500</v>
          </cell>
          <cell r="V334">
            <v>35689500</v>
          </cell>
        </row>
        <row r="335">
          <cell r="J335">
            <v>257</v>
          </cell>
          <cell r="K335">
            <v>43119</v>
          </cell>
          <cell r="L335" t="str">
            <v>KAREN NATHALY MUÑOZ SANCHEZ</v>
          </cell>
          <cell r="M335">
            <v>145</v>
          </cell>
          <cell r="N335" t="str">
            <v>CONTRATO DE PRESTACION DE SERVICIOS PROFESIONALES</v>
          </cell>
          <cell r="O335">
            <v>225</v>
          </cell>
          <cell r="P335">
            <v>43119</v>
          </cell>
          <cell r="Q335" t="str">
            <v>Prestación de Servicios profesionales para apoyar a la Dirección de Mejoramiento de Barrios de la Caja de Vivienda Popular en los proyectos de intervención física a escala barrial que en materia social se requiera.</v>
          </cell>
          <cell r="R335">
            <v>40865250</v>
          </cell>
          <cell r="S335">
            <v>0</v>
          </cell>
          <cell r="T335">
            <v>0</v>
          </cell>
          <cell r="U335">
            <v>40865250</v>
          </cell>
          <cell r="V335">
            <v>22387050</v>
          </cell>
        </row>
        <row r="336">
          <cell r="J336">
            <v>260</v>
          </cell>
          <cell r="K336">
            <v>43119</v>
          </cell>
          <cell r="L336" t="str">
            <v>JORGE ALBERTO ACEVEDO TALERO</v>
          </cell>
          <cell r="M336">
            <v>148</v>
          </cell>
          <cell r="N336" t="str">
            <v>CONTRATO DE PRESTACION DE SERVICIOS DE APOYO A LA GESTION</v>
          </cell>
          <cell r="O336">
            <v>234</v>
          </cell>
          <cell r="P336">
            <v>43119</v>
          </cell>
          <cell r="Q336" t="str">
            <v>Prestación de servicios para apoyar a la Dirección de Mejoramiento de Barrios de la Caja de la Vivienda Popular, en las actividades técnicas y administrativas requeridas en el desarrollo de los proyectos de intervención física a escala barrial.</v>
          </cell>
          <cell r="R336">
            <v>38259350</v>
          </cell>
          <cell r="S336">
            <v>0</v>
          </cell>
          <cell r="T336">
            <v>0</v>
          </cell>
          <cell r="U336">
            <v>38259350</v>
          </cell>
          <cell r="V336">
            <v>20848573</v>
          </cell>
        </row>
        <row r="337">
          <cell r="J337">
            <v>293</v>
          </cell>
          <cell r="K337">
            <v>43122</v>
          </cell>
          <cell r="L337" t="str">
            <v>JHON CARLOS RINCON AGREDO</v>
          </cell>
          <cell r="M337">
            <v>145</v>
          </cell>
          <cell r="N337" t="str">
            <v>CONTRATO DE PRESTACION DE SERVICIOS PROFESIONALES</v>
          </cell>
          <cell r="O337">
            <v>261</v>
          </cell>
          <cell r="P337">
            <v>43122</v>
          </cell>
          <cell r="Q337" t="str">
            <v>CONTRATAR LOS SERVICIOS PROFESIONALES DE UN COMUNICADOR SOCIAL O PERIODISTA QUE APOYE LA LOCUCIÓN DE PRODUCTOS AUDIOVISUALES Y LA PRESENTACIÓN DE ACTIVIDADES CON LAS COMUNIDADES BENEFICIARIAS DE LOS DISTINTOS PROGRAMAS MISIONALES, CON EL FIN DE FAVORECER UNA COMUNICACIÓN ACTIVA DE LA MISIONALIDAD DE LA ENTIDAD.</v>
          </cell>
          <cell r="R337">
            <v>9772125</v>
          </cell>
          <cell r="S337">
            <v>0</v>
          </cell>
          <cell r="T337">
            <v>0</v>
          </cell>
          <cell r="U337">
            <v>9772125</v>
          </cell>
          <cell r="V337">
            <v>5596787</v>
          </cell>
        </row>
        <row r="338">
          <cell r="J338">
            <v>312</v>
          </cell>
          <cell r="K338">
            <v>43122</v>
          </cell>
          <cell r="L338" t="str">
            <v>WILSON  GUALTEROS AGUILLON</v>
          </cell>
          <cell r="M338">
            <v>145</v>
          </cell>
          <cell r="N338" t="str">
            <v>CONTRATO DE PRESTACION DE SERVICIOS PROFESIONALES</v>
          </cell>
          <cell r="O338">
            <v>226</v>
          </cell>
          <cell r="P338">
            <v>43122</v>
          </cell>
          <cell r="Q338" t="str">
            <v>Prestar sus servicios profesionales a la Dirección Jurídica como enlace de la Dirección de Mejoramiento de Barrios en el desarrollo de actividades jurídicas relacionadas con los procedimientos, actuaciones, competencias y trámites en general que se encuentren a cargo de aquella Dirección</v>
          </cell>
          <cell r="R338">
            <v>27192000</v>
          </cell>
          <cell r="S338">
            <v>0</v>
          </cell>
          <cell r="T338">
            <v>0</v>
          </cell>
          <cell r="U338">
            <v>27192000</v>
          </cell>
          <cell r="V338">
            <v>27192000</v>
          </cell>
        </row>
        <row r="339">
          <cell r="J339">
            <v>329</v>
          </cell>
          <cell r="K339">
            <v>43123</v>
          </cell>
          <cell r="L339" t="str">
            <v>GRETEL STELLA MEDRANO MORA</v>
          </cell>
          <cell r="M339">
            <v>145</v>
          </cell>
          <cell r="N339" t="str">
            <v>CONTRATO DE PRESTACION DE SERVICIOS PROFESIONALES</v>
          </cell>
          <cell r="O339">
            <v>288</v>
          </cell>
          <cell r="P339">
            <v>43123</v>
          </cell>
          <cell r="Q339" t="str">
            <v>Prestación de Servicios profesionales para apoyar a la Dirección de Mejoramiento de Barrios de la Caja de la Vivienda Popular en los procesos y procedimientos de carácter administrativo, financiero y presupuestal que se requieran.</v>
          </cell>
          <cell r="R339">
            <v>40865250</v>
          </cell>
          <cell r="S339">
            <v>0</v>
          </cell>
          <cell r="T339">
            <v>0</v>
          </cell>
          <cell r="U339">
            <v>40865250</v>
          </cell>
          <cell r="V339">
            <v>22268600</v>
          </cell>
        </row>
        <row r="340">
          <cell r="J340">
            <v>332</v>
          </cell>
          <cell r="K340">
            <v>43123</v>
          </cell>
          <cell r="L340" t="str">
            <v>LAURA FERNANDA GOMEZ RAMIREZ</v>
          </cell>
          <cell r="M340">
            <v>145</v>
          </cell>
          <cell r="N340" t="str">
            <v>CONTRATO DE PRESTACION DE SERVICIOS PROFESIONALES</v>
          </cell>
          <cell r="O340">
            <v>282</v>
          </cell>
          <cell r="P340">
            <v>43123</v>
          </cell>
          <cell r="Q340" t="str">
            <v>Prestar servicios profesionales en la Dirección de Mejoramiento de Barrios para el acompañamiento jurídico requerido, sirviendo además de enlace con la Dirección de Gestión Corporativa y CID para el adelantamiento de las diferentes etapas de los procesos de contratación.</v>
          </cell>
          <cell r="R340">
            <v>57500000</v>
          </cell>
          <cell r="S340">
            <v>0</v>
          </cell>
          <cell r="T340">
            <v>0</v>
          </cell>
          <cell r="U340">
            <v>57500000</v>
          </cell>
          <cell r="V340">
            <v>30166667</v>
          </cell>
        </row>
        <row r="341">
          <cell r="J341">
            <v>376</v>
          </cell>
          <cell r="K341">
            <v>43124</v>
          </cell>
          <cell r="L341" t="str">
            <v>FRANCISCO JOSE ARGUELLO ROJAS</v>
          </cell>
          <cell r="M341">
            <v>145</v>
          </cell>
          <cell r="N341" t="str">
            <v>CONTRATO DE PRESTACION DE SERVICIOS PROFESIONALES</v>
          </cell>
          <cell r="O341">
            <v>301</v>
          </cell>
          <cell r="P341">
            <v>43124</v>
          </cell>
          <cell r="Q341" t="str">
            <v>Prestar los servicios profesionales para la planeación, realización y desarrollo de contenidos periodísticos que permitan la difusión y divulgación de la gestión de cada una de las áreas misionales de la Caja de la Vivienda Popular.</v>
          </cell>
          <cell r="R341">
            <v>11330000</v>
          </cell>
          <cell r="S341">
            <v>11330000</v>
          </cell>
          <cell r="T341">
            <v>0</v>
          </cell>
          <cell r="U341">
            <v>0</v>
          </cell>
          <cell r="V341">
            <v>0</v>
          </cell>
        </row>
        <row r="342">
          <cell r="J342">
            <v>404</v>
          </cell>
          <cell r="K342">
            <v>43124</v>
          </cell>
          <cell r="L342" t="str">
            <v>FRANCISCO JOSE ARGUELLO ROJAS</v>
          </cell>
          <cell r="M342">
            <v>145</v>
          </cell>
          <cell r="N342" t="str">
            <v>CONTRATO DE PRESTACION DE SERVICIOS PROFESIONALES</v>
          </cell>
          <cell r="O342">
            <v>304</v>
          </cell>
          <cell r="P342">
            <v>43124</v>
          </cell>
          <cell r="Q342" t="str">
            <v>Prestar los servicios profesionales para la planeación, realización y desarrollo de contenidos periodísticos que permitan la difusión y divulgación de la gestión de cada una de las áreas misionales de la Caja de la Vivienda Popular.</v>
          </cell>
          <cell r="R342">
            <v>11330000</v>
          </cell>
          <cell r="S342">
            <v>0</v>
          </cell>
          <cell r="T342">
            <v>0</v>
          </cell>
          <cell r="U342">
            <v>11330000</v>
          </cell>
          <cell r="V342">
            <v>6420333</v>
          </cell>
        </row>
        <row r="343">
          <cell r="J343">
            <v>438</v>
          </cell>
          <cell r="K343">
            <v>43125</v>
          </cell>
          <cell r="L343" t="str">
            <v>LOTERO ZULUAGA ABOGADOS S A S</v>
          </cell>
          <cell r="M343">
            <v>145</v>
          </cell>
          <cell r="N343" t="str">
            <v>CONTRATO DE PRESTACION DE SERVICIOS PROFESIONALES</v>
          </cell>
          <cell r="O343">
            <v>379</v>
          </cell>
          <cell r="P343">
            <v>43125</v>
          </cell>
          <cell r="Q343" t="str">
            <v>Prestación de servicios profesionales para brindar asesoría jurídica y acompañamiento externo en la gestión contractual y demás trámites administrativos que sean requeridos.</v>
          </cell>
          <cell r="R343">
            <v>47380000</v>
          </cell>
          <cell r="S343">
            <v>47380000</v>
          </cell>
          <cell r="T343">
            <v>0</v>
          </cell>
          <cell r="U343">
            <v>0</v>
          </cell>
          <cell r="V343">
            <v>0</v>
          </cell>
        </row>
        <row r="344">
          <cell r="J344">
            <v>444</v>
          </cell>
          <cell r="K344">
            <v>43125</v>
          </cell>
          <cell r="L344" t="str">
            <v>LOTERO ZULUAGA ABOGADOS S A S</v>
          </cell>
          <cell r="M344">
            <v>145</v>
          </cell>
          <cell r="N344" t="str">
            <v>CONTRATO DE PRESTACION DE SERVICIOS PROFESIONALES</v>
          </cell>
          <cell r="O344">
            <v>379</v>
          </cell>
          <cell r="P344">
            <v>43125</v>
          </cell>
          <cell r="Q344" t="str">
            <v>Prestación de servicios profesionales para brindar asesoría jurídica y acompañamiento externo en la gestión contractual y demás trámites administrativos que sean requeridos.</v>
          </cell>
          <cell r="R344">
            <v>44000000</v>
          </cell>
          <cell r="S344">
            <v>0</v>
          </cell>
          <cell r="T344">
            <v>0</v>
          </cell>
          <cell r="U344">
            <v>44000000</v>
          </cell>
          <cell r="V344">
            <v>24666667</v>
          </cell>
        </row>
        <row r="345">
          <cell r="J345">
            <v>451</v>
          </cell>
          <cell r="K345">
            <v>43125</v>
          </cell>
          <cell r="L345" t="str">
            <v>JUAN JOSE SALAMANCA GONZALEZ</v>
          </cell>
          <cell r="M345">
            <v>148</v>
          </cell>
          <cell r="N345" t="str">
            <v>CONTRATO DE PRESTACION DE SERVICIOS DE APOYO A LA GESTION</v>
          </cell>
          <cell r="O345">
            <v>381</v>
          </cell>
          <cell r="P345">
            <v>43125</v>
          </cell>
          <cell r="Q345" t="str">
            <v>Prestación de servicios para apoyar las actividades documentales y operativas que se requieran acorde a la normatividad vigente de los proyectos de intervención física a escala barrial que se encuentren a cargo de la Dirección de Mejoramiento de Barrios de la Caja de la Vivienda Popular.</v>
          </cell>
          <cell r="R345">
            <v>17767500</v>
          </cell>
          <cell r="S345">
            <v>0</v>
          </cell>
          <cell r="T345">
            <v>0</v>
          </cell>
          <cell r="U345">
            <v>17767500</v>
          </cell>
          <cell r="V345">
            <v>9527500</v>
          </cell>
        </row>
        <row r="346">
          <cell r="J346">
            <v>465</v>
          </cell>
          <cell r="K346">
            <v>43126</v>
          </cell>
          <cell r="L346" t="str">
            <v>LUIS ROLANDO RIAÑO ORTIZ</v>
          </cell>
          <cell r="M346">
            <v>145</v>
          </cell>
          <cell r="N346" t="str">
            <v>CONTRATO DE PRESTACION DE SERVICIOS PROFESIONALES</v>
          </cell>
          <cell r="O346">
            <v>392</v>
          </cell>
          <cell r="P346">
            <v>43126</v>
          </cell>
          <cell r="Q346" t="str">
            <v>Prestación de Servicios profesionales para apoyar a la gestión operativa de la Dirección de Mejoramiento de Barrios de la Caja de Vivienda Popular en los proyectos de intervención física a escala barrial.</v>
          </cell>
          <cell r="R346">
            <v>90640000</v>
          </cell>
          <cell r="S346">
            <v>0</v>
          </cell>
          <cell r="T346">
            <v>0</v>
          </cell>
          <cell r="U346">
            <v>90640000</v>
          </cell>
          <cell r="V346">
            <v>50813333</v>
          </cell>
        </row>
        <row r="347">
          <cell r="J347">
            <v>483</v>
          </cell>
          <cell r="K347">
            <v>43126</v>
          </cell>
          <cell r="L347" t="str">
            <v>OSCAR LEONARDO HERNANDEZ VELASQUEZ</v>
          </cell>
          <cell r="M347">
            <v>145</v>
          </cell>
          <cell r="N347" t="str">
            <v>CONTRATO DE PRESTACION DE SERVICIOS PROFESIONALES</v>
          </cell>
          <cell r="O347">
            <v>405</v>
          </cell>
          <cell r="P347">
            <v>43126</v>
          </cell>
          <cell r="Q347" t="str">
            <v>Prestación de servicios profesionales en apoyo al equipo técnico de la Dirección de Mejoramiento de Barrios de la Caja de Vivienda Popular en los proyectos de intervención física a escala barrial.</v>
          </cell>
          <cell r="R347">
            <v>73645000</v>
          </cell>
          <cell r="S347">
            <v>0</v>
          </cell>
          <cell r="T347">
            <v>0</v>
          </cell>
          <cell r="U347">
            <v>73645000</v>
          </cell>
          <cell r="V347">
            <v>40616333</v>
          </cell>
        </row>
        <row r="348">
          <cell r="J348">
            <v>496</v>
          </cell>
          <cell r="K348">
            <v>43126</v>
          </cell>
          <cell r="L348" t="str">
            <v>SANDRA VIVIANA ACOSTA RODRIGUEZ</v>
          </cell>
          <cell r="M348">
            <v>145</v>
          </cell>
          <cell r="N348" t="str">
            <v>CONTRATO DE PRESTACION DE SERVICIOS PROFESIONALES</v>
          </cell>
          <cell r="O348">
            <v>425</v>
          </cell>
          <cell r="P348">
            <v>43126</v>
          </cell>
          <cell r="Q348" t="str">
            <v>Prestación de Servicios profesionales para apoyar a la Dirección de Mejoramiento de Barrios de la Caja de Vivienda Popular en los proyectos de intervención física a escala barrial que en materia técnica se requiera.</v>
          </cell>
          <cell r="R348">
            <v>40865250</v>
          </cell>
          <cell r="S348">
            <v>0</v>
          </cell>
          <cell r="T348">
            <v>0</v>
          </cell>
          <cell r="U348">
            <v>40865250</v>
          </cell>
          <cell r="V348">
            <v>21557900</v>
          </cell>
        </row>
        <row r="349">
          <cell r="J349">
            <v>499</v>
          </cell>
          <cell r="K349">
            <v>43126</v>
          </cell>
          <cell r="L349" t="str">
            <v>ALBA MARIA CAMACHO RINCON</v>
          </cell>
          <cell r="M349">
            <v>145</v>
          </cell>
          <cell r="N349" t="str">
            <v>CONTRATO DE PRESTACION DE SERVICIOS PROFESIONALES</v>
          </cell>
          <cell r="O349">
            <v>409</v>
          </cell>
          <cell r="P349">
            <v>43126</v>
          </cell>
          <cell r="Q349" t="str">
            <v>Prestación de Servicios profesionales para apoyar a la Dirección de Mejoramiento de Barrios de la Caja de Vivienda Popular en los proyectos de intervención física a escala barrial que en materia social se requiera.</v>
          </cell>
          <cell r="R349">
            <v>39088500</v>
          </cell>
          <cell r="S349">
            <v>0</v>
          </cell>
          <cell r="T349">
            <v>0</v>
          </cell>
          <cell r="U349">
            <v>39088500</v>
          </cell>
          <cell r="V349">
            <v>21557900</v>
          </cell>
        </row>
        <row r="350">
          <cell r="J350">
            <v>502</v>
          </cell>
          <cell r="K350">
            <v>43126</v>
          </cell>
          <cell r="L350" t="str">
            <v>JUAN SEBASTIAN BEJARANO CASTAÑEDA</v>
          </cell>
          <cell r="M350">
            <v>148</v>
          </cell>
          <cell r="N350" t="str">
            <v>CONTRATO DE PRESTACION DE SERVICIOS DE APOYO A LA GESTION</v>
          </cell>
          <cell r="O350">
            <v>413</v>
          </cell>
          <cell r="P350">
            <v>43126</v>
          </cell>
          <cell r="Q350" t="str">
            <v>Prestación de servicios para apoyar las actividades documentales y operativas que se requieran acorde a la normatividad vigente de los proyectos de intervención física a escala barrial que se encuentren a cargo de la Dirección de Mejoramiento de Barrios de la Caja de la Vivienda Popular.</v>
          </cell>
          <cell r="R350">
            <v>17767500</v>
          </cell>
          <cell r="S350">
            <v>0</v>
          </cell>
          <cell r="T350">
            <v>0</v>
          </cell>
          <cell r="U350">
            <v>17767500</v>
          </cell>
          <cell r="V350">
            <v>9373000</v>
          </cell>
        </row>
        <row r="351">
          <cell r="J351">
            <v>504</v>
          </cell>
          <cell r="K351">
            <v>43126</v>
          </cell>
          <cell r="L351" t="str">
            <v>DENIS STICK CALCETO</v>
          </cell>
          <cell r="M351">
            <v>145</v>
          </cell>
          <cell r="N351" t="str">
            <v>CONTRATO DE PRESTACION DE SERVICIOS PROFESIONALES</v>
          </cell>
          <cell r="O351">
            <v>414</v>
          </cell>
          <cell r="P351">
            <v>43126</v>
          </cell>
          <cell r="Q351" t="str">
            <v>Prestación de Servicios profesionales para apoyar a la Dirección de Mejoramiento de Barrios de la Caja de Vivienda Popular en los proyectos de intervención física a escala barrial que en materia técnica se requiera.</v>
          </cell>
          <cell r="R351">
            <v>57922050</v>
          </cell>
          <cell r="S351">
            <v>0</v>
          </cell>
          <cell r="T351">
            <v>0</v>
          </cell>
          <cell r="U351">
            <v>57922050</v>
          </cell>
          <cell r="V351">
            <v>30555980</v>
          </cell>
        </row>
        <row r="352">
          <cell r="J352">
            <v>1541</v>
          </cell>
          <cell r="K352">
            <v>43165</v>
          </cell>
          <cell r="L352" t="str">
            <v>POSITIVA COMPAÑIA DE SEGUROS SA</v>
          </cell>
          <cell r="M352">
            <v>54</v>
          </cell>
          <cell r="N352" t="str">
            <v>ORDEN DE SUMINISTRO DE SERVICIOS</v>
          </cell>
          <cell r="O352">
            <v>3</v>
          </cell>
          <cell r="P352">
            <v>43165</v>
          </cell>
          <cell r="Q352" t="str">
            <v>PAGO DE COTIZACIÓN AL SISTEMA GENERAL DE RIESGOS LABORALES DE LAS PERSONAS VINCULADAS A TRAVÉS DE UN CONTRATO DE PRESTACIÓN DE SERVICIOS CON LA CAJA DE LA VIVIENDA POPULAR QUE LABORAN EN ACTIVIDADES DE ALTO RIESGO, SEGÚN EN EL ARTÍCULO 13 DEL DECRETO 723 DE 2013. MES DE MARZO DE 2018</v>
          </cell>
          <cell r="R352">
            <v>841600</v>
          </cell>
          <cell r="S352">
            <v>841600</v>
          </cell>
          <cell r="T352">
            <v>0</v>
          </cell>
          <cell r="U352">
            <v>0</v>
          </cell>
          <cell r="V352">
            <v>0</v>
          </cell>
        </row>
        <row r="353">
          <cell r="J353">
            <v>1542</v>
          </cell>
          <cell r="K353">
            <v>43165</v>
          </cell>
          <cell r="L353" t="str">
            <v>POSITIVA COMPAÑIA DE SEGUROS SA</v>
          </cell>
          <cell r="M353">
            <v>30</v>
          </cell>
          <cell r="N353" t="str">
            <v>ORDEN DE PRESTACION DE SERVICIOS</v>
          </cell>
          <cell r="O353">
            <v>3</v>
          </cell>
          <cell r="P353">
            <v>43165</v>
          </cell>
          <cell r="Q353" t="str">
            <v>PAGO DE COTIZACIÓN AL SISTEMA GENERAL DE RIESGOS LABORALES DE LAS PERSONAS VINCULADAS A TRAVÉS DE UN CONTRATO DE PRESTACIÓN DE SERVICIOS CON LA CAJA DE LA VIVIENDA POPULAR QUE LABORAN EN ACTIVIDADES DE ALTO RIESGO, SEGÚN EN EL ARTÍCULO 13 DEL DECRETO 723 DE 2013. MES DE MARZO DE 2018</v>
          </cell>
          <cell r="R353">
            <v>841600</v>
          </cell>
          <cell r="S353">
            <v>0</v>
          </cell>
          <cell r="T353">
            <v>0</v>
          </cell>
          <cell r="U353">
            <v>841600</v>
          </cell>
          <cell r="V353">
            <v>841600</v>
          </cell>
        </row>
        <row r="354">
          <cell r="J354">
            <v>1720</v>
          </cell>
          <cell r="K354">
            <v>43195</v>
          </cell>
          <cell r="L354" t="str">
            <v>POSITIVA COMPAÑIA DE SEGUROS SA</v>
          </cell>
          <cell r="M354">
            <v>30</v>
          </cell>
          <cell r="N354" t="str">
            <v>ORDEN DE PRESTACION DE SERVICIOS</v>
          </cell>
          <cell r="O354">
            <v>4</v>
          </cell>
          <cell r="P354">
            <v>43195</v>
          </cell>
          <cell r="Q354" t="str">
            <v>PAGO DE COTIZACIÓN AL SISTEMA GENERAL DE RIESGOS LABORALES DE LAS PERSONAS VINCULADAS A TRAVÉS DE UN CONTRATO DE PRESTACIÓN DE SERVICIOS CON LA CAJA DE LA VIVIENDA POPULAR QUE LABORAN EN ACTIVIDADES DE ALTO RIESGO, SEGÚN EN EL ARTÍCULO 13 DEL DECRETO 723 DE 2013. MES DE ABRIL 2018</v>
          </cell>
          <cell r="R354">
            <v>2660200</v>
          </cell>
          <cell r="S354">
            <v>0</v>
          </cell>
          <cell r="T354">
            <v>0</v>
          </cell>
          <cell r="U354">
            <v>2660200</v>
          </cell>
          <cell r="V354">
            <v>2660200</v>
          </cell>
        </row>
        <row r="355">
          <cell r="J355">
            <v>1911</v>
          </cell>
          <cell r="K355">
            <v>43236</v>
          </cell>
          <cell r="L355" t="str">
            <v>POSITIVA COMPAÑIA DE SEGUROS SA</v>
          </cell>
          <cell r="M355">
            <v>30</v>
          </cell>
          <cell r="N355" t="str">
            <v>ORDEN DE PRESTACION DE SERVICIOS</v>
          </cell>
          <cell r="O355">
            <v>5</v>
          </cell>
          <cell r="P355">
            <v>43236</v>
          </cell>
          <cell r="Q355" t="str">
            <v>PAGO DE COTIZACIÓN AL SISTEMA GENERAL DE RIESGOS LABORALES DE LAS PERSONAS VINCULADAS A TRAVÉS DE UN CONTRATO DE PRESTACIÓN DE SERVICIOS CON LA CAJA DE LA VIVIENDA POPULAR QUE LABORAN EN ACTIVIDADES DE ALTO RIESGO, SEGÚN EN EL ARTÍCULO 13 DEL DECRETO 723 DE 2013. MES DE MAYO 2018</v>
          </cell>
          <cell r="R355">
            <v>2660200</v>
          </cell>
          <cell r="S355">
            <v>0</v>
          </cell>
          <cell r="T355">
            <v>0</v>
          </cell>
          <cell r="U355">
            <v>2660200</v>
          </cell>
          <cell r="V355">
            <v>2660200</v>
          </cell>
        </row>
        <row r="356">
          <cell r="J356">
            <v>2007</v>
          </cell>
          <cell r="K356">
            <v>43258</v>
          </cell>
          <cell r="L356" t="str">
            <v>POSITIVA COMPAÑIA DE SEGUROS SA</v>
          </cell>
          <cell r="M356">
            <v>30</v>
          </cell>
          <cell r="N356" t="str">
            <v>ORDEN DE PRESTACION DE SERVICIOS</v>
          </cell>
          <cell r="O356">
            <v>6</v>
          </cell>
          <cell r="P356">
            <v>43258</v>
          </cell>
          <cell r="Q356" t="str">
            <v>PAGO DE COTIZACIÓN AL SISTEMA GENERAL DE RIESGOS LABORALES DE LAS PERSONAS VINCULADAS A TRAVÉS DE UN CONTRATO DE PRESTACIÓN DE SERVICIOS CON LA CAJA DE LA VIVIENDA POPULAR QUE LABORAN EN ACTIVIDADES DE ALTO RIESGO, SEGÚN EN EL ARTÍCULO 13 DEL DECRETO 723 DE 2013. MES DE JUNIO DE 2018</v>
          </cell>
          <cell r="R356">
            <v>2660200</v>
          </cell>
          <cell r="S356">
            <v>0</v>
          </cell>
          <cell r="T356">
            <v>0</v>
          </cell>
          <cell r="U356">
            <v>2660200</v>
          </cell>
          <cell r="V356">
            <v>2660200</v>
          </cell>
        </row>
        <row r="357">
          <cell r="J357">
            <v>2457</v>
          </cell>
          <cell r="K357">
            <v>43290</v>
          </cell>
          <cell r="L357" t="str">
            <v>POSITIVA COMPAÑIA DE SEGUROS SA</v>
          </cell>
          <cell r="M357">
            <v>30</v>
          </cell>
          <cell r="N357" t="str">
            <v>ORDEN DE PRESTACION DE SERVICIOS</v>
          </cell>
          <cell r="O357">
            <v>7</v>
          </cell>
          <cell r="P357">
            <v>43290</v>
          </cell>
          <cell r="Q357" t="str">
            <v>PAGO DE COTIZACIÓN AL SISTEMA GENERAL DE RIESGOS LABORALES DE LAS PERSONAS VINCULADAS A TRAVÉS DE UN CONTRATO DE PRESTACIÓN DE SERVICIOS CON LA CAJA DE LA VIVIENDA POPULAR QUE LABORAN EN ACTIVIDADES DE ALTO RIESGO, SEGÚN EN EL ARTÍCULO 13 DEL DECRETO 723 DE 2013. MES JULIO DE 2018</v>
          </cell>
          <cell r="R357">
            <v>2660200</v>
          </cell>
          <cell r="S357">
            <v>0</v>
          </cell>
          <cell r="T357">
            <v>0</v>
          </cell>
          <cell r="U357">
            <v>2660200</v>
          </cell>
          <cell r="V357">
            <v>2660200</v>
          </cell>
        </row>
        <row r="358">
          <cell r="J358">
            <v>2518</v>
          </cell>
          <cell r="K358">
            <v>43300</v>
          </cell>
          <cell r="L358" t="str">
            <v>AGUSTIN  LOBATON CORTES</v>
          </cell>
          <cell r="M358">
            <v>145</v>
          </cell>
          <cell r="N358" t="str">
            <v>CONTRATO DE PRESTACION DE SERVICIOS PROFESIONALES</v>
          </cell>
          <cell r="O358">
            <v>226</v>
          </cell>
          <cell r="P358">
            <v>43300</v>
          </cell>
          <cell r="Q358" t="str">
            <v>ADICIÓN Y PRORROGA AL CONTRATO 226 DE 2018 CUYO OBJETO ES "PRESTAR SUS SERVICIOS PROFESIONALES EN LA DIRECCIÓN JURÍDICA COMO ENLACE DE LA DIRECCIÓN DE MEJORAMIENTO DE BARRIOS EN EL DESARROLLO DE ACTIVIDADES JURÍDICAS RELACIONADAS CON LOS PROCEDIMIENTOS, ACTUACIONES, COMPETENCIAS Y TRÁMITES EN GENERAL QUE SE ENCUENTREN A CARGO DE AQUELLA DIRECCIÓN</v>
          </cell>
          <cell r="R358">
            <v>4532000</v>
          </cell>
          <cell r="S358">
            <v>0</v>
          </cell>
          <cell r="T358">
            <v>0</v>
          </cell>
          <cell r="U358">
            <v>4532000</v>
          </cell>
          <cell r="V358">
            <v>1510667</v>
          </cell>
        </row>
        <row r="359">
          <cell r="J359">
            <v>2534</v>
          </cell>
          <cell r="K359">
            <v>43305</v>
          </cell>
          <cell r="L359" t="str">
            <v>MONICA JOHANNA CHIPATECUA QUEVEDO</v>
          </cell>
          <cell r="M359">
            <v>148</v>
          </cell>
          <cell r="N359" t="str">
            <v>CONTRATO DE PRESTACION DE SERVICIOS DE APOYO A LA GESTION</v>
          </cell>
          <cell r="O359">
            <v>452</v>
          </cell>
          <cell r="P359">
            <v>43336</v>
          </cell>
          <cell r="Q359" t="str">
            <v>Prestación de servicios para apoyar las actividades documentales y operativas que se requieran acorde a la normatividad vigente de los proyectos de intervención física a escala barrial que se encuentren a cargo de la Dirección de Mejoramiento de Barrios de la Caja de la Vivienda Popular.</v>
          </cell>
          <cell r="R359">
            <v>8240000</v>
          </cell>
          <cell r="S359">
            <v>0</v>
          </cell>
          <cell r="T359">
            <v>0</v>
          </cell>
          <cell r="U359">
            <v>8240000</v>
          </cell>
          <cell r="V359">
            <v>0</v>
          </cell>
        </row>
        <row r="360">
          <cell r="J360">
            <v>2541</v>
          </cell>
          <cell r="K360">
            <v>43305</v>
          </cell>
          <cell r="L360" t="str">
            <v>LUIS ALFONSO DIAZ MARTIN</v>
          </cell>
          <cell r="M360">
            <v>148</v>
          </cell>
          <cell r="N360" t="str">
            <v>CONTRATO DE PRESTACION DE SERVICIOS DE APOYO A LA GESTION</v>
          </cell>
          <cell r="O360">
            <v>455</v>
          </cell>
          <cell r="P360">
            <v>43305</v>
          </cell>
          <cell r="Q360" t="str">
            <v>Prestación de servicios para apoyar las actividades documentales y operativas que se requieran acorde a la normatividad vigente de los proyectos de intervención física a escala barrial que se encuentren a cargo de la Dirección de Mejoramiento de Barrios de la Caja de la Vivienda Popular.</v>
          </cell>
          <cell r="R360">
            <v>8240000</v>
          </cell>
          <cell r="S360">
            <v>0</v>
          </cell>
          <cell r="T360">
            <v>0</v>
          </cell>
          <cell r="U360">
            <v>8240000</v>
          </cell>
          <cell r="V360">
            <v>309000</v>
          </cell>
        </row>
        <row r="361">
          <cell r="J361">
            <v>2548</v>
          </cell>
          <cell r="K361">
            <v>43311</v>
          </cell>
          <cell r="L361" t="str">
            <v>NATALY ANGELICA NOGALES VARGAS</v>
          </cell>
          <cell r="M361">
            <v>148</v>
          </cell>
          <cell r="N361" t="str">
            <v>CONTRATO DE PRESTACION DE SERVICIOS DE APOYO A LA GESTION</v>
          </cell>
          <cell r="O361">
            <v>466</v>
          </cell>
          <cell r="P361">
            <v>43311</v>
          </cell>
          <cell r="Q361" t="str">
            <v>Prestación de servicios para apoyar las actividades documentales y operativas que se requieran acorde a la normatividad vigente de los proyectos de intervención física a escala barrial que se encuentren a cargo de la Dirección de Mejoramiento de Barrios de la Caja de la Vivienda Popular.</v>
          </cell>
          <cell r="R361">
            <v>7725000</v>
          </cell>
          <cell r="S361">
            <v>0</v>
          </cell>
          <cell r="T361">
            <v>0</v>
          </cell>
          <cell r="U361">
            <v>7725000</v>
          </cell>
          <cell r="V361">
            <v>0</v>
          </cell>
        </row>
        <row r="362">
          <cell r="J362">
            <v>2561</v>
          </cell>
          <cell r="K362">
            <v>43313</v>
          </cell>
          <cell r="L362" t="str">
            <v>NATALIA MERCEDES BOCANEGRA MONTALVO</v>
          </cell>
          <cell r="M362">
            <v>148</v>
          </cell>
          <cell r="N362" t="str">
            <v>CONTRATO DE PRESTACION DE SERVICIOS DE APOYO A LA GESTION</v>
          </cell>
          <cell r="O362">
            <v>465</v>
          </cell>
          <cell r="P362">
            <v>43313</v>
          </cell>
          <cell r="Q362" t="str">
            <v>Prestación de servicios para apoyar las actividades documentales y operativas que se requieran acorde a la normatividad vigente de los proyectos de intervención física a escala barrial que se encuentren a cargo de la Dirección de Mejoramiento de Barrios de la Caja de la Vivienda Popular.</v>
          </cell>
          <cell r="R362">
            <v>7725000</v>
          </cell>
          <cell r="S362">
            <v>0</v>
          </cell>
          <cell r="T362">
            <v>0</v>
          </cell>
          <cell r="U362">
            <v>7725000</v>
          </cell>
          <cell r="V362">
            <v>0</v>
          </cell>
        </row>
        <row r="363">
          <cell r="J363">
            <v>2593</v>
          </cell>
          <cell r="K363">
            <v>43315</v>
          </cell>
          <cell r="L363" t="str">
            <v>POSITIVA COMPAÑIA DE SEGUROS SA</v>
          </cell>
          <cell r="M363">
            <v>30</v>
          </cell>
          <cell r="N363" t="str">
            <v>ORDEN DE PRESTACION DE SERVICIOS</v>
          </cell>
          <cell r="O363">
            <v>8</v>
          </cell>
          <cell r="P363">
            <v>43315</v>
          </cell>
          <cell r="Q363" t="str">
            <v>PAGO DE COTIZACIÓN AL SISTEMA GENERAL DE RIESGOS LABORALES DE LAS PERSONAS VINCULADAS A TRAVÉS DE UN CONTRATO DE PRESTACIÓN DE SERVICIOS CON LA CAJA DE LA VIVIENDA POPULAR QUE LABORAN EN ACTIVIDADES DE ALTO RIESGO, SEGÚN EN EL ARTÍCULO 13 DEL DECRETO 723 DE 2013. MES DE AGOSTO DE 2018.</v>
          </cell>
          <cell r="R363">
            <v>2660200</v>
          </cell>
          <cell r="S363">
            <v>0</v>
          </cell>
          <cell r="T363">
            <v>0</v>
          </cell>
          <cell r="U363">
            <v>2660200</v>
          </cell>
          <cell r="V363">
            <v>2660200</v>
          </cell>
        </row>
        <row r="364">
          <cell r="J364">
            <v>2597</v>
          </cell>
          <cell r="K364">
            <v>43315</v>
          </cell>
          <cell r="L364" t="str">
            <v>ALEJANDRA MARIA MUSKUS CARRIAZO</v>
          </cell>
          <cell r="M364">
            <v>145</v>
          </cell>
          <cell r="N364" t="str">
            <v>CONTRATO DE PRESTACION DE SERVICIOS PROFESIONALES</v>
          </cell>
          <cell r="O364">
            <v>476</v>
          </cell>
          <cell r="P364">
            <v>43315</v>
          </cell>
          <cell r="Q364" t="str">
            <v>Prestar sus servicios profesionales en la Dirección Jurídica como enlace de la Dirección de Mejoramiento de Barrios en el desarrollo de actividades jurídicas relacionadas con los procedimientos, actuaciones, competencias y trámites en general que se encuentren a cargo de aquella Dirección.</v>
          </cell>
          <cell r="R364">
            <v>17767500</v>
          </cell>
          <cell r="S364">
            <v>0</v>
          </cell>
          <cell r="T364">
            <v>0</v>
          </cell>
          <cell r="U364">
            <v>17767500</v>
          </cell>
          <cell r="V364">
            <v>0</v>
          </cell>
        </row>
        <row r="365">
          <cell r="J365">
            <v>2647</v>
          </cell>
          <cell r="K365">
            <v>43326</v>
          </cell>
          <cell r="L365" t="str">
            <v>JUAN PABLO GARCIA LIZARAZO</v>
          </cell>
          <cell r="M365">
            <v>145</v>
          </cell>
          <cell r="N365" t="str">
            <v>CONTRATO DE PRESTACION DE SERVICIOS PROFESIONALES</v>
          </cell>
          <cell r="O365">
            <v>487</v>
          </cell>
          <cell r="P365">
            <v>43326</v>
          </cell>
          <cell r="Q365" t="str">
            <v>Prestación de Servicios profesionales para apoyar a la Dirección de Mejoramiento de Barrios de la Caja de Vivienda Popular en los proyectos de intervención física a escala barrial que en materia técnica se requiera.</v>
          </cell>
          <cell r="R365">
            <v>16583000</v>
          </cell>
          <cell r="S365">
            <v>0</v>
          </cell>
          <cell r="T365">
            <v>0</v>
          </cell>
          <cell r="U365">
            <v>16583000</v>
          </cell>
          <cell r="V365">
            <v>0</v>
          </cell>
        </row>
        <row r="366">
          <cell r="J366">
            <v>2652</v>
          </cell>
          <cell r="K366">
            <v>43326</v>
          </cell>
          <cell r="L366" t="str">
            <v>GINA MARCELA ALVARADO GONZALEZ</v>
          </cell>
          <cell r="M366">
            <v>145</v>
          </cell>
          <cell r="N366" t="str">
            <v>CONTRATO DE PRESTACION DE SERVICIOS PROFESIONALES</v>
          </cell>
          <cell r="O366">
            <v>1004</v>
          </cell>
          <cell r="P366">
            <v>43326</v>
          </cell>
          <cell r="Q366" t="str">
            <v>Prestación de Servicios profesionales de carácter jurídico para apoyar a la Dirección de Mejoramiento de Barrios de la Caja de la Vivienda Popular.</v>
          </cell>
          <cell r="R366">
            <v>30900000</v>
          </cell>
          <cell r="S366">
            <v>30900000</v>
          </cell>
          <cell r="T366">
            <v>0</v>
          </cell>
          <cell r="U366">
            <v>0</v>
          </cell>
          <cell r="V366">
            <v>0</v>
          </cell>
        </row>
        <row r="367">
          <cell r="J367">
            <v>2656</v>
          </cell>
          <cell r="K367">
            <v>43326</v>
          </cell>
          <cell r="L367" t="str">
            <v>GINA MARCELA ALVARADO GONZALEZ</v>
          </cell>
          <cell r="M367">
            <v>145</v>
          </cell>
          <cell r="N367" t="str">
            <v>CONTRATO DE PRESTACION DE SERVICIOS PROFESIONALES</v>
          </cell>
          <cell r="O367">
            <v>492</v>
          </cell>
          <cell r="P367">
            <v>43326</v>
          </cell>
          <cell r="Q367" t="str">
            <v>Prestación de Servicios profesionales de carácter jurídico para apoyar a la Dirección de Mejoramiento de Barrios de la Caja de la Vivienda Popular.</v>
          </cell>
          <cell r="R367">
            <v>30900000</v>
          </cell>
          <cell r="S367">
            <v>0</v>
          </cell>
          <cell r="T367">
            <v>0</v>
          </cell>
          <cell r="U367">
            <v>30900000</v>
          </cell>
          <cell r="V367">
            <v>0</v>
          </cell>
        </row>
        <row r="368">
          <cell r="J368">
            <v>2686</v>
          </cell>
          <cell r="K368">
            <v>43329</v>
          </cell>
          <cell r="L368" t="str">
            <v>AGUSTIN  LOBATON CORTES</v>
          </cell>
          <cell r="M368">
            <v>145</v>
          </cell>
          <cell r="N368" t="str">
            <v>CONTRATO DE PRESTACION DE SERVICIOS PROFESIONALES</v>
          </cell>
          <cell r="O368">
            <v>226</v>
          </cell>
          <cell r="P368">
            <v>43329</v>
          </cell>
          <cell r="Q368" t="str">
            <v>Adición y prorroga al contrato 226 de 2018 cuyo objeto es "Prestar sus servicios profesionales en la Dirección Jurídica como enlace de la Dirección de Mejoramiento de Barrios en el desarrollo de actividades jurídicas relacionadas con los procedimientos, actuaciones, competencias y trámites en general que se encuentren a cargo de aquella Dirección.</v>
          </cell>
          <cell r="R368">
            <v>9064000</v>
          </cell>
          <cell r="S368">
            <v>0</v>
          </cell>
          <cell r="T368">
            <v>0</v>
          </cell>
          <cell r="U368">
            <v>9064000</v>
          </cell>
          <cell r="V368">
            <v>0</v>
          </cell>
        </row>
        <row r="369">
          <cell r="J369">
            <v>2723</v>
          </cell>
          <cell r="K369">
            <v>43335</v>
          </cell>
          <cell r="L369" t="str">
            <v>VALENTINA  ESTEBAN BERNAL</v>
          </cell>
          <cell r="M369">
            <v>148</v>
          </cell>
          <cell r="N369" t="str">
            <v>CONTRATO DE PRESTACION DE SERVICIOS DE APOYO A LA GESTION</v>
          </cell>
          <cell r="O369">
            <v>518</v>
          </cell>
          <cell r="P369">
            <v>43335</v>
          </cell>
          <cell r="Q369" t="str">
            <v>Prestación de servicios para apoyar las actividades documentales y operativas que se requieran acorde a la normatividad vigente de los proyectos de intervención física a escala barrial que se encuentren a cargo de la Dirección de Mejoramiento de Barrios de la Caja de la Vivienda Popular.</v>
          </cell>
          <cell r="R369">
            <v>6746500</v>
          </cell>
          <cell r="S369">
            <v>0</v>
          </cell>
          <cell r="T369">
            <v>0</v>
          </cell>
          <cell r="U369">
            <v>6746500</v>
          </cell>
          <cell r="V369">
            <v>0</v>
          </cell>
        </row>
        <row r="370">
          <cell r="J370">
            <v>38</v>
          </cell>
          <cell r="K370">
            <v>43116</v>
          </cell>
          <cell r="L370" t="str">
            <v>JOSE ALEJANDRO RAMIREZ CANO</v>
          </cell>
          <cell r="M370">
            <v>145</v>
          </cell>
          <cell r="N370" t="str">
            <v>CONTRATO DE PRESTACION DE SERVICIOS PROFESIONALES</v>
          </cell>
          <cell r="O370">
            <v>35</v>
          </cell>
          <cell r="P370">
            <v>43116</v>
          </cell>
          <cell r="Q370" t="str">
            <v>Prestar servicios profesionales en derecho a la Dirección de Urbanizaciones y Titulación, tendientes efectuar un acompañamiento legal que permita impulsar y gestionar todos aquellos procesos y actuaciones precontractuales, contractuales y pos contractuales, que se requieran para la ejecución y liquidación de los Fideicomisos constituidos para adelantar los desarrollos de vivienda nueva, promovidos en el marco de la Ley 1537 de 2012. De igual forma, efectuar un acompañamiento legal en el proceso de implementación del decreto que permitirá la adquisición de los bienes inmuebles ubicados en el Barrio María Paz de la Localidad de Kennedy para ser titulados mediante los procedimientos establecidos en la Ley 1001 de 2005.</v>
          </cell>
          <cell r="R370">
            <v>148350000</v>
          </cell>
          <cell r="S370">
            <v>0</v>
          </cell>
          <cell r="T370">
            <v>0</v>
          </cell>
          <cell r="U370">
            <v>148350000</v>
          </cell>
          <cell r="V370">
            <v>83420000</v>
          </cell>
        </row>
        <row r="371">
          <cell r="J371">
            <v>44</v>
          </cell>
          <cell r="K371">
            <v>43116</v>
          </cell>
          <cell r="L371" t="str">
            <v>LINA MARIA AZUERO GUTIERREZ</v>
          </cell>
          <cell r="M371">
            <v>145</v>
          </cell>
          <cell r="N371" t="str">
            <v>CONTRATO DE PRESTACION DE SERVICIOS PROFESIONALES</v>
          </cell>
          <cell r="O371">
            <v>36</v>
          </cell>
          <cell r="P371">
            <v>43116</v>
          </cell>
          <cell r="Q371" t="str">
            <v>Prestación de servicios profesionales en los procesos misionales y proyectos especiales, para apoyar la gestión, planeación, concertación y seguimiento a los planes y cronogramas del componente social.</v>
          </cell>
          <cell r="R371">
            <v>23690000</v>
          </cell>
          <cell r="S371">
            <v>0</v>
          </cell>
          <cell r="T371">
            <v>0</v>
          </cell>
          <cell r="U371">
            <v>23690000</v>
          </cell>
          <cell r="V371">
            <v>12360000</v>
          </cell>
        </row>
        <row r="372">
          <cell r="J372">
            <v>84</v>
          </cell>
          <cell r="K372">
            <v>43116</v>
          </cell>
          <cell r="L372" t="str">
            <v>LUIS GUILLERMO BARBOSA SANCHEZ</v>
          </cell>
          <cell r="M372">
            <v>148</v>
          </cell>
          <cell r="N372" t="str">
            <v>CONTRATO DE PRESTACION DE SERVICIOS DE APOYO A LA GESTION</v>
          </cell>
          <cell r="O372">
            <v>82</v>
          </cell>
          <cell r="P372">
            <v>43116</v>
          </cell>
          <cell r="Q372" t="str">
            <v>Prestación de servicios de apoyo técnico a la Dirección de Urbanizaciones y Titulación en el proceso de saneamiento de los bienes inmuebles de la Caja de la Vivienda Popular, así como en la identificación, depuración y consolidación del inventario de los mismos.</v>
          </cell>
          <cell r="R372">
            <v>38259350</v>
          </cell>
          <cell r="S372">
            <v>0</v>
          </cell>
          <cell r="T372">
            <v>0</v>
          </cell>
          <cell r="U372">
            <v>38259350</v>
          </cell>
          <cell r="V372">
            <v>21513954</v>
          </cell>
        </row>
        <row r="373">
          <cell r="J373">
            <v>85</v>
          </cell>
          <cell r="K373">
            <v>43116</v>
          </cell>
          <cell r="L373" t="str">
            <v>KAREN ALEJANDRA TORRES MORENO</v>
          </cell>
          <cell r="M373">
            <v>145</v>
          </cell>
          <cell r="N373" t="str">
            <v>CONTRATO DE PRESTACION DE SERVICIOS PROFESIONALES</v>
          </cell>
          <cell r="O373">
            <v>81</v>
          </cell>
          <cell r="P373">
            <v>43116</v>
          </cell>
          <cell r="Q373" t="str">
            <v>Prestar servicios profesionales a la Dirección de Urbanizaciones y Titulación en la programación, organización y realización de planes de trabajo dirigidos a brindar acompañamiento social a las comunidades beneficiarias de los programas a cargo de la Dirección.</v>
          </cell>
          <cell r="R373">
            <v>47380000</v>
          </cell>
          <cell r="S373">
            <v>0</v>
          </cell>
          <cell r="T373">
            <v>0</v>
          </cell>
          <cell r="U373">
            <v>47380000</v>
          </cell>
          <cell r="V373">
            <v>26642667</v>
          </cell>
        </row>
        <row r="374">
          <cell r="J374">
            <v>86</v>
          </cell>
          <cell r="K374">
            <v>43116</v>
          </cell>
          <cell r="L374" t="str">
            <v>JOSE MAURICIO HUEPE PEREZ</v>
          </cell>
          <cell r="M374">
            <v>148</v>
          </cell>
          <cell r="N374" t="str">
            <v>CONTRATO DE PRESTACION DE SERVICIOS DE APOYO A LA GESTION</v>
          </cell>
          <cell r="O374">
            <v>74</v>
          </cell>
          <cell r="P374">
            <v>43116</v>
          </cell>
          <cell r="Q374" t="str">
            <v>Prestar servicios técnicos a la Dirección de Urbanizaciones y Titulación para adelantar actividades de clasificación, registro y archivo de la información, así como en las actividades tendientes a logar la escrituración de los proyectos constructivos desarrollados por la CVP.</v>
          </cell>
          <cell r="R374">
            <v>38259350</v>
          </cell>
          <cell r="S374">
            <v>0</v>
          </cell>
          <cell r="T374">
            <v>0</v>
          </cell>
          <cell r="U374">
            <v>38259350</v>
          </cell>
          <cell r="V374">
            <v>16523603</v>
          </cell>
        </row>
        <row r="375">
          <cell r="J375">
            <v>88</v>
          </cell>
          <cell r="K375">
            <v>43116</v>
          </cell>
          <cell r="L375" t="str">
            <v>ANGELA MARIA VELEZ CORREA</v>
          </cell>
          <cell r="M375">
            <v>145</v>
          </cell>
          <cell r="N375" t="str">
            <v>CONTRATO DE PRESTACION DE SERVICIOS PROFESIONALES</v>
          </cell>
          <cell r="O375">
            <v>73</v>
          </cell>
          <cell r="P375">
            <v>43116</v>
          </cell>
          <cell r="Q375" t="str">
            <v>Prestación de servicios profesionales a la Dirección de Urbanizaciones y Titulación en la formulación  y seguimiento a los instrumentos del Sistema Integrado de Calidad como: plan de  mejoramiento del proceso, caracterización , mapas de riesgo, plan anticorrupción, servicio conforme y no conforme, plan de seguimiento y evaluación a la gestión,  de los procesos misionales a cargo de la dependencia.</v>
          </cell>
          <cell r="R375">
            <v>65147500</v>
          </cell>
          <cell r="S375">
            <v>0</v>
          </cell>
          <cell r="T375">
            <v>0</v>
          </cell>
          <cell r="U375">
            <v>65147500</v>
          </cell>
          <cell r="V375">
            <v>36633667</v>
          </cell>
        </row>
        <row r="376">
          <cell r="J376">
            <v>95</v>
          </cell>
          <cell r="K376">
            <v>43116</v>
          </cell>
          <cell r="L376" t="str">
            <v>RUTH MERY CANIZALES OVALLE</v>
          </cell>
          <cell r="M376">
            <v>145</v>
          </cell>
          <cell r="N376" t="str">
            <v>CONTRATO DE PRESTACION DE SERVICIOS PROFESIONALES</v>
          </cell>
          <cell r="O376">
            <v>72</v>
          </cell>
          <cell r="P376">
            <v>43116</v>
          </cell>
          <cell r="Q376" t="str">
            <v>Prestación de servicios profesionales de apoyo jurídico a la Dirección de Urbanizaciones y Titulación  en el desarrollo de los procesos adelantados conforme a los mecanismos de titulación previstos por la ley, así como en el análisis de la situación de predios y realización de trámites requeridos para el saneamiento de los bienes susceptibles de ser titulados por la CVP.</v>
          </cell>
          <cell r="R376">
            <v>60409500</v>
          </cell>
          <cell r="S376">
            <v>0</v>
          </cell>
          <cell r="T376">
            <v>0</v>
          </cell>
          <cell r="U376">
            <v>60409500</v>
          </cell>
          <cell r="V376">
            <v>33969400</v>
          </cell>
        </row>
        <row r="377">
          <cell r="J377">
            <v>117</v>
          </cell>
          <cell r="K377">
            <v>43117</v>
          </cell>
          <cell r="L377" t="str">
            <v>CARLOS ANDRES PELAEZ PRADA</v>
          </cell>
          <cell r="M377">
            <v>145</v>
          </cell>
          <cell r="N377" t="str">
            <v>CONTRATO DE PRESTACION DE SERVICIOS PROFESIONALES</v>
          </cell>
          <cell r="O377">
            <v>96</v>
          </cell>
          <cell r="P377">
            <v>43117</v>
          </cell>
          <cell r="Q377" t="str">
            <v>Prestar los servicios profesionales como enlace de la Dirección de Urbanizaciones y titulación en desarrollo de actividades de apoyo jurídico para el saneamiento predial de bienes fideicomitidos de los patrimonios autónomos que requieran ser liquidados por la Entidad; así mismo, brindar apoyo en procesos de gestión inmobiliaria, conceptualización jurídica sobre normas y procedimientos referentes al uso del suelo, plan de ordenamiento territorial, temas de uso de suelo y urbanismo, y demás actuaciones administrativas requeridas en la ejecución propia de la entidad.</v>
          </cell>
          <cell r="R377">
            <v>136850000</v>
          </cell>
          <cell r="S377">
            <v>0</v>
          </cell>
          <cell r="T377">
            <v>0</v>
          </cell>
          <cell r="U377">
            <v>136850000</v>
          </cell>
          <cell r="V377">
            <v>69813333</v>
          </cell>
        </row>
        <row r="378">
          <cell r="J378">
            <v>133</v>
          </cell>
          <cell r="K378">
            <v>43117</v>
          </cell>
          <cell r="L378" t="str">
            <v>JUAN JOSE RODRIGUEZ PALACIOS</v>
          </cell>
          <cell r="M378">
            <v>145</v>
          </cell>
          <cell r="N378" t="str">
            <v>CONTRATO DE PRESTACION DE SERVICIOS PROFESIONALES</v>
          </cell>
          <cell r="O378">
            <v>142</v>
          </cell>
          <cell r="P378">
            <v>43117</v>
          </cell>
          <cell r="Q378" t="str">
            <v>Prestación de servicios profesionales a la Dirección de Urbanizaciones y Titulación de apoyo jurídico en la ejecución de procesos tendientes a la titulación de predios por los diferentes mecanismos de titulación, así como en el análisis de la situación de predios y realización de trámites requeridos en el proceso.</v>
          </cell>
          <cell r="R378">
            <v>52118000</v>
          </cell>
          <cell r="S378">
            <v>0</v>
          </cell>
          <cell r="T378">
            <v>0</v>
          </cell>
          <cell r="U378">
            <v>52118000</v>
          </cell>
          <cell r="V378">
            <v>29155867</v>
          </cell>
        </row>
        <row r="379">
          <cell r="J379">
            <v>136</v>
          </cell>
          <cell r="K379">
            <v>43117</v>
          </cell>
          <cell r="L379" t="str">
            <v>ANDRES  CASTILLO ARELLANO</v>
          </cell>
          <cell r="M379">
            <v>145</v>
          </cell>
          <cell r="N379" t="str">
            <v>CONTRATO DE PRESTACION DE SERVICIOS PROFESIONALES</v>
          </cell>
          <cell r="O379">
            <v>114</v>
          </cell>
          <cell r="P379">
            <v>43117</v>
          </cell>
          <cell r="Q379" t="str">
            <v>Prestar servicios profesionales en derecho, a la Dirección de Urbanizaciones y Titulación, en el desarrollo de actividades administrativas y jurídicas de los contratos y/o convenios asociados al  proyecto de inversión 471.  Los servicios profesionales antes descritos, comprenderán un acompañamiento con profundización en asuntos financieros y comerciales.</v>
          </cell>
          <cell r="R379">
            <v>94760000</v>
          </cell>
          <cell r="S379">
            <v>0</v>
          </cell>
          <cell r="T379">
            <v>0</v>
          </cell>
          <cell r="U379">
            <v>94760000</v>
          </cell>
          <cell r="V379">
            <v>53010666</v>
          </cell>
        </row>
        <row r="380">
          <cell r="J380">
            <v>138</v>
          </cell>
          <cell r="K380">
            <v>43117</v>
          </cell>
          <cell r="L380" t="str">
            <v>CAROL JULIANA BOLAÑOS SALAMANCA</v>
          </cell>
          <cell r="M380">
            <v>145</v>
          </cell>
          <cell r="N380" t="str">
            <v>CONTRATO DE PRESTACION DE SERVICIOS PROFESIONALES</v>
          </cell>
          <cell r="O380">
            <v>115</v>
          </cell>
          <cell r="P380">
            <v>43117</v>
          </cell>
          <cell r="Q380" t="str">
            <v>Prestación de  servicios profesionales a la Dirección de Urbanizaciones y Titulación en la identificación y consolidación de los bienes inmuebles de la Caja de la Vivienda popular en sus desarrollos urbanísticos, dentro de los estándares de información implementados por el Distrito Capital y conforme a las necesidades de la Entidad en materia de calidad y seguridad de la información.</v>
          </cell>
          <cell r="R380">
            <v>82915000</v>
          </cell>
          <cell r="S380">
            <v>0</v>
          </cell>
          <cell r="T380">
            <v>0</v>
          </cell>
          <cell r="U380">
            <v>82915000</v>
          </cell>
          <cell r="V380">
            <v>46384333</v>
          </cell>
        </row>
        <row r="381">
          <cell r="J381">
            <v>140</v>
          </cell>
          <cell r="K381">
            <v>43117</v>
          </cell>
          <cell r="L381" t="str">
            <v>MARIBEL  QUEVEDO GONZALEZ</v>
          </cell>
          <cell r="M381">
            <v>148</v>
          </cell>
          <cell r="N381" t="str">
            <v>CONTRATO DE PRESTACION DE SERVICIOS DE APOYO A LA GESTION</v>
          </cell>
          <cell r="O381">
            <v>150</v>
          </cell>
          <cell r="P381">
            <v>43117</v>
          </cell>
          <cell r="Q381" t="str">
            <v>Prestar servicios de apoyo a la gestión a la Subdirección Financiera de la CVP, como enlace de la Dirección de Urbanizaciones y Titulación para colaborar en las actividades de gestión archivística.</v>
          </cell>
          <cell r="R381">
            <v>38259350</v>
          </cell>
          <cell r="S381">
            <v>0</v>
          </cell>
          <cell r="T381">
            <v>0</v>
          </cell>
          <cell r="U381">
            <v>38259350</v>
          </cell>
          <cell r="V381">
            <v>21403057</v>
          </cell>
        </row>
        <row r="382">
          <cell r="J382">
            <v>149</v>
          </cell>
          <cell r="K382">
            <v>43117</v>
          </cell>
          <cell r="L382" t="str">
            <v>JULY PAOLA TORRES RISCANEVO</v>
          </cell>
          <cell r="M382">
            <v>145</v>
          </cell>
          <cell r="N382" t="str">
            <v>CONTRATO DE PRESTACION DE SERVICIOS PROFESIONALES</v>
          </cell>
          <cell r="O382">
            <v>155</v>
          </cell>
          <cell r="P382">
            <v>43117</v>
          </cell>
          <cell r="Q382" t="str">
            <v>PRESTAR SERVICIOS PROFESIONALES PARA EL DESARROLLO DE LA POLITICA DE RESPONSABILIDAD SOCIAL, BAJO LOS TRES PILARES DE SOSTENIBILIDAD A LOS PROCESOS DE GESTION MISIONAL DE LA CAJA DE LA VIVIENDA POPULAR.</v>
          </cell>
          <cell r="R382">
            <v>23690000</v>
          </cell>
          <cell r="S382">
            <v>0</v>
          </cell>
          <cell r="T382">
            <v>0</v>
          </cell>
          <cell r="U382">
            <v>23690000</v>
          </cell>
          <cell r="V382">
            <v>13252666</v>
          </cell>
        </row>
        <row r="383">
          <cell r="J383">
            <v>151</v>
          </cell>
          <cell r="K383">
            <v>43117</v>
          </cell>
          <cell r="L383" t="str">
            <v>CLAUDIA LILIANA CORTINA FIERRO</v>
          </cell>
          <cell r="M383">
            <v>145</v>
          </cell>
          <cell r="N383" t="str">
            <v>CONTRATO DE PRESTACION DE SERVICIOS PROFESIONALES</v>
          </cell>
          <cell r="O383">
            <v>158</v>
          </cell>
          <cell r="P383">
            <v>43117</v>
          </cell>
          <cell r="Q383" t="str">
            <v>Prestación de servicios profesionales a la Dirección de Urbanizaciones y Titulación  en el seguimiento técnico y administrativo a la ejecución de los proyectos de vivienda adelantados por la entidad.</v>
          </cell>
          <cell r="R383">
            <v>82915000</v>
          </cell>
          <cell r="S383">
            <v>0</v>
          </cell>
          <cell r="T383">
            <v>0</v>
          </cell>
          <cell r="U383">
            <v>82915000</v>
          </cell>
          <cell r="V383">
            <v>46384334</v>
          </cell>
        </row>
        <row r="384">
          <cell r="J384">
            <v>155</v>
          </cell>
          <cell r="K384">
            <v>43118</v>
          </cell>
          <cell r="L384" t="str">
            <v>MARISOL  CUADRADO AYALA</v>
          </cell>
          <cell r="M384">
            <v>145</v>
          </cell>
          <cell r="N384" t="str">
            <v>CONTRATO DE PRESTACION DE SERVICIOS PROFESIONALES</v>
          </cell>
          <cell r="O384">
            <v>159</v>
          </cell>
          <cell r="P384">
            <v>43118</v>
          </cell>
          <cell r="Q384" t="str">
            <v>Prestación de servicios profesionales a la Dirección de Urbanizaciones y Titulación en la  implementación del Sistema Integrado de Gestión de Calidad y en el diseño, actualización e implementación de lineamientos, metodologías, estrategias y procedimientos que le permiten a la Dirección contar con instrumentos adecuados para la planeación, seguimiento y control de sus metas.</v>
          </cell>
          <cell r="R384">
            <v>71070000</v>
          </cell>
          <cell r="S384">
            <v>0</v>
          </cell>
          <cell r="T384">
            <v>0</v>
          </cell>
          <cell r="U384">
            <v>71070000</v>
          </cell>
          <cell r="V384">
            <v>39758000</v>
          </cell>
        </row>
        <row r="385">
          <cell r="J385">
            <v>157</v>
          </cell>
          <cell r="K385">
            <v>43118</v>
          </cell>
          <cell r="L385" t="str">
            <v>RAUL  TOVAR MARTINEZ</v>
          </cell>
          <cell r="M385">
            <v>145</v>
          </cell>
          <cell r="N385" t="str">
            <v>CONTRATO DE PRESTACION DE SERVICIOS PROFESIONALES</v>
          </cell>
          <cell r="O385">
            <v>126</v>
          </cell>
          <cell r="P385">
            <v>43118</v>
          </cell>
          <cell r="Q385" t="str">
            <v>Prestación de servicios de profesionales para apoyar a la Dirección de Mejoramiento de Barrios  y a la Dirección de Titulaciones y Urbanizaciones de la Caja de la Vivienda Popular en las actividades precontractuales y contractuales que en materia Técnica se requieran.</v>
          </cell>
          <cell r="R385">
            <v>35535000</v>
          </cell>
          <cell r="S385">
            <v>0</v>
          </cell>
          <cell r="T385">
            <v>0</v>
          </cell>
          <cell r="U385">
            <v>35535000</v>
          </cell>
          <cell r="V385">
            <v>16789000</v>
          </cell>
        </row>
        <row r="386">
          <cell r="J386">
            <v>161</v>
          </cell>
          <cell r="K386">
            <v>43118</v>
          </cell>
          <cell r="L386" t="str">
            <v>ANGELICA MARIA ROZO BAQUERO</v>
          </cell>
          <cell r="M386">
            <v>148</v>
          </cell>
          <cell r="N386" t="str">
            <v>CONTRATO DE PRESTACION DE SERVICIOS DE APOYO A LA GESTION</v>
          </cell>
          <cell r="O386">
            <v>125</v>
          </cell>
          <cell r="P386">
            <v>43118</v>
          </cell>
          <cell r="Q386" t="str">
            <v>Prestar servicios de apoyo a la gestión a la Subdirección Financiera de la CVP, como enlace de la Dirección de Urbanizaciones y Titulación para apoyar y revisar  operativamente las actividades de gestión documental que se requieran, con ocasión de la aplicación, actualización y seguimiento de los instrumentos archivísticos de la entidad.</v>
          </cell>
          <cell r="R386">
            <v>28428000</v>
          </cell>
          <cell r="S386">
            <v>0</v>
          </cell>
          <cell r="T386">
            <v>0</v>
          </cell>
          <cell r="U386">
            <v>28428000</v>
          </cell>
          <cell r="V386">
            <v>15903200</v>
          </cell>
        </row>
        <row r="387">
          <cell r="J387">
            <v>178</v>
          </cell>
          <cell r="K387">
            <v>43118</v>
          </cell>
          <cell r="L387" t="str">
            <v>MONICA VIVIANA CEBALLOS CRIOLLO</v>
          </cell>
          <cell r="M387">
            <v>145</v>
          </cell>
          <cell r="N387" t="str">
            <v>CONTRATO DE PRESTACION DE SERVICIOS PROFESIONALES</v>
          </cell>
          <cell r="O387">
            <v>160</v>
          </cell>
          <cell r="P387">
            <v>43118</v>
          </cell>
          <cell r="Q387" t="str">
            <v>CONTRATAR LOS SERVICIOS PROFESIONALES DE UN COMUNICADOR SOCIAL QUE DESARROLLE LA INFORMACION PERIODISTICA DE LAS AREAS MISIONALES, PARA FORTALECER LOS CANALES DE COMUNICACIÓN INTERNOS Y EXTERNOS DE LA ENTIDAD, CONFORME A LA ESTRATEGIA DE COMUNICACIONES DE LA CAJA DE LA VIVIENDA POPULAR.</v>
          </cell>
          <cell r="R387">
            <v>13850925</v>
          </cell>
          <cell r="S387">
            <v>0</v>
          </cell>
          <cell r="T387">
            <v>0</v>
          </cell>
          <cell r="U387">
            <v>13850925</v>
          </cell>
          <cell r="V387">
            <v>8100692</v>
          </cell>
        </row>
        <row r="388">
          <cell r="J388">
            <v>188</v>
          </cell>
          <cell r="K388">
            <v>43118</v>
          </cell>
          <cell r="L388" t="str">
            <v>SARA MARIA ROJAS GONZALEZ</v>
          </cell>
          <cell r="M388">
            <v>145</v>
          </cell>
          <cell r="N388" t="str">
            <v>CONTRATO DE PRESTACION DE SERVICIOS PROFESIONALES</v>
          </cell>
          <cell r="O388">
            <v>141</v>
          </cell>
          <cell r="P388">
            <v>43118</v>
          </cell>
          <cell r="Q388" t="str">
            <v>Prestación de servicios profesionales a la Dirección de Urbanizaciones y Titulación en el apoyo a la coordinación del componente social de los procesos de titulación a cargo de la Dirección .</v>
          </cell>
          <cell r="R388">
            <v>52118000</v>
          </cell>
          <cell r="S388">
            <v>0</v>
          </cell>
          <cell r="T388">
            <v>0</v>
          </cell>
          <cell r="U388">
            <v>52118000</v>
          </cell>
          <cell r="V388">
            <v>29155867</v>
          </cell>
        </row>
        <row r="389">
          <cell r="J389">
            <v>195</v>
          </cell>
          <cell r="K389">
            <v>43118</v>
          </cell>
          <cell r="L389" t="str">
            <v>WILLIAN ALFONSO PINZON FIGUEROA</v>
          </cell>
          <cell r="M389">
            <v>148</v>
          </cell>
          <cell r="N389" t="str">
            <v>CONTRATO DE PRESTACION DE SERVICIOS DE APOYO A LA GESTION</v>
          </cell>
          <cell r="O389">
            <v>183</v>
          </cell>
          <cell r="P389">
            <v>43118</v>
          </cell>
          <cell r="Q389" t="str">
            <v>Prestar servicios técnicos a la Dirección de Urbanizaciones y Titulación para ejecutar las actividades necesarias en el manejo archivístico de los documentos generados por la Dirección, aplicando el control, custodia y depuración  del archivo correspondiente, de conformidad con las normas vigentes y Sistema Integrado de Gestión.</v>
          </cell>
          <cell r="R389">
            <v>28428000</v>
          </cell>
          <cell r="S389">
            <v>0</v>
          </cell>
          <cell r="T389">
            <v>0</v>
          </cell>
          <cell r="U389">
            <v>28428000</v>
          </cell>
          <cell r="V389">
            <v>15820800</v>
          </cell>
        </row>
        <row r="390">
          <cell r="J390">
            <v>204</v>
          </cell>
          <cell r="K390">
            <v>43118</v>
          </cell>
          <cell r="L390" t="str">
            <v>ELISA AYDEE RAMOS ALDANA</v>
          </cell>
          <cell r="M390">
            <v>148</v>
          </cell>
          <cell r="N390" t="str">
            <v>CONTRATO DE PRESTACION DE SERVICIOS DE APOYO A LA GESTION</v>
          </cell>
          <cell r="O390">
            <v>178</v>
          </cell>
          <cell r="P390">
            <v>43118</v>
          </cell>
          <cell r="Q390" t="str">
            <v>Prestar servicios técnicos a la Dirección de Urbanizaciones y Titulación para ejecutar las actividades necesarias en el manejo archivístico de los documentos generados por la Dirección, aplicando el control, custodia y depuración  del archivo correspondiente, de conformidad con las normas vigentes y Sistema Integrado de Gestión.</v>
          </cell>
          <cell r="R390">
            <v>28428000</v>
          </cell>
          <cell r="S390">
            <v>0</v>
          </cell>
          <cell r="T390">
            <v>0</v>
          </cell>
          <cell r="U390">
            <v>28428000</v>
          </cell>
          <cell r="V390">
            <v>15820800</v>
          </cell>
        </row>
        <row r="391">
          <cell r="J391">
            <v>206</v>
          </cell>
          <cell r="K391">
            <v>43118</v>
          </cell>
          <cell r="L391" t="str">
            <v>ADRIANA PAOLA GARCIA MONTAÑO</v>
          </cell>
          <cell r="M391">
            <v>145</v>
          </cell>
          <cell r="N391" t="str">
            <v>CONTRATO DE PRESTACION DE SERVICIOS PROFESIONALES</v>
          </cell>
          <cell r="O391">
            <v>173</v>
          </cell>
          <cell r="P391">
            <v>43118</v>
          </cell>
          <cell r="Q391" t="str">
            <v>PRESTACIÓN DE SERVICIOS PROFESIONALES A LA DIRECCIÓN DE URBANIZACIONES Y TITULACIÓN,  PARA LA IDENTIFICACIÓN, GEORREFERENCIACIÓN Y ANÁLISIS DE LOS PREDIOS SUSCEPTIBLES DE SER  TITULADOS, ASÍ COMO LAS DEMÁS ACTIVIDADES TÉCNICAS NECESARIAS PARA LOGRAR EL SANEAMIENTO PREDIAL DE LOS INMUEBLES  INTERVENIDOS POR LA CAJA DE LA VIVIENDA POPULAR.</v>
          </cell>
          <cell r="R391">
            <v>52118000</v>
          </cell>
          <cell r="S391">
            <v>0</v>
          </cell>
          <cell r="T391">
            <v>0</v>
          </cell>
          <cell r="U391">
            <v>52118000</v>
          </cell>
          <cell r="V391">
            <v>29004800</v>
          </cell>
        </row>
        <row r="392">
          <cell r="J392">
            <v>207</v>
          </cell>
          <cell r="K392">
            <v>43118</v>
          </cell>
          <cell r="L392" t="str">
            <v>LISETTE  PINEDA GONZALEZ</v>
          </cell>
          <cell r="M392">
            <v>145</v>
          </cell>
          <cell r="N392" t="str">
            <v>CONTRATO DE PRESTACION DE SERVICIOS PROFESIONALES</v>
          </cell>
          <cell r="O392">
            <v>172</v>
          </cell>
          <cell r="P392">
            <v>43118</v>
          </cell>
          <cell r="Q392" t="str">
            <v>PRESTACIÓN DE SERVICIOS PROFESIONALES A LA DIRECCIÓN DE URBANIZACIONES Y TITULACIÓN PARA APOYAR LA COORDINACIÓN DE LAS ACTIVIDADES TÉCNICAS NECESARIAS EN LOS PROCESOS DE TITULACIÓN DE PREDIOS,  TENDIENTES A LOGRAR EL SANEAMIENTO PREDIAL DE LOS BIENES IDENTIFICADOS EN LA  CAJA DE LA VIVIENDA POPULAR.</v>
          </cell>
          <cell r="R392">
            <v>94760000</v>
          </cell>
          <cell r="S392">
            <v>0</v>
          </cell>
          <cell r="T392">
            <v>0</v>
          </cell>
          <cell r="U392">
            <v>94760000</v>
          </cell>
          <cell r="V392">
            <v>52736000</v>
          </cell>
        </row>
        <row r="393">
          <cell r="J393">
            <v>213</v>
          </cell>
          <cell r="K393">
            <v>43118</v>
          </cell>
          <cell r="L393" t="str">
            <v>MARTHA ELIZABETH CUMPLIDO VILLADIEGO</v>
          </cell>
          <cell r="M393">
            <v>145</v>
          </cell>
          <cell r="N393" t="str">
            <v>CONTRATO DE PRESTACION DE SERVICIOS PROFESIONALES</v>
          </cell>
          <cell r="O393">
            <v>177</v>
          </cell>
          <cell r="P393">
            <v>43118</v>
          </cell>
          <cell r="Q393" t="str">
            <v>Prestar servicios profesionales a la Dirección de Urbanizaciones y Titulación en la programación, organización y realización de planes de trabajo dirigidos a brindar acompañamiento social a las comunidades beneficiarias de los programas a cargo de la Dirección.</v>
          </cell>
          <cell r="R393">
            <v>47380000</v>
          </cell>
          <cell r="S393">
            <v>0</v>
          </cell>
          <cell r="T393">
            <v>0</v>
          </cell>
          <cell r="U393">
            <v>47380000</v>
          </cell>
          <cell r="V393">
            <v>26368000</v>
          </cell>
        </row>
        <row r="394">
          <cell r="J394">
            <v>215</v>
          </cell>
          <cell r="K394">
            <v>43118</v>
          </cell>
          <cell r="L394" t="str">
            <v>DIEGO ANDRES BAREÑO CAMPOS</v>
          </cell>
          <cell r="M394">
            <v>145</v>
          </cell>
          <cell r="N394" t="str">
            <v>CONTRATO DE PRESTACION DE SERVICIOS PROFESIONALES</v>
          </cell>
          <cell r="O394">
            <v>176</v>
          </cell>
          <cell r="P394">
            <v>43118</v>
          </cell>
          <cell r="Q394" t="str">
            <v>Prestar servicios profesionales de apoyo jurídico a la Dirección de Urbanizaciones y Titulación  en el análisis de la situación legal de los predios objeto de saneamiento predial según  los diferentes mecanismos de titulación, así como en la realización de trámites requeridos en el proceso de saneamiento de bienes de susceptibles de ser titulados por la CVP.</v>
          </cell>
          <cell r="R394">
            <v>65147500</v>
          </cell>
          <cell r="S394">
            <v>0</v>
          </cell>
          <cell r="T394">
            <v>0</v>
          </cell>
          <cell r="U394">
            <v>65147500</v>
          </cell>
          <cell r="V394">
            <v>36256000</v>
          </cell>
        </row>
        <row r="395">
          <cell r="J395">
            <v>216</v>
          </cell>
          <cell r="K395">
            <v>43118</v>
          </cell>
          <cell r="L395" t="str">
            <v>DIEGO MAURICIO GALLEGO AMAYA</v>
          </cell>
          <cell r="M395">
            <v>145</v>
          </cell>
          <cell r="N395" t="str">
            <v>CONTRATO DE PRESTACION DE SERVICIOS PROFESIONALES</v>
          </cell>
          <cell r="O395">
            <v>175</v>
          </cell>
          <cell r="P395">
            <v>43118</v>
          </cell>
          <cell r="Q395" t="str">
            <v>Prestación de servicios profesionales a la Dirección de Urbanizaciones y Titulacion de apoyo juridico para adelantar los procesos de saneamiento predial de conformidad con la normatividad vigente en los diferentes mecanismos de titulación.</v>
          </cell>
          <cell r="R395">
            <v>47380000</v>
          </cell>
          <cell r="S395">
            <v>0</v>
          </cell>
          <cell r="T395">
            <v>0</v>
          </cell>
          <cell r="U395">
            <v>47380000</v>
          </cell>
          <cell r="V395">
            <v>26368000</v>
          </cell>
        </row>
        <row r="396">
          <cell r="J396">
            <v>217</v>
          </cell>
          <cell r="K396">
            <v>43118</v>
          </cell>
          <cell r="L396" t="str">
            <v>YEIMI  CASTAÑEDA BERMUDEZ</v>
          </cell>
          <cell r="M396">
            <v>148</v>
          </cell>
          <cell r="N396" t="str">
            <v>CONTRATO DE PRESTACION DE SERVICIOS DE APOYO A LA GESTION</v>
          </cell>
          <cell r="O396">
            <v>174</v>
          </cell>
          <cell r="P396">
            <v>43118</v>
          </cell>
          <cell r="Q396" t="str">
            <v>Prestar servicios técnicos a la Dirección de Urbanizaciones y Titulación para ejecutar las actividades necesarias en el manejo archivístico de los documentos generados por la Dirección, aplicando el control, custodia y depuración  del archivo correspondiente, de conformidad con las normas vigentes y Sistema Integrado de Gestión.</v>
          </cell>
          <cell r="R396">
            <v>28428000</v>
          </cell>
          <cell r="S396">
            <v>0</v>
          </cell>
          <cell r="T396">
            <v>0</v>
          </cell>
          <cell r="U396">
            <v>28428000</v>
          </cell>
          <cell r="V396">
            <v>15820800</v>
          </cell>
        </row>
        <row r="397">
          <cell r="J397">
            <v>218</v>
          </cell>
          <cell r="K397">
            <v>43118</v>
          </cell>
          <cell r="L397" t="str">
            <v>FABIO ANDRES FORERO MARTIN</v>
          </cell>
          <cell r="M397">
            <v>148</v>
          </cell>
          <cell r="N397" t="str">
            <v>CONTRATO DE PRESTACION DE SERVICIOS DE APOYO A LA GESTION</v>
          </cell>
          <cell r="O397">
            <v>186</v>
          </cell>
          <cell r="P397">
            <v>43118</v>
          </cell>
          <cell r="Q397" t="str">
            <v>Prestar servicios de apoyo a la gestión  a la Dirección de Urbanizaciones y Titulación,  para la ejecución de las actividades necesarias para lograr el saneamiento predial de los inmuebles  identificados por la Caja de la Vivienda Popular.</v>
          </cell>
          <cell r="R397">
            <v>17767500</v>
          </cell>
          <cell r="S397">
            <v>0</v>
          </cell>
          <cell r="T397">
            <v>0</v>
          </cell>
          <cell r="U397">
            <v>17767500</v>
          </cell>
          <cell r="V397">
            <v>9888000</v>
          </cell>
        </row>
        <row r="398">
          <cell r="J398">
            <v>229</v>
          </cell>
          <cell r="K398">
            <v>43118</v>
          </cell>
          <cell r="L398" t="str">
            <v>LINDA MONICA PEDRAZA CAMACHO</v>
          </cell>
          <cell r="M398">
            <v>145</v>
          </cell>
          <cell r="N398" t="str">
            <v>CONTRATO DE PRESTACION DE SERVICIOS PROFESIONALES</v>
          </cell>
          <cell r="O398">
            <v>201</v>
          </cell>
          <cell r="P398">
            <v>43118</v>
          </cell>
          <cell r="Q398" t="str">
            <v>Prestar servicios profesionales a la Caja de Vivienda Popular en actividades relacionadas con la depuración, análisis y registro de las operaciones financieras, a partir de  los archivos y bases de datos existentes, para la obtención de soportes idóneos, en el proceso de actualización de información de cartera que sea útil para el proceso de titulación de predios de la Entidad.</v>
          </cell>
          <cell r="R398">
            <v>60409500</v>
          </cell>
          <cell r="S398">
            <v>0</v>
          </cell>
          <cell r="T398">
            <v>0</v>
          </cell>
          <cell r="U398">
            <v>60409500</v>
          </cell>
          <cell r="V398">
            <v>33619200</v>
          </cell>
        </row>
        <row r="399">
          <cell r="J399">
            <v>231</v>
          </cell>
          <cell r="K399">
            <v>43118</v>
          </cell>
          <cell r="L399" t="str">
            <v>OSCAR JAIRO FLETCHER PRIETO</v>
          </cell>
          <cell r="M399">
            <v>145</v>
          </cell>
          <cell r="N399" t="str">
            <v>CONTRATO DE PRESTACION DE SERVICIOS PROFESIONALES</v>
          </cell>
          <cell r="O399">
            <v>199</v>
          </cell>
          <cell r="P399">
            <v>43118</v>
          </cell>
          <cell r="Q399" t="str">
            <v>Prestación de servicios profesionales a la Dirección de Urbanizaciones y Titulación, para apoyar el diseño, ejecución y seguimiento a la estrategia de formalización de los barrios asentados en tierras fiscales y privadas, en el componente técnico, así como en los procesos de saneamiento adelantados por la CVP sobre bienes de su propiedad.</v>
          </cell>
          <cell r="R399">
            <v>60409500</v>
          </cell>
          <cell r="S399">
            <v>0</v>
          </cell>
          <cell r="T399">
            <v>0</v>
          </cell>
          <cell r="U399">
            <v>60409500</v>
          </cell>
          <cell r="V399">
            <v>33619200</v>
          </cell>
        </row>
        <row r="400">
          <cell r="J400">
            <v>232</v>
          </cell>
          <cell r="K400">
            <v>43119</v>
          </cell>
          <cell r="L400" t="str">
            <v>ANGIE STEFANIA CASTRO SANTIESTEBAN</v>
          </cell>
          <cell r="M400">
            <v>145</v>
          </cell>
          <cell r="N400" t="str">
            <v>CONTRATO DE PRESTACION DE SERVICIOS PROFESIONALES</v>
          </cell>
          <cell r="O400">
            <v>212</v>
          </cell>
          <cell r="P400">
            <v>43119</v>
          </cell>
          <cell r="Q400" t="str">
            <v>Prestar servicios profesionales a la Dirección de Urbanizaciones y Titulación para el acompañamiento social a las  familias objeto de atención en los procesos de la Dirección</v>
          </cell>
          <cell r="R400">
            <v>39088500</v>
          </cell>
          <cell r="S400">
            <v>0</v>
          </cell>
          <cell r="T400">
            <v>0</v>
          </cell>
          <cell r="U400">
            <v>39088500</v>
          </cell>
          <cell r="V400">
            <v>21753600</v>
          </cell>
        </row>
        <row r="401">
          <cell r="J401">
            <v>234</v>
          </cell>
          <cell r="K401">
            <v>43119</v>
          </cell>
          <cell r="L401" t="str">
            <v>JOSE DUVAN NUÑEZ MUÑOZ</v>
          </cell>
          <cell r="M401">
            <v>145</v>
          </cell>
          <cell r="N401" t="str">
            <v>CONTRATO DE PRESTACION DE SERVICIOS PROFESIONALES</v>
          </cell>
          <cell r="O401">
            <v>210</v>
          </cell>
          <cell r="P401">
            <v>43119</v>
          </cell>
          <cell r="Q401" t="str">
            <v>Prestación de servicios profesionales a la Dirección de Urbanizaciones y Titulación de apoyo jurídico en los procesos de titulación predial  conforme a los diferentes mecanismos previstos por la ley.</v>
          </cell>
          <cell r="R401">
            <v>40865250</v>
          </cell>
          <cell r="S401">
            <v>0</v>
          </cell>
          <cell r="T401">
            <v>0</v>
          </cell>
          <cell r="U401">
            <v>40865250</v>
          </cell>
          <cell r="V401">
            <v>22742400</v>
          </cell>
        </row>
        <row r="402">
          <cell r="J402">
            <v>235</v>
          </cell>
          <cell r="K402">
            <v>43119</v>
          </cell>
          <cell r="L402" t="str">
            <v>MARIA EDELMIRA RINCON LEON</v>
          </cell>
          <cell r="M402">
            <v>145</v>
          </cell>
          <cell r="N402" t="str">
            <v>CONTRATO DE PRESTACION DE SERVICIOS PROFESIONALES</v>
          </cell>
          <cell r="O402">
            <v>209</v>
          </cell>
          <cell r="P402">
            <v>43119</v>
          </cell>
          <cell r="Q402" t="str">
            <v>Prestación de servicios profesionales a la Dirección de Urbanizaciones y Titulación en el desarrollo de actividades administrativas y financieras relacionadas con los proyectos vivienda VIP.</v>
          </cell>
          <cell r="R402">
            <v>65147500</v>
          </cell>
          <cell r="S402">
            <v>0</v>
          </cell>
          <cell r="T402">
            <v>0</v>
          </cell>
          <cell r="U402">
            <v>65147500</v>
          </cell>
          <cell r="V402">
            <v>36256000</v>
          </cell>
        </row>
        <row r="403">
          <cell r="J403">
            <v>236</v>
          </cell>
          <cell r="K403">
            <v>43119</v>
          </cell>
          <cell r="L403" t="str">
            <v>FREDY OMAR ALVAREZ ARRIETA</v>
          </cell>
          <cell r="M403">
            <v>145</v>
          </cell>
          <cell r="N403" t="str">
            <v>CONTRATO DE PRESTACION DE SERVICIOS PROFESIONALES</v>
          </cell>
          <cell r="O403">
            <v>208</v>
          </cell>
          <cell r="P403">
            <v>43119</v>
          </cell>
          <cell r="Q403" t="str">
            <v>Prestación de servicios profesionales a la Dirección de Urbanizaciones y Titulación en la elaboración de avalúos y verificación de linderos de predios  que requiera la Dirección,  así como en el apoyo en los procesos de cartografía que se adelanten.</v>
          </cell>
          <cell r="R403">
            <v>65147500</v>
          </cell>
          <cell r="S403">
            <v>0</v>
          </cell>
          <cell r="T403">
            <v>0</v>
          </cell>
          <cell r="U403">
            <v>65147500</v>
          </cell>
          <cell r="V403">
            <v>36256000</v>
          </cell>
        </row>
        <row r="404">
          <cell r="J404">
            <v>241</v>
          </cell>
          <cell r="K404">
            <v>43119</v>
          </cell>
          <cell r="L404" t="str">
            <v>HECTOR ALEXANDER AGUILERA</v>
          </cell>
          <cell r="M404">
            <v>148</v>
          </cell>
          <cell r="N404" t="str">
            <v>CONTRATO DE PRESTACION DE SERVICIOS DE APOYO A LA GESTION</v>
          </cell>
          <cell r="O404">
            <v>220</v>
          </cell>
          <cell r="P404">
            <v>43119</v>
          </cell>
          <cell r="Q404" t="str">
            <v>Prestar servicios de apoyo a la gestión a la Dirección de Urbanizaciones y Titulación en las actividades logísticas necesarias para la ejecución del programa, así como en la  realización de actividades de reparto, radicación y seguimiento a trámites de los mecanismos de titulación y urbanizaciones en las entidades donde se requiera.</v>
          </cell>
          <cell r="R404">
            <v>17767500</v>
          </cell>
          <cell r="S404">
            <v>0</v>
          </cell>
          <cell r="T404">
            <v>0</v>
          </cell>
          <cell r="U404">
            <v>17767500</v>
          </cell>
          <cell r="V404">
            <v>9888000</v>
          </cell>
        </row>
        <row r="405">
          <cell r="J405">
            <v>244</v>
          </cell>
          <cell r="K405">
            <v>43119</v>
          </cell>
          <cell r="L405" t="str">
            <v>ANA MONICA MARIA VARGAS SUAREZ</v>
          </cell>
          <cell r="M405">
            <v>145</v>
          </cell>
          <cell r="N405" t="str">
            <v>CONTRATO DE PRESTACION DE SERVICIOS PROFESIONALES</v>
          </cell>
          <cell r="O405">
            <v>217</v>
          </cell>
          <cell r="P405">
            <v>43119</v>
          </cell>
          <cell r="Q405" t="str">
            <v>Prestación de servicios profesionales a la Dirección de Urbanizaciones y Titulación para apoyar la articulación y coordinación de las estrategias que se  adelanten en materia de  saneamiento predial por parte de la Caja de la Vivienda Popular.</v>
          </cell>
          <cell r="R405">
            <v>177330000</v>
          </cell>
          <cell r="S405">
            <v>0</v>
          </cell>
          <cell r="T405">
            <v>0</v>
          </cell>
          <cell r="U405">
            <v>177330000</v>
          </cell>
          <cell r="V405">
            <v>98688000</v>
          </cell>
        </row>
        <row r="406">
          <cell r="J406">
            <v>246</v>
          </cell>
          <cell r="K406">
            <v>43119</v>
          </cell>
          <cell r="L406" t="str">
            <v>BLANCA LILIA TIBOCHA OCHOA</v>
          </cell>
          <cell r="M406">
            <v>145</v>
          </cell>
          <cell r="N406" t="str">
            <v>CONTRATO DE PRESTACION DE SERVICIOS PROFESIONALES</v>
          </cell>
          <cell r="O406">
            <v>215</v>
          </cell>
          <cell r="P406">
            <v>43119</v>
          </cell>
          <cell r="Q406" t="str">
            <v>Prestar servicios profesionales a la Dirección de Urbanizaciones y Titulación en la seguimiento, formulacion e implementacion de planeas de mejoramiento que se surtan en virtud de las auditorias de los organismos de control.</v>
          </cell>
          <cell r="R406">
            <v>82915000</v>
          </cell>
          <cell r="S406">
            <v>0</v>
          </cell>
          <cell r="T406">
            <v>0</v>
          </cell>
          <cell r="U406">
            <v>82915000</v>
          </cell>
          <cell r="V406">
            <v>46144000</v>
          </cell>
        </row>
        <row r="407">
          <cell r="J407">
            <v>250</v>
          </cell>
          <cell r="K407">
            <v>43119</v>
          </cell>
          <cell r="L407" t="str">
            <v>FREDDY HUMBERTO PARADA CUBILLOS</v>
          </cell>
          <cell r="M407">
            <v>145</v>
          </cell>
          <cell r="N407" t="str">
            <v>CONTRATO DE PRESTACION DE SERVICIOS PROFESIONALES</v>
          </cell>
          <cell r="O407">
            <v>205</v>
          </cell>
          <cell r="P407">
            <v>43119</v>
          </cell>
          <cell r="Q407" t="str">
            <v>PRESTACIÓN DE SERVICIOS PROFESIONALES A LA DIRECCIÓN DE URBANIZACIONES Y TITULACIÓN EN LA ELABORACIÓN DE AVALÚOS Y VERIFICACIÓN DE LINDEROS DE PREDIOS  QUE REQUIERA LA DIRECCIÓN,  ASÍ COMO EN EL APOYO EN LOS PROCESOS DE CARTOGRAFÍA QUE SE ADELANTEN.</v>
          </cell>
          <cell r="R407">
            <v>65147500</v>
          </cell>
          <cell r="S407">
            <v>0</v>
          </cell>
          <cell r="T407">
            <v>0</v>
          </cell>
          <cell r="U407">
            <v>65147500</v>
          </cell>
          <cell r="V407">
            <v>36256000</v>
          </cell>
        </row>
        <row r="408">
          <cell r="J408">
            <v>252</v>
          </cell>
          <cell r="K408">
            <v>43119</v>
          </cell>
          <cell r="L408" t="str">
            <v>ANGELA MARIA PINZON SANTOS</v>
          </cell>
          <cell r="M408">
            <v>145</v>
          </cell>
          <cell r="N408" t="str">
            <v>CONTRATO DE PRESTACION DE SERVICIOS PROFESIONALES</v>
          </cell>
          <cell r="O408">
            <v>203</v>
          </cell>
          <cell r="P408">
            <v>43119</v>
          </cell>
          <cell r="Q408" t="str">
            <v>PRESTAR SERVICIOS PROFESIONALES A LA SUBDIRECCIÓN FINANCIERA DE LA CAJA DE VIVIENDA POPULAR, COMO ENLACE DE LA DIRECCIÓN DE URBANIZACIONES Y TITULACIÓN, EN LO RELACIONADO CON EL APOYO JURÍDICO REQUERIDO PARA LOS PROCESOS DE DEPURACIÓN DE CARTERA Y CONTABLE DE LA ENTIDAD.</v>
          </cell>
          <cell r="R408">
            <v>71070000</v>
          </cell>
          <cell r="S408">
            <v>0</v>
          </cell>
          <cell r="T408">
            <v>0</v>
          </cell>
          <cell r="U408">
            <v>71070000</v>
          </cell>
          <cell r="V408">
            <v>39552000</v>
          </cell>
        </row>
        <row r="409">
          <cell r="J409">
            <v>253</v>
          </cell>
          <cell r="K409">
            <v>43119</v>
          </cell>
          <cell r="L409" t="str">
            <v>JEINNY IVONNE GALEANO NIÑO</v>
          </cell>
          <cell r="M409">
            <v>145</v>
          </cell>
          <cell r="N409" t="str">
            <v>CONTRATO DE PRESTACION DE SERVICIOS PROFESIONALES</v>
          </cell>
          <cell r="O409">
            <v>202</v>
          </cell>
          <cell r="P409">
            <v>43119</v>
          </cell>
          <cell r="Q409" t="str">
            <v>Prestación de servicios profesionales de apoyo jurídico a la Dirección de Urbanizaciones y Titulación  en el desarrollo de los procesos adelantados conforme a los mecanismos de titulación previstos por la ley, así como en el análisis de la situación de predios y realización de trámites requeridos para el saneamiento de los bienes susceptibles de ser titulados por la CVP.</v>
          </cell>
          <cell r="R409">
            <v>60409500</v>
          </cell>
          <cell r="S409">
            <v>0</v>
          </cell>
          <cell r="T409">
            <v>0</v>
          </cell>
          <cell r="U409">
            <v>60409500</v>
          </cell>
          <cell r="V409">
            <v>33619200</v>
          </cell>
        </row>
        <row r="410">
          <cell r="J410">
            <v>255</v>
          </cell>
          <cell r="K410">
            <v>43119</v>
          </cell>
          <cell r="L410" t="str">
            <v>PAOLA ANDREA MAYORGA GOMEZ</v>
          </cell>
          <cell r="M410">
            <v>145</v>
          </cell>
          <cell r="N410" t="str">
            <v>CONTRATO DE PRESTACION DE SERVICIOS PROFESIONALES</v>
          </cell>
          <cell r="O410">
            <v>231</v>
          </cell>
          <cell r="P410">
            <v>43119</v>
          </cell>
          <cell r="Q410" t="str">
            <v>Prestación de servicios profesionales a la Dirección de Urbanizaciones y Titulación de apoyo jurídico en los procesos de titulación predial  conforme a los diferentes mecanismos previstos por la ley.</v>
          </cell>
          <cell r="R410">
            <v>40865250</v>
          </cell>
          <cell r="S410">
            <v>0</v>
          </cell>
          <cell r="T410">
            <v>0</v>
          </cell>
          <cell r="U410">
            <v>40865250</v>
          </cell>
          <cell r="V410">
            <v>22387050</v>
          </cell>
        </row>
        <row r="411">
          <cell r="J411">
            <v>258</v>
          </cell>
          <cell r="K411">
            <v>43119</v>
          </cell>
          <cell r="L411" t="str">
            <v>IVONNE MARITZA GOMEZ CARDONA</v>
          </cell>
          <cell r="M411">
            <v>145</v>
          </cell>
          <cell r="N411" t="str">
            <v>CONTRATO DE PRESTACION DE SERVICIOS PROFESIONALES</v>
          </cell>
          <cell r="O411">
            <v>232</v>
          </cell>
          <cell r="P411">
            <v>43119</v>
          </cell>
          <cell r="Q411" t="str">
            <v>Prestación de servicios profesionales a la Dirección de Urbanizaciones y Titulación en la articulación, formulación, ejecución y seguimiento de las estrategias y actividades necesarias para el cumplimiento de las metas establecidas en la titulación de predios.</v>
          </cell>
          <cell r="R411">
            <v>94760000</v>
          </cell>
          <cell r="S411">
            <v>0</v>
          </cell>
          <cell r="T411">
            <v>0</v>
          </cell>
          <cell r="U411">
            <v>94760000</v>
          </cell>
          <cell r="V411">
            <v>51912000</v>
          </cell>
        </row>
        <row r="412">
          <cell r="J412">
            <v>264</v>
          </cell>
          <cell r="K412">
            <v>43119</v>
          </cell>
          <cell r="L412" t="str">
            <v>JORGE ENRIQUE GUARIN CASTILLO</v>
          </cell>
          <cell r="M412">
            <v>145</v>
          </cell>
          <cell r="N412" t="str">
            <v>CONTRATO DE PRESTACION DE SERVICIOS PROFESIONALES</v>
          </cell>
          <cell r="O412">
            <v>230</v>
          </cell>
          <cell r="P412">
            <v>43119</v>
          </cell>
          <cell r="Q412" t="str">
            <v>Prestación de servicios profesionales a la Dirección de Urbanizaciones y Titulación,  para la identificación, georreferenciación y análisis de los predios susceptibles de titular, así como la georreferenciación de los predios que se encuentran en informalidad en el Distrito,  para la ejecución de las actividades técnicas necesarias para lograr el saneamiento predial de los inmuebles  identificados por la Caja de la Vivienda Popular.</v>
          </cell>
          <cell r="R412">
            <v>82915000</v>
          </cell>
          <cell r="S412">
            <v>0</v>
          </cell>
          <cell r="T412">
            <v>0</v>
          </cell>
          <cell r="U412">
            <v>82915000</v>
          </cell>
          <cell r="V412">
            <v>45423000</v>
          </cell>
        </row>
        <row r="413">
          <cell r="J413">
            <v>272</v>
          </cell>
          <cell r="K413">
            <v>43122</v>
          </cell>
          <cell r="L413" t="str">
            <v>MARIANA  OVIEDO HERRERA</v>
          </cell>
          <cell r="M413">
            <v>145</v>
          </cell>
          <cell r="N413" t="str">
            <v>CONTRATO DE PRESTACION DE SERVICIOS PROFESIONALES</v>
          </cell>
          <cell r="O413">
            <v>242</v>
          </cell>
          <cell r="P413">
            <v>43122</v>
          </cell>
          <cell r="Q413" t="str">
            <v>Prestar servicios profesionales a la Dirección de Urbanizaciones y Titulación en la programación, organización y realización de planes de trabajo dirigidos a brindar acompañamiento social a las comunidades beneficiarias de los programas a cargo de la Dirección.</v>
          </cell>
          <cell r="R413">
            <v>47380000</v>
          </cell>
          <cell r="S413">
            <v>0</v>
          </cell>
          <cell r="T413">
            <v>0</v>
          </cell>
          <cell r="U413">
            <v>47380000</v>
          </cell>
          <cell r="V413">
            <v>25956000</v>
          </cell>
        </row>
        <row r="414">
          <cell r="J414">
            <v>273</v>
          </cell>
          <cell r="K414">
            <v>43122</v>
          </cell>
          <cell r="L414" t="str">
            <v>JORGE ENRIQUE VERGARA RAMIREZ</v>
          </cell>
          <cell r="M414">
            <v>145</v>
          </cell>
          <cell r="N414" t="str">
            <v>CONTRATO DE PRESTACION DE SERVICIOS PROFESIONALES</v>
          </cell>
          <cell r="O414">
            <v>243</v>
          </cell>
          <cell r="P414">
            <v>43122</v>
          </cell>
          <cell r="Q414" t="str">
            <v>Prestación de servicios profesionales a la Dirección de Urbanizaciones y Titulación para el sostenimiento y mejora continua del proceso a cargo de la Dirección, así como en la implementación de los Planes de Mejora a cargo del área.</v>
          </cell>
          <cell r="R414">
            <v>57922050</v>
          </cell>
          <cell r="S414">
            <v>0</v>
          </cell>
          <cell r="T414">
            <v>0</v>
          </cell>
          <cell r="U414">
            <v>57922050</v>
          </cell>
          <cell r="V414">
            <v>31731210</v>
          </cell>
        </row>
        <row r="415">
          <cell r="J415">
            <v>275</v>
          </cell>
          <cell r="K415">
            <v>43122</v>
          </cell>
          <cell r="L415" t="str">
            <v>NELLY YAMILE GOMEZ REYES</v>
          </cell>
          <cell r="M415">
            <v>148</v>
          </cell>
          <cell r="N415" t="str">
            <v>CONTRATO DE PRESTACION DE SERVICIOS DE APOYO A LA GESTION</v>
          </cell>
          <cell r="O415">
            <v>245</v>
          </cell>
          <cell r="P415">
            <v>43122</v>
          </cell>
          <cell r="Q415" t="str">
            <v>Prestar servicios técnicos a la Dirección de Urbanizaciones y Titulación en el trámite y control a los documentos enviados a las respectivas Oficinas de la Superintendencia de Notariado y Registro, así como en la aplicación de las normas de gestión documental de la dependencia.</v>
          </cell>
          <cell r="R415">
            <v>38259350</v>
          </cell>
          <cell r="S415">
            <v>0</v>
          </cell>
          <cell r="T415">
            <v>0</v>
          </cell>
          <cell r="U415">
            <v>38259350</v>
          </cell>
          <cell r="V415">
            <v>20959470</v>
          </cell>
        </row>
        <row r="416">
          <cell r="J416">
            <v>276</v>
          </cell>
          <cell r="K416">
            <v>43122</v>
          </cell>
          <cell r="L416" t="str">
            <v>ELSA MARIELA MEDINA HIGUERA</v>
          </cell>
          <cell r="M416">
            <v>145</v>
          </cell>
          <cell r="N416" t="str">
            <v>CONTRATO DE PRESTACION DE SERVICIOS PROFESIONALES</v>
          </cell>
          <cell r="O416">
            <v>246</v>
          </cell>
          <cell r="P416">
            <v>43122</v>
          </cell>
          <cell r="Q416" t="str">
            <v>Prestar servicios profesionales a la Dirección de Urbanizaciones y Titulación en la programación, organización y realización de planes de trabajo dirigidos a brindar acompañamiento social a las comunidades beneficiarias de los programas a cargo de la Dirección.</v>
          </cell>
          <cell r="R416">
            <v>47380000</v>
          </cell>
          <cell r="S416">
            <v>0</v>
          </cell>
          <cell r="T416">
            <v>0</v>
          </cell>
          <cell r="U416">
            <v>47380000</v>
          </cell>
          <cell r="V416">
            <v>25956000</v>
          </cell>
        </row>
        <row r="417">
          <cell r="J417">
            <v>280</v>
          </cell>
          <cell r="K417">
            <v>43122</v>
          </cell>
          <cell r="L417" t="str">
            <v>NESTOR ROBERTO CUERVO GARCIA</v>
          </cell>
          <cell r="M417">
            <v>148</v>
          </cell>
          <cell r="N417" t="str">
            <v>CONTRATO DE PRESTACION DE SERVICIOS DE APOYO A LA GESTION</v>
          </cell>
          <cell r="O417">
            <v>250</v>
          </cell>
          <cell r="P417">
            <v>43122</v>
          </cell>
          <cell r="Q417" t="str">
            <v>Prestación de  servicios técnicos a la Dirección de Urbanizaciones y Titulación en la implementación de una herramienta que  consolide   la información de los predios de la Caja de la Vivienda Popular en el marco de los procesos misionales de la Dirección.</v>
          </cell>
          <cell r="R417">
            <v>38259350</v>
          </cell>
          <cell r="S417">
            <v>0</v>
          </cell>
          <cell r="T417">
            <v>0</v>
          </cell>
          <cell r="U417">
            <v>38259350</v>
          </cell>
          <cell r="V417">
            <v>20959470</v>
          </cell>
        </row>
        <row r="418">
          <cell r="J418">
            <v>291</v>
          </cell>
          <cell r="K418">
            <v>43122</v>
          </cell>
          <cell r="L418" t="str">
            <v>JHON CARLOS RINCON AGREDO</v>
          </cell>
          <cell r="M418">
            <v>145</v>
          </cell>
          <cell r="N418" t="str">
            <v>CONTRATO DE PRESTACION DE SERVICIOS PROFESIONALES</v>
          </cell>
          <cell r="O418">
            <v>261</v>
          </cell>
          <cell r="P418">
            <v>43122</v>
          </cell>
          <cell r="Q418" t="str">
            <v>Contratar los servicios profesionales de un comunicador social o periodista que apoye la locución de productos audiovisuales y la presentación de actividades con las comunidades beneficiarias de los distintos programas misionales, con el fin de favorecer una comunicación activa de la misionalidad de la entidad.</v>
          </cell>
          <cell r="R418">
            <v>9772125</v>
          </cell>
          <cell r="S418">
            <v>0</v>
          </cell>
          <cell r="T418">
            <v>0</v>
          </cell>
          <cell r="U418">
            <v>9772125</v>
          </cell>
          <cell r="V418">
            <v>5596787</v>
          </cell>
        </row>
        <row r="419">
          <cell r="J419">
            <v>296</v>
          </cell>
          <cell r="K419">
            <v>43122</v>
          </cell>
          <cell r="L419" t="str">
            <v>EDGAR RICARDO BOLAÑOS GIL</v>
          </cell>
          <cell r="M419">
            <v>148</v>
          </cell>
          <cell r="N419" t="str">
            <v>CONTRATO DE PRESTACION DE SERVICIOS DE APOYO A LA GESTION</v>
          </cell>
          <cell r="O419">
            <v>264</v>
          </cell>
          <cell r="P419">
            <v>43122</v>
          </cell>
          <cell r="Q419" t="str">
            <v>Prestar servicios de apoyo a la gestión a la Dirección de Urbanizaciones y Titulación para ejecutar las actividades necesarias en el manejo archivístico de los documentos generados por la Dirección.</v>
          </cell>
          <cell r="R419">
            <v>17767500</v>
          </cell>
          <cell r="S419">
            <v>0</v>
          </cell>
          <cell r="T419">
            <v>0</v>
          </cell>
          <cell r="U419">
            <v>17767500</v>
          </cell>
          <cell r="V419">
            <v>9733500</v>
          </cell>
        </row>
        <row r="420">
          <cell r="J420">
            <v>297</v>
          </cell>
          <cell r="K420">
            <v>43122</v>
          </cell>
          <cell r="L420" t="str">
            <v>JAIME OMAR CAMELO ARDILA</v>
          </cell>
          <cell r="M420">
            <v>145</v>
          </cell>
          <cell r="N420" t="str">
            <v>CONTRATO DE PRESTACION DE SERVICIOS PROFESIONALES</v>
          </cell>
          <cell r="O420">
            <v>270</v>
          </cell>
          <cell r="P420">
            <v>43122</v>
          </cell>
          <cell r="Q420" t="str">
            <v>Prestación de servicios profesionales a la Dirección de Urbanizaciones y Titulación  en el seguimiento técnico y administrativo a la ejecución de los proyectos de vivienda adelantados por la entidad.</v>
          </cell>
          <cell r="R420">
            <v>82915000</v>
          </cell>
          <cell r="S420">
            <v>0</v>
          </cell>
          <cell r="T420">
            <v>0</v>
          </cell>
          <cell r="U420">
            <v>82915000</v>
          </cell>
          <cell r="V420">
            <v>45182667</v>
          </cell>
        </row>
        <row r="421">
          <cell r="J421">
            <v>301</v>
          </cell>
          <cell r="K421">
            <v>43122</v>
          </cell>
          <cell r="L421" t="str">
            <v>LUZ STELLA CARDENAS LAVERDE</v>
          </cell>
          <cell r="M421">
            <v>145</v>
          </cell>
          <cell r="N421" t="str">
            <v>CONTRATO DE PRESTACION DE SERVICIOS PROFESIONALES</v>
          </cell>
          <cell r="O421">
            <v>266</v>
          </cell>
          <cell r="P421">
            <v>43122</v>
          </cell>
          <cell r="Q421" t="str">
            <v>Prestación de servicios profesionales a la Dirección de Urbanizaciones y Titulación en el apoyo jurídico para realizar el acompañamiento y seguimiento de los documentos sometidos a registro, con el fin de agilizar el perfeccionamiento de la inscripción de los títulos que garantizan el derecho de propiedad de los beneficiarios de los programas misionales de LA CAJA, en el marco del convenio de interadministrativo suscrito entre la Caja de la Vivienda Popular y la Superintendencia de Notariado y Registro.</v>
          </cell>
          <cell r="R421">
            <v>31981500</v>
          </cell>
          <cell r="S421">
            <v>0</v>
          </cell>
          <cell r="T421">
            <v>0</v>
          </cell>
          <cell r="U421">
            <v>31981500</v>
          </cell>
          <cell r="V421">
            <v>22268600</v>
          </cell>
        </row>
        <row r="422">
          <cell r="J422">
            <v>304</v>
          </cell>
          <cell r="K422">
            <v>43122</v>
          </cell>
          <cell r="L422" t="str">
            <v>JORGE ALBERTO PARAMO HERNANDEZ</v>
          </cell>
          <cell r="M422">
            <v>145</v>
          </cell>
          <cell r="N422" t="str">
            <v>CONTRATO DE PRESTACION DE SERVICIOS PROFESIONALES</v>
          </cell>
          <cell r="O422">
            <v>278</v>
          </cell>
          <cell r="P422">
            <v>43122</v>
          </cell>
          <cell r="Q422" t="str">
            <v>Prestación de servicios profesionales a la Dirección de Urbanizaciones y Titulación de apoyo jurídico para adelantar los procesos de saneamiento predial de conformidad con la normatividad vigente en los diferentes mecanismos de titulación.</v>
          </cell>
          <cell r="R422">
            <v>47380000</v>
          </cell>
          <cell r="S422">
            <v>0</v>
          </cell>
          <cell r="T422">
            <v>0</v>
          </cell>
          <cell r="U422">
            <v>47380000</v>
          </cell>
          <cell r="V422">
            <v>25818667</v>
          </cell>
        </row>
        <row r="423">
          <cell r="J423">
            <v>314</v>
          </cell>
          <cell r="K423">
            <v>43122</v>
          </cell>
          <cell r="L423" t="str">
            <v>JOHANA MARCELA RIAÑO DAZA</v>
          </cell>
          <cell r="M423">
            <v>148</v>
          </cell>
          <cell r="N423" t="str">
            <v>CONTRATO DE PRESTACION DE SERVICIOS DE APOYO A LA GESTION</v>
          </cell>
          <cell r="O423">
            <v>274</v>
          </cell>
          <cell r="P423">
            <v>43122</v>
          </cell>
          <cell r="Q423" t="str">
            <v>Prestación de servicios a la  Dirección de Urbanizaciones y Titulación  para la ejecución de las actividades tendientes a lograr el saneamiento predial de los bienes identificados en la  CVP, sirviendo de apoyo en los tramites  jurídicos de la Dirección en el desarrollo de procesos adelantados en los diferentes mecanismos de titulación.</v>
          </cell>
          <cell r="R423">
            <v>38259350</v>
          </cell>
          <cell r="S423">
            <v>0</v>
          </cell>
          <cell r="T423">
            <v>0</v>
          </cell>
          <cell r="U423">
            <v>38259350</v>
          </cell>
          <cell r="V423">
            <v>20848574</v>
          </cell>
        </row>
        <row r="424">
          <cell r="J424">
            <v>315</v>
          </cell>
          <cell r="K424">
            <v>43122</v>
          </cell>
          <cell r="L424" t="str">
            <v>JUAN ARMANDO MOLINA PARRA</v>
          </cell>
          <cell r="M424">
            <v>145</v>
          </cell>
          <cell r="N424" t="str">
            <v>CONTRATO DE PRESTACION DE SERVICIOS PROFESIONALES</v>
          </cell>
          <cell r="O424">
            <v>275</v>
          </cell>
          <cell r="P424">
            <v>43122</v>
          </cell>
          <cell r="Q424" t="str">
            <v>Prestar servicios profesionales de apoyo jurídico a la Dirección de Urbanizaciones y Titulación  en el análisis de la situación legal de los predios objeto de saneamiento predial según  los diferentes mecanismos de titulación, así como en la realización de trámites requeridos en el proceso de saneamiento de bienes de susceptibles de ser titulados por la CVP.</v>
          </cell>
          <cell r="R424">
            <v>65147500</v>
          </cell>
          <cell r="S424">
            <v>0</v>
          </cell>
          <cell r="T424">
            <v>0</v>
          </cell>
          <cell r="U424">
            <v>65147500</v>
          </cell>
          <cell r="V424">
            <v>35500667</v>
          </cell>
        </row>
        <row r="425">
          <cell r="J425">
            <v>317</v>
          </cell>
          <cell r="K425">
            <v>43122</v>
          </cell>
          <cell r="L425" t="str">
            <v>DIANA  GUEPENDO MOSCOSO</v>
          </cell>
          <cell r="M425">
            <v>148</v>
          </cell>
          <cell r="N425" t="str">
            <v>CONTRATO DE PRESTACION DE SERVICIOS DE APOYO A LA GESTION</v>
          </cell>
          <cell r="O425">
            <v>276</v>
          </cell>
          <cell r="P425">
            <v>43122</v>
          </cell>
          <cell r="Q425" t="str">
            <v>Prestación de servicios técnicos a la Dirección de Urbanizaciones y Titulación para el registro en el sistema de información documental de la Entidad, haciendo seguimiento y control a los expedientes y documentos generados en el programa de titulación, atendiendo todos las normas y sistema integrado de gestión de la Entidad, así como el apoyo logístico a las actividades de la Dirección.</v>
          </cell>
          <cell r="R425">
            <v>38259350</v>
          </cell>
          <cell r="S425">
            <v>0</v>
          </cell>
          <cell r="T425">
            <v>0</v>
          </cell>
          <cell r="U425">
            <v>38259350</v>
          </cell>
          <cell r="V425">
            <v>20848573</v>
          </cell>
        </row>
        <row r="426">
          <cell r="J426">
            <v>318</v>
          </cell>
          <cell r="K426">
            <v>43122</v>
          </cell>
          <cell r="L426" t="str">
            <v>ANA MARIA NORIEGA LORA</v>
          </cell>
          <cell r="M426">
            <v>145</v>
          </cell>
          <cell r="N426" t="str">
            <v>CONTRATO DE PRESTACION DE SERVICIOS PROFESIONALES</v>
          </cell>
          <cell r="O426">
            <v>277</v>
          </cell>
          <cell r="P426">
            <v>43122</v>
          </cell>
          <cell r="Q426" t="str">
            <v>Prestación de servicios profesionales a la Dirección de Urbanizaciones y Titulación en el apoyo jurídico para el desarrollo de procesos de identificación y saneamiento predial, así como en la gestión de predios fiscales y de cesiones al Distrito.</v>
          </cell>
          <cell r="R426">
            <v>76992500</v>
          </cell>
          <cell r="S426">
            <v>0</v>
          </cell>
          <cell r="T426">
            <v>0</v>
          </cell>
          <cell r="U426">
            <v>76992500</v>
          </cell>
          <cell r="V426">
            <v>41955333</v>
          </cell>
        </row>
        <row r="427">
          <cell r="J427">
            <v>324</v>
          </cell>
          <cell r="K427">
            <v>43123</v>
          </cell>
          <cell r="L427" t="str">
            <v>LESDY MARIA GIRALDO CASTAÑEDA</v>
          </cell>
          <cell r="M427">
            <v>148</v>
          </cell>
          <cell r="N427" t="str">
            <v>CONTRATO DE PRESTACION DE SERVICIOS DE APOYO A LA GESTION</v>
          </cell>
          <cell r="O427">
            <v>285</v>
          </cell>
          <cell r="P427">
            <v>43123</v>
          </cell>
          <cell r="Q427" t="str">
            <v xml:space="preserve">Prestación de servicios técnicos de apoyo a la  Dirección de Urbanizaciones y Titulación  para la ejecución de las actividades tendientes a lograr el saneamiento predial de los bienes identificados en la  CVP, sirviendo de apoyo en los tramites  jurídicos de la Dirección en el desarrollo de procesos adelantados en los diferentes mecanismos de titulación. </v>
          </cell>
          <cell r="R427">
            <v>38259350</v>
          </cell>
          <cell r="S427">
            <v>0</v>
          </cell>
          <cell r="T427">
            <v>0</v>
          </cell>
          <cell r="U427">
            <v>38259350</v>
          </cell>
          <cell r="V427">
            <v>20848573</v>
          </cell>
        </row>
        <row r="428">
          <cell r="J428">
            <v>326</v>
          </cell>
          <cell r="K428">
            <v>43123</v>
          </cell>
          <cell r="L428" t="str">
            <v>CAMILO ADOLFO PINILLOS BOHORQUEZ</v>
          </cell>
          <cell r="M428">
            <v>148</v>
          </cell>
          <cell r="N428" t="str">
            <v>CONTRATO DE PRESTACION DE SERVICIOS DE APOYO A LA GESTION</v>
          </cell>
          <cell r="O428">
            <v>287</v>
          </cell>
          <cell r="P428">
            <v>43123</v>
          </cell>
          <cell r="Q428" t="str">
            <v>Prestación de servicios de apoyo a la gestión a la  Dirección de Urbanizaciones y Titulación  para la ejecución de las actividades tendientes a lograr el saneamiento predial de los bienes identificados en la  CVP, sirviendo de apoyo en los tramites administrativos y  jurídicos que se requieran en la  Dirección en el desarrollo de procesos adelantados en los diferentes mecanismos de titulación.</v>
          </cell>
          <cell r="R428">
            <v>20136500</v>
          </cell>
          <cell r="S428">
            <v>0</v>
          </cell>
          <cell r="T428">
            <v>0</v>
          </cell>
          <cell r="U428">
            <v>20136500</v>
          </cell>
          <cell r="V428">
            <v>10972934</v>
          </cell>
        </row>
        <row r="429">
          <cell r="J429">
            <v>343</v>
          </cell>
          <cell r="K429">
            <v>43123</v>
          </cell>
          <cell r="L429" t="str">
            <v>IVAN OSWALDO LEON LEON</v>
          </cell>
          <cell r="M429">
            <v>145</v>
          </cell>
          <cell r="N429" t="str">
            <v>CONTRATO DE PRESTACION DE SERVICIOS PROFESIONALES</v>
          </cell>
          <cell r="O429">
            <v>347</v>
          </cell>
          <cell r="P429">
            <v>43123</v>
          </cell>
          <cell r="Q429" t="str">
            <v>Prestación de servicios profesionales a la Dirección de Urbanizaciones y Titulación  en el seguimiento a la ejecución del componente eléctrico de los proyectos de vivienda adelantados por la entidad.</v>
          </cell>
          <cell r="R429">
            <v>13596000</v>
          </cell>
          <cell r="S429">
            <v>0</v>
          </cell>
          <cell r="T429">
            <v>0</v>
          </cell>
          <cell r="U429">
            <v>13596000</v>
          </cell>
          <cell r="V429">
            <v>13596000</v>
          </cell>
        </row>
        <row r="430">
          <cell r="J430">
            <v>352</v>
          </cell>
          <cell r="K430">
            <v>43123</v>
          </cell>
          <cell r="L430" t="str">
            <v>EDWIN ALBERTO ACEVEDO MORENO</v>
          </cell>
          <cell r="M430">
            <v>145</v>
          </cell>
          <cell r="N430" t="str">
            <v>CONTRATO DE PRESTACION DE SERVICIOS PROFESIONALES</v>
          </cell>
          <cell r="O430">
            <v>298</v>
          </cell>
          <cell r="P430">
            <v>43123</v>
          </cell>
          <cell r="Q430" t="str">
            <v>Prestación de servicios profesionales de apoyo jurídico a la Dirección de Urbanizaciones y Titulación  en el desarrollo de los procesos adelantados conforme a los mecanismos de titulación previstos por la ley, así como en el análisis de la situación de predios y realización de trámites requeridos para el saneamiento de los bienes susceptibles de ser titulados por la CVP.</v>
          </cell>
          <cell r="R430">
            <v>60409500</v>
          </cell>
          <cell r="S430">
            <v>0</v>
          </cell>
          <cell r="T430">
            <v>0</v>
          </cell>
          <cell r="U430">
            <v>60409500</v>
          </cell>
          <cell r="V430">
            <v>32568600</v>
          </cell>
        </row>
        <row r="431">
          <cell r="J431">
            <v>354</v>
          </cell>
          <cell r="K431">
            <v>43123</v>
          </cell>
          <cell r="L431" t="str">
            <v>DIEGO FERNANDO RIVERA PARRA</v>
          </cell>
          <cell r="M431">
            <v>145</v>
          </cell>
          <cell r="N431" t="str">
            <v>CONTRATO DE PRESTACION DE SERVICIOS PROFESIONALES</v>
          </cell>
          <cell r="O431">
            <v>299</v>
          </cell>
          <cell r="P431">
            <v>43123</v>
          </cell>
          <cell r="Q431" t="str">
            <v>Prestación de servicios profesionales a la Dirección de Urbanizaciones y Titulación  en el seguimiento técnico a la ejecución de los proyectos de vivienda adelantados por la entidad.</v>
          </cell>
          <cell r="R431">
            <v>52118000</v>
          </cell>
          <cell r="S431">
            <v>0</v>
          </cell>
          <cell r="T431">
            <v>0</v>
          </cell>
          <cell r="U431">
            <v>52118000</v>
          </cell>
          <cell r="V431">
            <v>28098400</v>
          </cell>
        </row>
        <row r="432">
          <cell r="J432">
            <v>357</v>
          </cell>
          <cell r="K432">
            <v>43123</v>
          </cell>
          <cell r="L432" t="str">
            <v>CATHERINE  JAIMES PINTO</v>
          </cell>
          <cell r="M432">
            <v>145</v>
          </cell>
          <cell r="N432" t="str">
            <v>CONTRATO DE PRESTACION DE SERVICIOS PROFESIONALES</v>
          </cell>
          <cell r="O432">
            <v>355</v>
          </cell>
          <cell r="P432">
            <v>43123</v>
          </cell>
          <cell r="Q432" t="str">
            <v>PRESTAR SERVICIOS PROFESIONALES A LA DIRECCIÓN DE URBANIZACIONES Y TITULACIÓN PARA EL ACOMPAÑAMIENTO SOCIAL A LAS  FAMILIAS OBJETO DE ATENCIÓN EN LOS PROCESOS DE LA DIRECCIÓN.</v>
          </cell>
          <cell r="R432">
            <v>39088500</v>
          </cell>
          <cell r="S432">
            <v>0</v>
          </cell>
          <cell r="T432">
            <v>0</v>
          </cell>
          <cell r="U432">
            <v>39088500</v>
          </cell>
          <cell r="V432">
            <v>21073800</v>
          </cell>
        </row>
        <row r="433">
          <cell r="J433">
            <v>361</v>
          </cell>
          <cell r="K433">
            <v>43123</v>
          </cell>
          <cell r="L433" t="str">
            <v>JOSE FABIO CORTES PAEZ</v>
          </cell>
          <cell r="M433">
            <v>145</v>
          </cell>
          <cell r="N433" t="str">
            <v>CONTRATO DE PRESTACION DE SERVICIOS PROFESIONALES</v>
          </cell>
          <cell r="O433">
            <v>302</v>
          </cell>
          <cell r="P433">
            <v>43123</v>
          </cell>
          <cell r="Q433" t="str">
            <v>Prestación de servicios profesionales a la Dirección de Urbanizaciones y Titulación en la elaboración de avalúos y verificación de linderos de predios  que requiera la Dirección,  así como en el apoyo en los procesos de cartografía que se adelanten.</v>
          </cell>
          <cell r="R433">
            <v>65147500</v>
          </cell>
          <cell r="S433">
            <v>0</v>
          </cell>
          <cell r="T433">
            <v>0</v>
          </cell>
          <cell r="U433">
            <v>65147500</v>
          </cell>
          <cell r="V433">
            <v>29458000</v>
          </cell>
        </row>
        <row r="434">
          <cell r="J434">
            <v>362</v>
          </cell>
          <cell r="K434">
            <v>43123</v>
          </cell>
          <cell r="L434" t="str">
            <v>ALDEITH ARVEY QUEVEDO APERADOR</v>
          </cell>
          <cell r="M434">
            <v>145</v>
          </cell>
          <cell r="N434" t="str">
            <v>CONTRATO DE PRESTACION DE SERVICIOS PROFESIONALES</v>
          </cell>
          <cell r="O434">
            <v>303</v>
          </cell>
          <cell r="P434">
            <v>43123</v>
          </cell>
          <cell r="Q434" t="str">
            <v>Prestación de servicios profesionales a la Dirección de Urbanizaciones y Titulación para realizar todas aquellas actividades relacionadas con el control financiero de los contratos de fiducia mercantil mediante los cuales se ejecuten proyectos de vivienda VIP.</v>
          </cell>
          <cell r="R434">
            <v>17767500</v>
          </cell>
          <cell r="S434">
            <v>0</v>
          </cell>
          <cell r="T434">
            <v>0</v>
          </cell>
          <cell r="U434">
            <v>17767500</v>
          </cell>
          <cell r="V434">
            <v>17767500</v>
          </cell>
        </row>
        <row r="435">
          <cell r="J435">
            <v>363</v>
          </cell>
          <cell r="K435">
            <v>43123</v>
          </cell>
          <cell r="L435" t="str">
            <v>ALDEITH ARVEY QUEVEDO APERADOR</v>
          </cell>
          <cell r="M435">
            <v>145</v>
          </cell>
          <cell r="N435" t="str">
            <v>CONTRATO DE PRESTACION DE SERVICIOS PROFESIONALES</v>
          </cell>
          <cell r="O435">
            <v>303</v>
          </cell>
          <cell r="P435">
            <v>43123</v>
          </cell>
          <cell r="Q435" t="str">
            <v>Prestación de servicios profesionales a la Dirección de Urbanizaciones y Titulación para realizar todas aquellas actividades relacionadas con el control financiero de los contratos de fiducia mercantil mediante los cuales se ejecuten proyectos de vivienda VIP.</v>
          </cell>
          <cell r="R435">
            <v>47380000</v>
          </cell>
          <cell r="S435">
            <v>0</v>
          </cell>
          <cell r="T435">
            <v>0</v>
          </cell>
          <cell r="U435">
            <v>47380000</v>
          </cell>
          <cell r="V435">
            <v>17355500</v>
          </cell>
        </row>
        <row r="436">
          <cell r="J436">
            <v>370</v>
          </cell>
          <cell r="K436">
            <v>43124</v>
          </cell>
          <cell r="L436" t="str">
            <v>FRANCISCO JOSE ARGUELLO ROJAS</v>
          </cell>
          <cell r="M436">
            <v>145</v>
          </cell>
          <cell r="N436" t="str">
            <v>CONTRATO DE PRESTACION DE SERVICIOS PROFESIONALES</v>
          </cell>
          <cell r="O436">
            <v>304</v>
          </cell>
          <cell r="P436">
            <v>43124</v>
          </cell>
          <cell r="Q436" t="str">
            <v>Prestar los servicios profesionales para la planeación, realización y desarrollo de contenidos periodísticos que permitan la difusión y divulgación de la gestión social que adelanta la CVP con las comunidades, a través de sus programas misionales.</v>
          </cell>
          <cell r="R436">
            <v>11330000</v>
          </cell>
          <cell r="S436">
            <v>0</v>
          </cell>
          <cell r="T436">
            <v>0</v>
          </cell>
          <cell r="U436">
            <v>11330000</v>
          </cell>
          <cell r="V436">
            <v>6420333</v>
          </cell>
        </row>
        <row r="437">
          <cell r="J437">
            <v>372</v>
          </cell>
          <cell r="K437">
            <v>43124</v>
          </cell>
          <cell r="L437" t="str">
            <v>YULY ALEJANDRA MORALES TREJOS</v>
          </cell>
          <cell r="M437">
            <v>145</v>
          </cell>
          <cell r="N437" t="str">
            <v>CONTRATO DE PRESTACION DE SERVICIOS PROFESIONALES</v>
          </cell>
          <cell r="O437">
            <v>326</v>
          </cell>
          <cell r="P437">
            <v>43124</v>
          </cell>
          <cell r="Q437" t="str">
            <v>Prestación de servicios profesionales a la Dirección de Urbanizaciones y Titulación de apoyo jurídico en los procesos de titulación predial  conforme a los diferentes mecanismos previstos por la ley.</v>
          </cell>
          <cell r="R437">
            <v>40865250</v>
          </cell>
          <cell r="S437">
            <v>0</v>
          </cell>
          <cell r="T437">
            <v>0</v>
          </cell>
          <cell r="U437">
            <v>40865250</v>
          </cell>
          <cell r="V437">
            <v>22031700</v>
          </cell>
        </row>
        <row r="438">
          <cell r="J438">
            <v>379</v>
          </cell>
          <cell r="K438">
            <v>43124</v>
          </cell>
          <cell r="L438" t="str">
            <v>GRETTA SORAYA BOLAÑO VALENCIA</v>
          </cell>
          <cell r="M438">
            <v>145</v>
          </cell>
          <cell r="N438" t="str">
            <v>CONTRATO DE PRESTACION DE SERVICIOS PROFESIONALES</v>
          </cell>
          <cell r="O438">
            <v>305</v>
          </cell>
          <cell r="P438">
            <v>43124</v>
          </cell>
          <cell r="Q438" t="str">
            <v xml:space="preserve">Prestar servicios profesionales a la Dirección Jurídica como enlace y apoyo de la Dirección de Urbanizaciones y Titulación, en temas relacionados con el desarrollo de las actividades de apoyo jurídico en titulación predial, derecho inmobiliario, actuaciones y tramites en general relacionados con la ejecución de las actividades propias de la CVP. </v>
          </cell>
          <cell r="R438">
            <v>37080000</v>
          </cell>
          <cell r="S438">
            <v>0</v>
          </cell>
          <cell r="T438">
            <v>0</v>
          </cell>
          <cell r="U438">
            <v>37080000</v>
          </cell>
          <cell r="V438">
            <v>37080000</v>
          </cell>
        </row>
        <row r="439">
          <cell r="J439">
            <v>384</v>
          </cell>
          <cell r="K439">
            <v>43124</v>
          </cell>
          <cell r="L439" t="str">
            <v>ANDREA VIVIANA SUAREZ CORREA</v>
          </cell>
          <cell r="M439">
            <v>148</v>
          </cell>
          <cell r="N439" t="str">
            <v>CONTRATO DE PRESTACION DE SERVICIOS DE APOYO A LA GESTION</v>
          </cell>
          <cell r="O439">
            <v>307</v>
          </cell>
          <cell r="P439">
            <v>43124</v>
          </cell>
          <cell r="Q439" t="str">
            <v>Prestar servicios de apoyo a la gestión a la Dirección de Urbanizaciones y Titulación para ejecutar las actividades necesarias en el manejo archivístico de los documentos generados por la Dirección.</v>
          </cell>
          <cell r="R439">
            <v>20136500</v>
          </cell>
          <cell r="S439">
            <v>0</v>
          </cell>
          <cell r="T439">
            <v>0</v>
          </cell>
          <cell r="U439">
            <v>20136500</v>
          </cell>
          <cell r="V439">
            <v>10856200</v>
          </cell>
        </row>
        <row r="440">
          <cell r="J440">
            <v>386</v>
          </cell>
          <cell r="K440">
            <v>43124</v>
          </cell>
          <cell r="L440" t="str">
            <v>WILLIAM ANTONIO ZAPATA PAEZ</v>
          </cell>
          <cell r="M440">
            <v>145</v>
          </cell>
          <cell r="N440" t="str">
            <v>CONTRATO DE PRESTACION DE SERVICIOS PROFESIONALES</v>
          </cell>
          <cell r="O440">
            <v>308</v>
          </cell>
          <cell r="P440">
            <v>43124</v>
          </cell>
          <cell r="Q440" t="str">
            <v>Prestación de servicios profesionales a la Dirección de Urbanizaciones y Titulación  en el seguimiento técnico y administrativo a la ejecución de los proyectos de vivienda adelantados por la entidad.</v>
          </cell>
          <cell r="R440">
            <v>82915000</v>
          </cell>
          <cell r="S440">
            <v>0</v>
          </cell>
          <cell r="T440">
            <v>0</v>
          </cell>
          <cell r="U440">
            <v>82915000</v>
          </cell>
          <cell r="V440">
            <v>44702000</v>
          </cell>
        </row>
        <row r="441">
          <cell r="J441">
            <v>387</v>
          </cell>
          <cell r="K441">
            <v>43124</v>
          </cell>
          <cell r="L441" t="str">
            <v>RIGOBERTO  MEDINA TORRES</v>
          </cell>
          <cell r="M441">
            <v>145</v>
          </cell>
          <cell r="N441" t="str">
            <v>CONTRATO DE PRESTACION DE SERVICIOS PROFESIONALES</v>
          </cell>
          <cell r="O441">
            <v>309</v>
          </cell>
          <cell r="P441">
            <v>43124</v>
          </cell>
          <cell r="Q441" t="str">
            <v>Prestar servicios profesionales de apoyo jurídico a la Dirección de Urbanizaciones y Titulación  en el análisis de la situación legal de los predios objeto de saneamiento predial según  los diferentes mecanismos de titulación, así como en la realización de trámites requeridos en el proceso de saneamiento de bienes de susceptibles de ser titulados por la CVP.</v>
          </cell>
          <cell r="R441">
            <v>82915000</v>
          </cell>
          <cell r="S441">
            <v>0</v>
          </cell>
          <cell r="T441">
            <v>0</v>
          </cell>
          <cell r="U441">
            <v>82915000</v>
          </cell>
          <cell r="V441">
            <v>44702000</v>
          </cell>
        </row>
        <row r="442">
          <cell r="J442">
            <v>388</v>
          </cell>
          <cell r="K442">
            <v>43124</v>
          </cell>
          <cell r="L442" t="str">
            <v>CARMEN ASTRID VASCO PIEDRAHITA</v>
          </cell>
          <cell r="M442">
            <v>148</v>
          </cell>
          <cell r="N442" t="str">
            <v>CONTRATO DE PRESTACION DE SERVICIOS DE APOYO A LA GESTION</v>
          </cell>
          <cell r="O442">
            <v>311</v>
          </cell>
          <cell r="P442">
            <v>43124</v>
          </cell>
          <cell r="Q442" t="str">
            <v>Prestar servicios de apoyo a la gestión a la Dirección de Urbanizaciones y Titulación en la ejecución de las actividades logísticas necesarias para el programa de titulación, así como para ejecutar las actividades en el manejo archivístico de los documentos generados por la Dirección.</v>
          </cell>
          <cell r="R442">
            <v>20136500</v>
          </cell>
          <cell r="S442">
            <v>0</v>
          </cell>
          <cell r="T442">
            <v>0</v>
          </cell>
          <cell r="U442">
            <v>20136500</v>
          </cell>
          <cell r="V442">
            <v>10856200</v>
          </cell>
        </row>
        <row r="443">
          <cell r="J443">
            <v>392</v>
          </cell>
          <cell r="K443">
            <v>43124</v>
          </cell>
          <cell r="L443" t="str">
            <v>YENNY ASTRID PARDO CUBIDES</v>
          </cell>
          <cell r="M443">
            <v>145</v>
          </cell>
          <cell r="N443" t="str">
            <v>CONTRATO DE PRESTACION DE SERVICIOS PROFESIONALES</v>
          </cell>
          <cell r="O443">
            <v>330</v>
          </cell>
          <cell r="P443">
            <v>43124</v>
          </cell>
          <cell r="Q443" t="str">
            <v>Prestar servicios profesionales a la Dirección de Urbanizaciones y Titulación para el acompañamiento social a las  familias objeto de atención en los procesos de la Dirección.</v>
          </cell>
          <cell r="R443">
            <v>40865250</v>
          </cell>
          <cell r="S443">
            <v>0</v>
          </cell>
          <cell r="T443">
            <v>0</v>
          </cell>
          <cell r="U443">
            <v>40865250</v>
          </cell>
          <cell r="V443">
            <v>22031700</v>
          </cell>
        </row>
        <row r="444">
          <cell r="J444">
            <v>393</v>
          </cell>
          <cell r="K444">
            <v>43124</v>
          </cell>
          <cell r="L444" t="str">
            <v>CARLOS EMILIANO ROMERO PUENTES</v>
          </cell>
          <cell r="M444">
            <v>145</v>
          </cell>
          <cell r="N444" t="str">
            <v>CONTRATO DE PRESTACION DE SERVICIOS PROFESIONALES</v>
          </cell>
          <cell r="O444">
            <v>315</v>
          </cell>
          <cell r="P444">
            <v>43124</v>
          </cell>
          <cell r="Q444" t="str">
            <v>Prestación de servicios profesionales a la Dirección de Urbanizaciones y Titulación,  para la identificación, georreferenciación y análisis de los predios susceptibles de ser titulados, así como la georreferenciación de los predios que se encuentran en informalidad en el distrito,  para la ejecución de las actividades técnicas necesarias para lograr el saneamiento predial de los inmuebles  identificados por la Caja de la Vivienda Popular.</v>
          </cell>
          <cell r="R444">
            <v>65147500</v>
          </cell>
          <cell r="S444">
            <v>0</v>
          </cell>
          <cell r="T444">
            <v>0</v>
          </cell>
          <cell r="U444">
            <v>65147500</v>
          </cell>
          <cell r="V444">
            <v>35123000</v>
          </cell>
        </row>
        <row r="445">
          <cell r="J445">
            <v>394</v>
          </cell>
          <cell r="K445">
            <v>43124</v>
          </cell>
          <cell r="L445" t="str">
            <v>SOFIA  MIRANDA BALLESTEROS</v>
          </cell>
          <cell r="M445">
            <v>145</v>
          </cell>
          <cell r="N445" t="str">
            <v>CONTRATO DE PRESTACION DE SERVICIOS PROFESIONALES</v>
          </cell>
          <cell r="O445">
            <v>316</v>
          </cell>
          <cell r="P445">
            <v>43124</v>
          </cell>
          <cell r="Q445" t="str">
            <v>Prestar servicios profesionales a la Dirección de Urbanizaciones y Titulación en la estructuración y revisión jurídica de los documentos, informes y actos administrativos propios de la dependencia.</v>
          </cell>
          <cell r="R445">
            <v>94760000</v>
          </cell>
          <cell r="S445">
            <v>0</v>
          </cell>
          <cell r="T445">
            <v>0</v>
          </cell>
          <cell r="U445">
            <v>94760000</v>
          </cell>
          <cell r="V445">
            <v>51088000</v>
          </cell>
        </row>
        <row r="446">
          <cell r="J446">
            <v>395</v>
          </cell>
          <cell r="K446">
            <v>43124</v>
          </cell>
          <cell r="L446" t="str">
            <v>ADRIANA  MORENO BALLEN</v>
          </cell>
          <cell r="M446">
            <v>145</v>
          </cell>
          <cell r="N446" t="str">
            <v>CONTRATO DE PRESTACION DE SERVICIOS PROFESIONALES</v>
          </cell>
          <cell r="O446">
            <v>331</v>
          </cell>
          <cell r="P446">
            <v>43124</v>
          </cell>
          <cell r="Q446" t="str">
            <v>Prestar servicios profesionales a la Dirección de Urbanizaciones y Titulación para el acompañamiento social a las  familias objeto de atención en los procesos de la Dirección.</v>
          </cell>
          <cell r="R446">
            <v>40865250</v>
          </cell>
          <cell r="S446">
            <v>0</v>
          </cell>
          <cell r="T446">
            <v>0</v>
          </cell>
          <cell r="U446">
            <v>40865250</v>
          </cell>
          <cell r="V446">
            <v>22031700</v>
          </cell>
        </row>
        <row r="447">
          <cell r="J447">
            <v>410</v>
          </cell>
          <cell r="K447">
            <v>43124</v>
          </cell>
          <cell r="L447" t="str">
            <v>LUKAS FERNANDO URIBE FRANCO</v>
          </cell>
          <cell r="M447">
            <v>145</v>
          </cell>
          <cell r="N447" t="str">
            <v>CONTRATO DE PRESTACION DE SERVICIOS PROFESIONALES</v>
          </cell>
          <cell r="O447">
            <v>314</v>
          </cell>
          <cell r="P447">
            <v>43124</v>
          </cell>
          <cell r="Q447" t="str">
            <v>Prestar servicios profesionales a la Dirección de Urbanizaciones y Titulación en el seguimiento técnico y administrativo de los proyectos de vivienda VIP y a la Dirección de Reasentamientos en el apoyo a la estructuración de los procesos de Gestión Inmobiliaria, destinados a la entrega de viviendas desarrolladas por la CVP a las familias vinculadas al Programa de Reasentamientos de la Entidad.</v>
          </cell>
          <cell r="R447">
            <v>91902250</v>
          </cell>
          <cell r="S447">
            <v>0</v>
          </cell>
          <cell r="T447">
            <v>0</v>
          </cell>
          <cell r="U447">
            <v>91902250</v>
          </cell>
          <cell r="V447">
            <v>39270000</v>
          </cell>
        </row>
        <row r="448">
          <cell r="J448">
            <v>429</v>
          </cell>
          <cell r="K448">
            <v>43124</v>
          </cell>
          <cell r="L448" t="str">
            <v>WILLIAM  CADENA ACOSTA</v>
          </cell>
          <cell r="M448">
            <v>145</v>
          </cell>
          <cell r="N448" t="str">
            <v>CONTRATO DE PRESTACION DE SERVICIOS PROFESIONALES</v>
          </cell>
          <cell r="O448">
            <v>364</v>
          </cell>
          <cell r="P448">
            <v>43124</v>
          </cell>
          <cell r="Q448" t="str">
            <v>Prestar los servicios profesionales a la Dirección de Urbanizaciones y Titulación como enlace con la Oficina Asesora de Comunicación de la Caja de la Vivienda Popular, garantizando la implementación y desarrollo de estrategias de comunicación institucional, bajo los parámetros contemplados en el plan estratégico de comunicaciones de la entidad</v>
          </cell>
          <cell r="R448">
            <v>57922050</v>
          </cell>
          <cell r="S448">
            <v>0</v>
          </cell>
          <cell r="T448">
            <v>0</v>
          </cell>
          <cell r="U448">
            <v>57922050</v>
          </cell>
          <cell r="V448">
            <v>31227540</v>
          </cell>
        </row>
        <row r="449">
          <cell r="J449">
            <v>437</v>
          </cell>
          <cell r="K449">
            <v>43125</v>
          </cell>
          <cell r="L449" t="str">
            <v>OSCAR HUMBERTO PAVA</v>
          </cell>
          <cell r="M449">
            <v>148</v>
          </cell>
          <cell r="N449" t="str">
            <v>CONTRATO DE PRESTACION DE SERVICIOS DE APOYO A LA GESTION</v>
          </cell>
          <cell r="O449">
            <v>310</v>
          </cell>
          <cell r="P449">
            <v>43125</v>
          </cell>
          <cell r="Q449" t="str">
            <v>Prestación de servicios técnicos de apoyo a la  Dirección de Urbanizaciones y Titulación en el estudio de la informacion cartografica y elaboracion de avaluos, asi como en el apoyo a los procesos de cierre de urbanizaciones que adelante la Direccion.</v>
          </cell>
          <cell r="R449">
            <v>38259350</v>
          </cell>
          <cell r="S449">
            <v>0</v>
          </cell>
          <cell r="T449">
            <v>0</v>
          </cell>
          <cell r="U449">
            <v>38259350</v>
          </cell>
          <cell r="V449">
            <v>20515883</v>
          </cell>
        </row>
        <row r="450">
          <cell r="J450">
            <v>453</v>
          </cell>
          <cell r="K450">
            <v>43125</v>
          </cell>
          <cell r="L450" t="str">
            <v>RENE JAVIER BUITRAGO PEDRAZA</v>
          </cell>
          <cell r="M450">
            <v>145</v>
          </cell>
          <cell r="N450" t="str">
            <v>CONTRATO DE PRESTACION DE SERVICIOS PROFESIONALES</v>
          </cell>
          <cell r="O450">
            <v>383</v>
          </cell>
          <cell r="P450">
            <v>43125</v>
          </cell>
          <cell r="Q450" t="str">
            <v>Prestar servicios profesionales de apoyo jurídico a la Dirección de Urbanizaciones y Titulación  en el análisis de la situación legal de los predios objeto de saneamiento predial según  los diferentes mecanismos de titulación, así como en la realización de trámites requeridos en el proceso de saneamiento de bienes de susceptibles de ser titulados por la CVP.</v>
          </cell>
          <cell r="R450">
            <v>65147500</v>
          </cell>
          <cell r="S450">
            <v>0</v>
          </cell>
          <cell r="T450">
            <v>0</v>
          </cell>
          <cell r="U450">
            <v>65147500</v>
          </cell>
          <cell r="V450">
            <v>34934167</v>
          </cell>
        </row>
        <row r="451">
          <cell r="J451">
            <v>463</v>
          </cell>
          <cell r="K451">
            <v>43126</v>
          </cell>
          <cell r="L451" t="str">
            <v>MARIA JOSE LARA ANAYA</v>
          </cell>
          <cell r="M451">
            <v>145</v>
          </cell>
          <cell r="N451" t="str">
            <v>CONTRATO DE PRESTACION DE SERVICIOS PROFESIONALES</v>
          </cell>
          <cell r="O451">
            <v>390</v>
          </cell>
          <cell r="P451">
            <v>43126</v>
          </cell>
          <cell r="Q451" t="str">
            <v>Prestar servicios profesionales a la Dirección de Urbanizaciones y Titulación en la definición de una estrategia de relacionamiento y articulación  interinstitucional con las diferentes entidades gubernamentales y privadas que coadyuven en la consecución de las metas propuestas.</v>
          </cell>
          <cell r="R451">
            <v>94760000</v>
          </cell>
          <cell r="S451">
            <v>0</v>
          </cell>
          <cell r="T451">
            <v>0</v>
          </cell>
          <cell r="U451">
            <v>94760000</v>
          </cell>
          <cell r="V451">
            <v>41749334</v>
          </cell>
        </row>
        <row r="452">
          <cell r="J452">
            <v>464</v>
          </cell>
          <cell r="K452">
            <v>43126</v>
          </cell>
          <cell r="L452" t="str">
            <v>CRISTIAN DAVID OLACHICA SERRANO</v>
          </cell>
          <cell r="M452">
            <v>148</v>
          </cell>
          <cell r="N452" t="str">
            <v>CONTRATO DE PRESTACION DE SERVICIOS DE APOYO A LA GESTION</v>
          </cell>
          <cell r="O452">
            <v>391</v>
          </cell>
          <cell r="P452">
            <v>43126</v>
          </cell>
          <cell r="Q452" t="str">
            <v>Prestar servicios de apoyo a la gestión a la Dirección de Urbanizaciones y Titulación en la ejecución de las actividades necesarias en el manejo archivístico de los documentos generados por la Dirección, aplicando el control, custodia y depuración  del archivo correspondiente, de conformidad con las normas vigentes y Sistema Integrado de Gestión.</v>
          </cell>
          <cell r="R452">
            <v>19261000</v>
          </cell>
          <cell r="S452">
            <v>0</v>
          </cell>
          <cell r="T452">
            <v>0</v>
          </cell>
          <cell r="U452">
            <v>19261000</v>
          </cell>
          <cell r="V452">
            <v>10622734</v>
          </cell>
        </row>
        <row r="453">
          <cell r="J453">
            <v>469</v>
          </cell>
          <cell r="K453">
            <v>43126</v>
          </cell>
          <cell r="L453" t="str">
            <v>LADY TATIANA PAEZ FONSECA</v>
          </cell>
          <cell r="M453">
            <v>145</v>
          </cell>
          <cell r="N453" t="str">
            <v>CONTRATO DE PRESTACION DE SERVICIOS PROFESIONALES</v>
          </cell>
          <cell r="O453">
            <v>396</v>
          </cell>
          <cell r="P453">
            <v>43126</v>
          </cell>
          <cell r="Q453" t="str">
            <v>Prestación de servicios profesionales a la Dirección de Urbanizaciones y Titulación,  para la identificación, georreferenciación y análisis de los predios  susceptibles de ser titulados, así como la georreferenciación de los predios que se encuentran en informalidad en el Distrito,  para la ejecución de las actividades técnicas necesarias para lograr el saneamiento predial de los inmuebles  identificados por la Caja de la Vivienda Popular.</v>
          </cell>
          <cell r="R453">
            <v>71070000</v>
          </cell>
          <cell r="S453">
            <v>0</v>
          </cell>
          <cell r="T453">
            <v>0</v>
          </cell>
          <cell r="U453">
            <v>71070000</v>
          </cell>
          <cell r="V453">
            <v>37492000</v>
          </cell>
        </row>
        <row r="454">
          <cell r="J454">
            <v>475</v>
          </cell>
          <cell r="K454">
            <v>43126</v>
          </cell>
          <cell r="L454" t="str">
            <v>JOSE NAPOLEON STRUSBERG OROZCO</v>
          </cell>
          <cell r="M454">
            <v>145</v>
          </cell>
          <cell r="N454" t="str">
            <v>CONTRATO DE PRESTACION DE SERVICIOS PROFESIONALES</v>
          </cell>
          <cell r="O454">
            <v>401</v>
          </cell>
          <cell r="P454">
            <v>43126</v>
          </cell>
          <cell r="Q454" t="str">
            <v>Prestación de servicios profesionales a la Dirección de Urbanizaciones y Titulación de apoyo jurídico en los procesos de titulación predial  conforme a los diferentes mecanismos previstos por la ley.</v>
          </cell>
          <cell r="R454">
            <v>37389000</v>
          </cell>
          <cell r="S454">
            <v>0</v>
          </cell>
          <cell r="T454">
            <v>0</v>
          </cell>
          <cell r="U454">
            <v>37389000</v>
          </cell>
          <cell r="V454">
            <v>20620600</v>
          </cell>
        </row>
        <row r="455">
          <cell r="J455">
            <v>480</v>
          </cell>
          <cell r="K455">
            <v>43126</v>
          </cell>
          <cell r="L455" t="str">
            <v>DEYANIRA  OCHOA MANCHOLA</v>
          </cell>
          <cell r="M455">
            <v>145</v>
          </cell>
          <cell r="N455" t="str">
            <v>CONTRATO DE PRESTACION DE SERVICIOS PROFESIONALES</v>
          </cell>
          <cell r="O455">
            <v>402</v>
          </cell>
          <cell r="P455">
            <v>43126</v>
          </cell>
          <cell r="Q455" t="str">
            <v>Prestar servicios profesionales a la Dirección de Urbanizaciones y Titulación en la programación, organización y realización de planes de trabajo dirigidos a brindar acompañamiento social a las comunidades beneficiarias de los programas a cargo de la Dirección.</v>
          </cell>
          <cell r="R455">
            <v>47380000</v>
          </cell>
          <cell r="S455">
            <v>0</v>
          </cell>
          <cell r="T455">
            <v>0</v>
          </cell>
          <cell r="U455">
            <v>47380000</v>
          </cell>
          <cell r="V455">
            <v>24994667</v>
          </cell>
        </row>
        <row r="456">
          <cell r="J456">
            <v>491</v>
          </cell>
          <cell r="K456">
            <v>43126</v>
          </cell>
          <cell r="L456" t="str">
            <v>TARCISIO  MOSQUERA RIVAS</v>
          </cell>
          <cell r="M456">
            <v>148</v>
          </cell>
          <cell r="N456" t="str">
            <v>CONTRATO DE PRESTACION DE SERVICIOS DE APOYO A LA GESTION</v>
          </cell>
          <cell r="O456">
            <v>422</v>
          </cell>
          <cell r="P456">
            <v>43126</v>
          </cell>
          <cell r="Q456" t="str">
            <v>PRESTACIÓN DE SERVICIOS TÉCNICOS A LA DIRECCIÓN DE URBANIZACIÓN Y TITULACIÓN, EN EL PROCESO DE SANEAMIENTO PREDIAL DE LOS BIENES INMUEBLES DE LA CAJA DE LA VIVIENDA POPULAR.</v>
          </cell>
          <cell r="R456">
            <v>28428000</v>
          </cell>
          <cell r="S456">
            <v>0</v>
          </cell>
          <cell r="T456">
            <v>0</v>
          </cell>
          <cell r="U456">
            <v>28428000</v>
          </cell>
          <cell r="V456">
            <v>14832000</v>
          </cell>
        </row>
        <row r="457">
          <cell r="J457">
            <v>492</v>
          </cell>
          <cell r="K457">
            <v>43126</v>
          </cell>
          <cell r="L457" t="str">
            <v>MARTHA ALICIA ROMERO VARGAS</v>
          </cell>
          <cell r="M457">
            <v>145</v>
          </cell>
          <cell r="N457" t="str">
            <v>CONTRATO DE PRESTACION DE SERVICIOS PROFESIONALES</v>
          </cell>
          <cell r="O457">
            <v>417</v>
          </cell>
          <cell r="P457">
            <v>43126</v>
          </cell>
          <cell r="Q457" t="str">
            <v>Prestación de servicios profesionales para el acompañamiento jurídico a la Dirección de Urbanizaciones y Titulación en el seguimiento contractual y post-contractual de los procesos relacionados con el cierre de urbanizaciones, entrega de zonas de cesión y titulación de predios.</v>
          </cell>
          <cell r="R457">
            <v>76992500</v>
          </cell>
          <cell r="S457">
            <v>0</v>
          </cell>
          <cell r="T457">
            <v>0</v>
          </cell>
          <cell r="U457">
            <v>76992500</v>
          </cell>
          <cell r="V457">
            <v>40616333</v>
          </cell>
        </row>
        <row r="458">
          <cell r="J458">
            <v>493</v>
          </cell>
          <cell r="K458">
            <v>43126</v>
          </cell>
          <cell r="L458" t="str">
            <v>MONICA FERNANDA ALVARADO GARCIA</v>
          </cell>
          <cell r="M458">
            <v>145</v>
          </cell>
          <cell r="N458" t="str">
            <v>CONTRATO DE PRESTACION DE SERVICIOS PROFESIONALES</v>
          </cell>
          <cell r="O458">
            <v>423</v>
          </cell>
          <cell r="P458">
            <v>43126</v>
          </cell>
          <cell r="Q458" t="str">
            <v>Prestar servicios profesionales de apoyo jurídico a la Dirección de Urbanizaciones y Titulación  en el desarrollo de procesos adelantados en los diferentes mecanismos de titulación, así como en el análisis de la situación de predios y realización de trámites requeridos sobre los predios susceptibles de ser titulados por la CVP.</v>
          </cell>
          <cell r="R458">
            <v>57922050</v>
          </cell>
          <cell r="S458">
            <v>0</v>
          </cell>
          <cell r="T458">
            <v>0</v>
          </cell>
          <cell r="U458">
            <v>57922050</v>
          </cell>
          <cell r="V458">
            <v>30555980</v>
          </cell>
        </row>
        <row r="459">
          <cell r="J459">
            <v>494</v>
          </cell>
          <cell r="K459">
            <v>43126</v>
          </cell>
          <cell r="L459" t="str">
            <v>JUAN CAMILO AGUIRRE ORTIZ</v>
          </cell>
          <cell r="M459">
            <v>145</v>
          </cell>
          <cell r="N459" t="str">
            <v>CONTRATO DE PRESTACION DE SERVICIOS PROFESIONALES</v>
          </cell>
          <cell r="O459">
            <v>420</v>
          </cell>
          <cell r="P459">
            <v>43126</v>
          </cell>
          <cell r="Q459" t="str">
            <v>Prestación de servicios técnicos a la Dirección de Urbanizaciones y Titulación para la implementación en el registro, seguimiento y control de los actos administrativos tendientes a la titulación de predios, así como la logística necesaria para el manejo de gestión documental.</v>
          </cell>
          <cell r="R459">
            <v>28428000</v>
          </cell>
          <cell r="S459">
            <v>0</v>
          </cell>
          <cell r="T459">
            <v>0</v>
          </cell>
          <cell r="U459">
            <v>28428000</v>
          </cell>
          <cell r="V459">
            <v>14832000</v>
          </cell>
        </row>
        <row r="460">
          <cell r="J460">
            <v>497</v>
          </cell>
          <cell r="K460">
            <v>43126</v>
          </cell>
          <cell r="L460" t="str">
            <v>DIOGENES AUGUSTO LLANOS PINZON</v>
          </cell>
          <cell r="M460">
            <v>145</v>
          </cell>
          <cell r="N460" t="str">
            <v>CONTRATO DE PRESTACION DE SERVICIOS PROFESIONALES</v>
          </cell>
          <cell r="O460">
            <v>426</v>
          </cell>
          <cell r="P460">
            <v>43126</v>
          </cell>
          <cell r="Q460" t="str">
            <v>Prestación de servicios profesionales a la Dirección de Urbanizaciones y Titulación en el apoyo jurídico para realizar el acompañamiento y seguimiento de los documentos sometidos a registro, con el fin de agilizar el perfeccionamiento de la inscripción de los títulos que garantizan el derecho de propiedad de los beneficiarios de los programas misionales de LA CAJA, en el marco del convenio de interadministrativo suscrito entre la Caja de la Vivienda Popular y la Superintendencia de Notariado y Registro.</v>
          </cell>
          <cell r="R460">
            <v>31981500</v>
          </cell>
          <cell r="S460">
            <v>0</v>
          </cell>
          <cell r="T460">
            <v>0</v>
          </cell>
          <cell r="U460">
            <v>31981500</v>
          </cell>
          <cell r="V460">
            <v>21557900</v>
          </cell>
        </row>
        <row r="461">
          <cell r="J461">
            <v>498</v>
          </cell>
          <cell r="K461">
            <v>43126</v>
          </cell>
          <cell r="L461" t="str">
            <v>ORLANDO  ROA HERNANDEZ</v>
          </cell>
          <cell r="M461">
            <v>148</v>
          </cell>
          <cell r="N461" t="str">
            <v>CONTRATO DE PRESTACION DE SERVICIOS DE APOYO A LA GESTION</v>
          </cell>
          <cell r="O461">
            <v>421</v>
          </cell>
          <cell r="P461">
            <v>43126</v>
          </cell>
          <cell r="Q461" t="str">
            <v>Prestar servicios de apoyo  a la Dirección de Urbanizaciones y Titulación para ejecutar las actividades necesarias en el manejo archivístico de los documentos generados por la Dirección,  de conformidad con las normas vigentes y Sistema Integrado de Gestión.</v>
          </cell>
          <cell r="R461">
            <v>20136500</v>
          </cell>
          <cell r="S461">
            <v>0</v>
          </cell>
          <cell r="T461">
            <v>0</v>
          </cell>
          <cell r="U461">
            <v>20136500</v>
          </cell>
          <cell r="V461">
            <v>10622733</v>
          </cell>
        </row>
        <row r="462">
          <cell r="J462">
            <v>507</v>
          </cell>
          <cell r="K462">
            <v>43126</v>
          </cell>
          <cell r="L462" t="str">
            <v>ANDRES FERNANDO PINTO PATIÑO</v>
          </cell>
          <cell r="M462">
            <v>145</v>
          </cell>
          <cell r="N462" t="str">
            <v>CONTRATO DE PRESTACION DE SERVICIOS PROFESIONALES</v>
          </cell>
          <cell r="O462">
            <v>428</v>
          </cell>
          <cell r="P462">
            <v>43126</v>
          </cell>
          <cell r="Q462" t="str">
            <v>Prestar los servicios profesionales para apoyar a la Dirección de Urbanizaciones y Titulación en la identificación, consolidación, depuración y saneamiento del inventario de bienes inmuebles de la Caja de la Vivienda Popular.</v>
          </cell>
          <cell r="R462">
            <v>39088500</v>
          </cell>
          <cell r="S462">
            <v>0</v>
          </cell>
          <cell r="T462">
            <v>0</v>
          </cell>
          <cell r="U462">
            <v>39088500</v>
          </cell>
          <cell r="V462">
            <v>21321000</v>
          </cell>
        </row>
        <row r="463">
          <cell r="J463">
            <v>508</v>
          </cell>
          <cell r="K463">
            <v>43129</v>
          </cell>
          <cell r="L463" t="str">
            <v>ANA CECILIA BALLESTEROS URBINA</v>
          </cell>
          <cell r="M463">
            <v>145</v>
          </cell>
          <cell r="N463" t="str">
            <v>CONTRATO DE PRESTACION DE SERVICIOS PROFESIONALES</v>
          </cell>
          <cell r="O463">
            <v>427</v>
          </cell>
          <cell r="P463">
            <v>43129</v>
          </cell>
          <cell r="Q463" t="str">
            <v>Prestación de servicios profesionales a la Dirección de Urbanizaciones y Titulación para realizar todas aquellas actividades relacionadas con la gerencia y estructuración económica y financiera de Proyectos de vivienda VIP, asociados al proyecto de inversión 471, al igual prestar acompañamiento financiero en los procesos de adquisición de suelo y bienes inmuebles para la titulación de predios.</v>
          </cell>
          <cell r="R463">
            <v>60000000</v>
          </cell>
          <cell r="S463">
            <v>0</v>
          </cell>
          <cell r="T463">
            <v>0</v>
          </cell>
          <cell r="U463">
            <v>60000000</v>
          </cell>
          <cell r="V463">
            <v>60000000</v>
          </cell>
        </row>
        <row r="464">
          <cell r="J464">
            <v>1537</v>
          </cell>
          <cell r="K464">
            <v>43165</v>
          </cell>
          <cell r="L464" t="str">
            <v>POSITIVA COMPAÑIA DE SEGUROS SA</v>
          </cell>
          <cell r="M464">
            <v>30</v>
          </cell>
          <cell r="N464" t="str">
            <v>ORDEN DE PRESTACION DE SERVICIOS</v>
          </cell>
          <cell r="O464">
            <v>3</v>
          </cell>
          <cell r="P464">
            <v>43165</v>
          </cell>
          <cell r="Q464" t="str">
            <v>PAGO DE COTIZACIÓN AL SISTEMA GENERAL DE RIESGOS LABORALES DE LAS PERSONAS VINCULADAS A TRAVÉS DE UN CONTRATO DE PRESTACIÓN DE SERVICIOS CON LA CAJA DE LA VIVIENDA POPULAR QUE LABORAN EN ACTIVIDADES DE ALTO RIESGO, SEGÚN EN EL ARTÍCULO 13 DEL DECRETO 723 DE 2013. MES DE FEBRERO DE 2018</v>
          </cell>
          <cell r="R464">
            <v>882500</v>
          </cell>
          <cell r="S464">
            <v>0</v>
          </cell>
          <cell r="T464">
            <v>0</v>
          </cell>
          <cell r="U464">
            <v>882500</v>
          </cell>
          <cell r="V464">
            <v>882500</v>
          </cell>
        </row>
        <row r="465">
          <cell r="J465">
            <v>1723</v>
          </cell>
          <cell r="K465">
            <v>43195</v>
          </cell>
          <cell r="L465" t="str">
            <v>POSITIVA COMPAÑIA DE SEGUROS SA</v>
          </cell>
          <cell r="M465">
            <v>30</v>
          </cell>
          <cell r="N465" t="str">
            <v>ORDEN DE PRESTACION DE SERVICIOS</v>
          </cell>
          <cell r="O465">
            <v>4</v>
          </cell>
          <cell r="P465">
            <v>43195</v>
          </cell>
          <cell r="Q465" t="str">
            <v>PAGO DE COTIZACIÓN AL SISTEMA GENERAL DE RIESGOS LABORALES DE LAS PERSONAS VINCULADAS A TRAVÉS DE UN CONTRATO DE PRESTACIÓN DE SERVICIOS CON LA CAJA DE LA VIVIENDA POPULAR QUE LABORAN EN ACTIVIDADES DE ALTO RIESGO, SEGÚN EN EL ARTÍCULO 13 DEL DECRETO 723 DE 2013. MES DE ABRIL</v>
          </cell>
          <cell r="R465">
            <v>1161100</v>
          </cell>
          <cell r="S465">
            <v>0</v>
          </cell>
          <cell r="T465">
            <v>0</v>
          </cell>
          <cell r="U465">
            <v>1161100</v>
          </cell>
          <cell r="V465">
            <v>1161100</v>
          </cell>
        </row>
        <row r="466">
          <cell r="J466">
            <v>1842</v>
          </cell>
          <cell r="K466">
            <v>43214</v>
          </cell>
          <cell r="L466" t="str">
            <v>IVAN OSWALDO LEON LEON</v>
          </cell>
          <cell r="M466">
            <v>145</v>
          </cell>
          <cell r="N466" t="str">
            <v>CONTRATO DE PRESTACION DE SERVICIOS PROFESIONALES</v>
          </cell>
          <cell r="O466">
            <v>347</v>
          </cell>
          <cell r="P466">
            <v>43214</v>
          </cell>
          <cell r="Q466" t="str">
            <v>Adición y prorroga al contrato 347 de 2018 cuyo objeto es "Prestación de servicios profesionales a la Dirección de Urbanizaciones y Titulación  en el seguimiento a la ejecución del componente eléctrico de los proyectos de vivienda adelantados por la entidad.</v>
          </cell>
          <cell r="R466">
            <v>6798000</v>
          </cell>
          <cell r="S466">
            <v>0</v>
          </cell>
          <cell r="T466">
            <v>0</v>
          </cell>
          <cell r="U466">
            <v>6798000</v>
          </cell>
          <cell r="V466">
            <v>5438400</v>
          </cell>
        </row>
        <row r="467">
          <cell r="J467">
            <v>1889</v>
          </cell>
          <cell r="K467">
            <v>43229</v>
          </cell>
          <cell r="L467" t="str">
            <v>POSITIVA COMPAÑIA DE SEGUROS SA</v>
          </cell>
          <cell r="M467">
            <v>30</v>
          </cell>
          <cell r="N467" t="str">
            <v>ORDEN DE PRESTACION DE SERVICIOS</v>
          </cell>
          <cell r="O467">
            <v>5</v>
          </cell>
          <cell r="P467">
            <v>43229</v>
          </cell>
          <cell r="Q467" t="str">
            <v>Pago de cotización al sistema general de riesgos laborales de las personas vinculadas a través de un contrato de prestación de servicios con la Caja de la Vivienda Popular que laboran en actividades de alto riesgo, según en el artículo 13 del decreto 723 de 2013.</v>
          </cell>
          <cell r="R467">
            <v>1161100</v>
          </cell>
          <cell r="S467">
            <v>0</v>
          </cell>
          <cell r="T467">
            <v>0</v>
          </cell>
          <cell r="U467">
            <v>1161100</v>
          </cell>
          <cell r="V467">
            <v>1161100</v>
          </cell>
        </row>
        <row r="468">
          <cell r="J468">
            <v>2008</v>
          </cell>
          <cell r="K468">
            <v>43258</v>
          </cell>
          <cell r="L468" t="str">
            <v>POSITIVA COMPAÑIA DE SEGUROS SA</v>
          </cell>
          <cell r="M468">
            <v>30</v>
          </cell>
          <cell r="N468" t="str">
            <v>ORDEN DE PRESTACION DE SERVICIOS</v>
          </cell>
          <cell r="O468">
            <v>6</v>
          </cell>
          <cell r="P468">
            <v>43258</v>
          </cell>
          <cell r="Q468" t="str">
            <v>PAGO DE COTIZACIÓN AL SISTEMA GENERAL DE RIESGOS LABORALES DE LAS PERSONAS VINCULADAS A TRAVÉS DE UN CONTRATO DE PRESTACIÓN DE SERVICIOS CON LA CAJA DE LA VIVIENDA POPULAR QUE LABORAN EN ACTIVIDADES DE ALTO RIESGO, SEGÚN EN EL ARTÍCULO 13 DEL DECRETO 723 DE 2013. MES JUNIO DE 2018</v>
          </cell>
          <cell r="R468">
            <v>1161100</v>
          </cell>
          <cell r="S468">
            <v>0</v>
          </cell>
          <cell r="T468">
            <v>0</v>
          </cell>
          <cell r="U468">
            <v>1161100</v>
          </cell>
          <cell r="V468">
            <v>1161100</v>
          </cell>
        </row>
        <row r="469">
          <cell r="J469">
            <v>2144</v>
          </cell>
          <cell r="K469">
            <v>43276</v>
          </cell>
          <cell r="L469" t="str">
            <v>ANA CECILIA BALLESTEROS URBINA</v>
          </cell>
          <cell r="M469">
            <v>145</v>
          </cell>
          <cell r="N469" t="str">
            <v>CONTRATO DE PRESTACION DE SERVICIOS PROFESIONALES</v>
          </cell>
          <cell r="O469">
            <v>427</v>
          </cell>
          <cell r="P469">
            <v>43276</v>
          </cell>
          <cell r="Q469" t="str">
            <v>Adición y prorroga al contrato 427 de 2018 cuyo objeto es "Prestación de servicios profesionales a la Dirección de Urbanizaciones y Titulación para realizar todas aquellas actividades relacionadas con la gerencia y estructuración económica y financiera de Proyectos de vivienda VIP, asociados al proyecto de inversión 471, al igual prestar acompañamiento financiero en los procesos de adquisición de suelo y bienes inmuebles para la titulación de predios.</v>
          </cell>
          <cell r="R469">
            <v>30000000</v>
          </cell>
          <cell r="S469">
            <v>0</v>
          </cell>
          <cell r="T469">
            <v>0</v>
          </cell>
          <cell r="U469">
            <v>30000000</v>
          </cell>
          <cell r="V469">
            <v>0</v>
          </cell>
        </row>
        <row r="470">
          <cell r="J470">
            <v>2461</v>
          </cell>
          <cell r="K470">
            <v>43291</v>
          </cell>
          <cell r="L470" t="str">
            <v>MARIBEL  QUEVEDO GONZALEZ</v>
          </cell>
          <cell r="M470">
            <v>148</v>
          </cell>
          <cell r="N470" t="str">
            <v>CONTRATO DE PRESTACION DE SERVICIOS DE APOYO A LA GESTION</v>
          </cell>
          <cell r="O470">
            <v>442</v>
          </cell>
          <cell r="P470">
            <v>43291</v>
          </cell>
          <cell r="Q470" t="str">
            <v>Prestar servicios técnicos a nivel operativo apoyando transversalmente en la atención a las comunidades a cargo de la Dirección de Urbanizaciones y Titulación para el cumplimiento de sus metas, así como adelantar actividades de clasificación, registro y archivo de la información general en la Dirección.</v>
          </cell>
          <cell r="R470">
            <v>18852433</v>
          </cell>
          <cell r="S470">
            <v>0</v>
          </cell>
          <cell r="T470">
            <v>0</v>
          </cell>
          <cell r="U470">
            <v>18852433</v>
          </cell>
          <cell r="V470">
            <v>2217933</v>
          </cell>
        </row>
        <row r="471">
          <cell r="J471">
            <v>2479</v>
          </cell>
          <cell r="K471">
            <v>43292</v>
          </cell>
          <cell r="L471" t="str">
            <v>POSITIVA COMPAÑIA DE SEGUROS SA</v>
          </cell>
          <cell r="M471">
            <v>30</v>
          </cell>
          <cell r="N471" t="str">
            <v>ORDEN DE PRESTACION DE SERVICIOS</v>
          </cell>
          <cell r="O471">
            <v>7</v>
          </cell>
          <cell r="P471">
            <v>43292</v>
          </cell>
          <cell r="Q471" t="str">
            <v>PAGO DE COTIZACIÓN AL SISTEMA GENERAL DE RIESGOS LABORALES DE LAS PERSONAS VINCULADAS A TRAVÉS DE UN CONTRATO DE PRESTACIÓN DE SERVICIOS CON LA CAJA DE LA VIVIENDA POPULAR QUE LABORAN EN ACTIVIDADES DE ALTO RIESGO, SEGÚN EN EL ARTÍCULO 13 DEL DECRETO 723 DE 2013. MES DE JULIO DE 2018</v>
          </cell>
          <cell r="R471">
            <v>1034900</v>
          </cell>
          <cell r="S471">
            <v>0</v>
          </cell>
          <cell r="T471">
            <v>0</v>
          </cell>
          <cell r="U471">
            <v>1034900</v>
          </cell>
          <cell r="V471">
            <v>1034900</v>
          </cell>
        </row>
        <row r="472">
          <cell r="J472">
            <v>2487</v>
          </cell>
          <cell r="K472">
            <v>43292</v>
          </cell>
          <cell r="L472" t="str">
            <v>ENRIQUE JOSE NATES GUERRA</v>
          </cell>
          <cell r="M472">
            <v>145</v>
          </cell>
          <cell r="N472" t="str">
            <v>CONTRATO DE PRESTACION DE SERVICIOS PROFESIONALES</v>
          </cell>
          <cell r="O472">
            <v>443</v>
          </cell>
          <cell r="P472">
            <v>43292</v>
          </cell>
          <cell r="Q472" t="str">
            <v>Prestación de servicios profesionales para realizar el acompañamiento y seguimiento jurídico a las actividades de titulación predial, urbanizaciones y saneamiento predial que adelanta la Dirección de Urbanizaciones y Titulación.</v>
          </cell>
          <cell r="R472">
            <v>60000000</v>
          </cell>
          <cell r="S472">
            <v>0</v>
          </cell>
          <cell r="T472">
            <v>0</v>
          </cell>
          <cell r="U472">
            <v>60000000</v>
          </cell>
          <cell r="V472">
            <v>6666667</v>
          </cell>
        </row>
        <row r="473">
          <cell r="J473">
            <v>2589</v>
          </cell>
          <cell r="K473">
            <v>43315</v>
          </cell>
          <cell r="L473" t="str">
            <v>CESAR AUGUSTO HENAO TRUJILLO</v>
          </cell>
          <cell r="M473">
            <v>145</v>
          </cell>
          <cell r="N473" t="str">
            <v>CONTRATO DE PRESTACION DE SERVICIOS PROFESIONALES</v>
          </cell>
          <cell r="O473">
            <v>483</v>
          </cell>
          <cell r="P473">
            <v>43315</v>
          </cell>
          <cell r="Q473" t="str">
            <v>Prestación de servicios profesionales a la Dirección de Urbanizaciones y Titulación en la orientación y ejecución de estrategias técnicas encaminadas a realizar el cierre y entrega de los proyectos de vivienda VIP, obras de urbanismo y equipamientos en los proyectos constructivos desarrollados por la Caja de la Vivienda Popular.</v>
          </cell>
          <cell r="R473">
            <v>54266667</v>
          </cell>
          <cell r="S473">
            <v>0</v>
          </cell>
          <cell r="T473">
            <v>0</v>
          </cell>
          <cell r="U473">
            <v>54266667</v>
          </cell>
          <cell r="V473">
            <v>0</v>
          </cell>
        </row>
        <row r="474">
          <cell r="J474">
            <v>2600</v>
          </cell>
          <cell r="K474">
            <v>43315</v>
          </cell>
          <cell r="L474" t="str">
            <v>IRENE  BERROCAL GARCIA</v>
          </cell>
          <cell r="M474">
            <v>145</v>
          </cell>
          <cell r="N474" t="str">
            <v>CONTRATO DE PRESTACION DE SERVICIOS PROFESIONALES</v>
          </cell>
          <cell r="O474">
            <v>485</v>
          </cell>
          <cell r="P474">
            <v>43315</v>
          </cell>
          <cell r="Q474" t="str">
            <v>Prestar servicios profesionales a la Dirección Jurídica como enlace y apoyo de la Dirección de Urbanizaciones y Titulación, en temas relacionados con el desarrollo de las actividades de apoyo jurídico en titulación predial, derecho inmobiliario, actuaciones y tramites en general relacionados con la ejecución de las actividades propias de la CVP.</v>
          </cell>
          <cell r="R474">
            <v>26265000</v>
          </cell>
          <cell r="S474">
            <v>0</v>
          </cell>
          <cell r="T474">
            <v>0</v>
          </cell>
          <cell r="U474">
            <v>26265000</v>
          </cell>
          <cell r="V474">
            <v>0</v>
          </cell>
        </row>
        <row r="475">
          <cell r="J475">
            <v>2619</v>
          </cell>
          <cell r="K475">
            <v>43322</v>
          </cell>
          <cell r="L475" t="str">
            <v>POSITIVA COMPAÑIA DE SEGUROS SA</v>
          </cell>
          <cell r="M475">
            <v>30</v>
          </cell>
          <cell r="N475" t="str">
            <v>ORDEN DE PRESTACION DE SERVICIOS</v>
          </cell>
          <cell r="O475">
            <v>8</v>
          </cell>
          <cell r="P475">
            <v>43322</v>
          </cell>
          <cell r="Q475" t="str">
            <v>Pago de cotización al sistema general de riesgos laborales de las personas vinculadas a través de un contrato de prestación de servicios con la Caja de la Vivienda Popular que laboran en actividades de alto riesgo, según en el artículo 13 del decreto 723 de 2013.</v>
          </cell>
          <cell r="R475">
            <v>1275100</v>
          </cell>
          <cell r="S475">
            <v>0</v>
          </cell>
          <cell r="T475">
            <v>0</v>
          </cell>
          <cell r="U475">
            <v>1275100</v>
          </cell>
          <cell r="V475">
            <v>1275100</v>
          </cell>
        </row>
        <row r="476">
          <cell r="J476">
            <v>5</v>
          </cell>
          <cell r="K476">
            <v>43112</v>
          </cell>
          <cell r="L476" t="str">
            <v>IVAN DARIO SUESCUN QUIÑONES</v>
          </cell>
          <cell r="M476">
            <v>145</v>
          </cell>
          <cell r="N476" t="str">
            <v>CONTRATO DE PRESTACION DE SERVICIOS PROFESIONALES</v>
          </cell>
          <cell r="O476">
            <v>5</v>
          </cell>
          <cell r="P476">
            <v>43112</v>
          </cell>
          <cell r="Q476" t="str">
            <v>Prestación de servicios profesionales para apoyar la estructuración, seguimiento y supervisión de los proyectos asignados por la Dirección de Mejoramiento de Vivienda de la CVP.</v>
          </cell>
          <cell r="R476">
            <v>73645000</v>
          </cell>
          <cell r="S476">
            <v>0</v>
          </cell>
          <cell r="T476">
            <v>0</v>
          </cell>
          <cell r="U476">
            <v>73645000</v>
          </cell>
          <cell r="V476">
            <v>44410167</v>
          </cell>
        </row>
        <row r="477">
          <cell r="J477">
            <v>7</v>
          </cell>
          <cell r="K477">
            <v>43112</v>
          </cell>
          <cell r="L477" t="str">
            <v>JAQUELINE  MORALES RAMIREZ</v>
          </cell>
          <cell r="M477">
            <v>148</v>
          </cell>
          <cell r="N477" t="str">
            <v>CONTRATO DE PRESTACION DE SERVICIOS DE APOYO A LA GESTION</v>
          </cell>
          <cell r="O477">
            <v>3</v>
          </cell>
          <cell r="P477">
            <v>43112</v>
          </cell>
          <cell r="Q477" t="str">
            <v>Prestación de servicios técnicos de apoyo a la gestión documental, inventario y manejo del archivo físico, en cumplimiento de los procedimientos de la Dirección de Mejoramiento de Vivienda de la CVP.</v>
          </cell>
          <cell r="R477">
            <v>33423500</v>
          </cell>
          <cell r="S477">
            <v>0</v>
          </cell>
          <cell r="T477">
            <v>0</v>
          </cell>
          <cell r="U477">
            <v>33423500</v>
          </cell>
          <cell r="V477">
            <v>20155383</v>
          </cell>
        </row>
        <row r="478">
          <cell r="J478">
            <v>8</v>
          </cell>
          <cell r="K478">
            <v>43112</v>
          </cell>
          <cell r="L478" t="str">
            <v>JHOAN EDUARDO JAIMES CARDENAS</v>
          </cell>
          <cell r="M478">
            <v>145</v>
          </cell>
          <cell r="N478" t="str">
            <v>CONTRATO DE PRESTACION DE SERVICIOS PROFESIONALES</v>
          </cell>
          <cell r="O478">
            <v>4</v>
          </cell>
          <cell r="P478">
            <v>43112</v>
          </cell>
          <cell r="Q478" t="str">
            <v>Prestación de servicios profesionales para adelantar la consulta, revisión, consolidación, organización, actualización y disposición de la información cartográfica, gráfica y alfanumérica en la Dirección de Mejoramiento de Vivienda de la CVP.</v>
          </cell>
          <cell r="R478">
            <v>49852000</v>
          </cell>
          <cell r="S478">
            <v>0</v>
          </cell>
          <cell r="T478">
            <v>0</v>
          </cell>
          <cell r="U478">
            <v>49852000</v>
          </cell>
          <cell r="V478">
            <v>30062267</v>
          </cell>
        </row>
        <row r="479">
          <cell r="J479">
            <v>16</v>
          </cell>
          <cell r="K479">
            <v>43115</v>
          </cell>
          <cell r="L479" t="str">
            <v>MONICA  AVILA CANTOR</v>
          </cell>
          <cell r="M479">
            <v>145</v>
          </cell>
          <cell r="N479" t="str">
            <v>CONTRATO DE PRESTACION DE SERVICIOS PROFESIONALES</v>
          </cell>
          <cell r="O479">
            <v>21</v>
          </cell>
          <cell r="P479">
            <v>43115</v>
          </cell>
          <cell r="Q479" t="str">
            <v>Prestar los servicios profesionales para apoyar la supervisión Social de las obras de los proyectos territoriales, además de efectuar la gestión social a los hogares de los territoriales dirigidos que se presenten para optar al Subsidio Distrital de Vivienda en especie.</v>
          </cell>
          <cell r="R479">
            <v>28840000</v>
          </cell>
          <cell r="S479">
            <v>28840000</v>
          </cell>
          <cell r="T479">
            <v>0</v>
          </cell>
          <cell r="U479">
            <v>0</v>
          </cell>
          <cell r="V479">
            <v>0</v>
          </cell>
        </row>
        <row r="480">
          <cell r="J480">
            <v>18</v>
          </cell>
          <cell r="K480">
            <v>43115</v>
          </cell>
          <cell r="L480" t="str">
            <v>JULIANA ALEJANDRA MARTHEYN NUÑEZ</v>
          </cell>
          <cell r="M480">
            <v>145</v>
          </cell>
          <cell r="N480" t="str">
            <v>CONTRATO DE PRESTACION DE SERVICIOS PROFESIONALES</v>
          </cell>
          <cell r="O480">
            <v>15</v>
          </cell>
          <cell r="P480">
            <v>43115</v>
          </cell>
          <cell r="Q480" t="str">
            <v>Prestar los servicios profesionales en el área Social para apoyar el proceso de asistencia técnica a las familias inscritas en la Dirección de Mejoramiento de Vivienda, además de efectuar la gestión social a los hogares que se presenten para optar al Subsidio Distrital de Vivienda en Especie.</v>
          </cell>
          <cell r="R480">
            <v>37389000</v>
          </cell>
          <cell r="S480">
            <v>37389000</v>
          </cell>
          <cell r="T480">
            <v>0</v>
          </cell>
          <cell r="U480">
            <v>0</v>
          </cell>
          <cell r="V480">
            <v>0</v>
          </cell>
        </row>
        <row r="481">
          <cell r="J481">
            <v>19</v>
          </cell>
          <cell r="K481">
            <v>43115</v>
          </cell>
          <cell r="L481" t="str">
            <v>LEIDY VANESSA MARTINEZ MONROY</v>
          </cell>
          <cell r="M481">
            <v>148</v>
          </cell>
          <cell r="N481" t="str">
            <v>CONTRATO DE PRESTACION DE SERVICIOS DE APOYO A LA GESTION</v>
          </cell>
          <cell r="O481">
            <v>16</v>
          </cell>
          <cell r="P481">
            <v>43115</v>
          </cell>
          <cell r="Q481" t="str">
            <v>Prestación de servicios técnicos relacionados con la elaboración de levantamientos arquitectónicos, planos urbanísticos, arquitectónicos, estructurales, detalles constructivos y respuesta de requerimientos y actas de observaciones y/o condiciones exigidos por las Curadurías Urbanas, solicitados por estas entidades para la expedición de licencias de construcción y/o actos de reconocimiento, para los proyectos de familias inscritas en la Dirección de Mejoramiento de Vivienda.</v>
          </cell>
          <cell r="R481">
            <v>33423500</v>
          </cell>
          <cell r="S481">
            <v>33423500</v>
          </cell>
          <cell r="T481">
            <v>0</v>
          </cell>
          <cell r="U481">
            <v>0</v>
          </cell>
          <cell r="V481">
            <v>0</v>
          </cell>
        </row>
        <row r="482">
          <cell r="J482">
            <v>20</v>
          </cell>
          <cell r="K482">
            <v>43115</v>
          </cell>
          <cell r="L482" t="str">
            <v>ELIZABETH  MARCIALES DAZA</v>
          </cell>
          <cell r="M482">
            <v>145</v>
          </cell>
          <cell r="N482" t="str">
            <v>CONTRATO DE PRESTACION DE SERVICIOS PROFESIONALES</v>
          </cell>
          <cell r="O482">
            <v>17</v>
          </cell>
          <cell r="P482">
            <v>43115</v>
          </cell>
          <cell r="Q482" t="str">
            <v>Prestación de servicios profesionales, para apoyar el proceso de asistencia técnica a las familias inscritas en la Dirección de Mejoramiento de Vivienda que solicitan y/o requieren adelantar trámite de licencia de construcción y/o actos de reconocimiento, así como soporte a las actividades que se desarrollan dentro del marco de los proyectos de Mejoramiento Integral de la DMV de la CVP.</v>
          </cell>
          <cell r="R482">
            <v>55403700</v>
          </cell>
          <cell r="S482">
            <v>55403700</v>
          </cell>
          <cell r="T482">
            <v>0</v>
          </cell>
          <cell r="U482">
            <v>0</v>
          </cell>
          <cell r="V482">
            <v>0</v>
          </cell>
        </row>
        <row r="483">
          <cell r="J483">
            <v>21</v>
          </cell>
          <cell r="K483">
            <v>43115</v>
          </cell>
          <cell r="L483" t="str">
            <v>EDGAR ANDRES PASTRAN CHAUX</v>
          </cell>
          <cell r="M483">
            <v>145</v>
          </cell>
          <cell r="N483" t="str">
            <v>CONTRATO DE PRESTACION DE SERVICIOS PROFESIONALES</v>
          </cell>
          <cell r="O483">
            <v>23</v>
          </cell>
          <cell r="P483">
            <v>43115</v>
          </cell>
          <cell r="Q483" t="str">
            <v>Prestación de servicios profesionales para apoyar la estructuración, seguimiento y supervisión de los proyectos asignados por la Dirección de Mejoramiento de Vivienda de la CVP</v>
          </cell>
          <cell r="R483">
            <v>35256900</v>
          </cell>
          <cell r="S483">
            <v>35256900</v>
          </cell>
          <cell r="T483">
            <v>0</v>
          </cell>
          <cell r="U483">
            <v>0</v>
          </cell>
          <cell r="V483">
            <v>0</v>
          </cell>
        </row>
        <row r="484">
          <cell r="J484">
            <v>22</v>
          </cell>
          <cell r="K484">
            <v>43115</v>
          </cell>
          <cell r="L484" t="str">
            <v>CRISTHIAN DAVID TORRES MARTINEZ</v>
          </cell>
          <cell r="M484">
            <v>145</v>
          </cell>
          <cell r="N484" t="str">
            <v>CONTRATO DE PRESTACION DE SERVICIOS PROFESIONALES</v>
          </cell>
          <cell r="O484">
            <v>18</v>
          </cell>
          <cell r="P484">
            <v>43115</v>
          </cell>
          <cell r="Q484" t="str">
            <v>Prestación de servicios profesionales relacionados con la elaboración de planos arquitectónicos, estructurales, detalles constructivos y respuesta de requerimientos y condiciones exigidos por las Curadurías Urbanas, solicitados por estas entidades para la expedición de licencias de construcción y/o actos de reconocimiento, para los proyectos de familias inscritas en la Dirección de Mejoramiento de Vivienda.</v>
          </cell>
          <cell r="R484">
            <v>37389000</v>
          </cell>
          <cell r="S484">
            <v>37389000</v>
          </cell>
          <cell r="T484">
            <v>0</v>
          </cell>
          <cell r="U484">
            <v>0</v>
          </cell>
          <cell r="V484">
            <v>0</v>
          </cell>
        </row>
        <row r="485">
          <cell r="J485">
            <v>23</v>
          </cell>
          <cell r="K485">
            <v>43115</v>
          </cell>
          <cell r="L485" t="str">
            <v>MANUEL ALEJANDRO PINILLA FORERO</v>
          </cell>
          <cell r="M485">
            <v>145</v>
          </cell>
          <cell r="N485" t="str">
            <v>CONTRATO DE PRESTACION DE SERVICIOS PROFESIONALES</v>
          </cell>
          <cell r="O485">
            <v>19</v>
          </cell>
          <cell r="P485">
            <v>43115</v>
          </cell>
          <cell r="Q485" t="str">
            <v>Prestación de servicios profesionales para apoyar los procedimientos operativos y de gestión de la información que se lleva a cabo en la Dirección de Mejoramiento de Vivienda, que conlleven a la ejecución de los proyectos de vivienda, además de apoyar la coordinación en la implementación y seguimiento de procesos técnicos y operativos de esta dirección.</v>
          </cell>
          <cell r="R485">
            <v>62315000</v>
          </cell>
          <cell r="S485">
            <v>62315000</v>
          </cell>
          <cell r="T485">
            <v>0</v>
          </cell>
          <cell r="U485">
            <v>0</v>
          </cell>
          <cell r="V485">
            <v>0</v>
          </cell>
        </row>
        <row r="486">
          <cell r="J486">
            <v>24</v>
          </cell>
          <cell r="K486">
            <v>43115</v>
          </cell>
          <cell r="L486" t="str">
            <v>ISOLIER ANDRES EGUIS BENITEZ</v>
          </cell>
          <cell r="M486">
            <v>145</v>
          </cell>
          <cell r="N486" t="str">
            <v>CONTRATO DE PRESTACION DE SERVICIOS PROFESIONALES</v>
          </cell>
          <cell r="O486">
            <v>20</v>
          </cell>
          <cell r="P486">
            <v>43115</v>
          </cell>
          <cell r="Q486" t="str">
            <v>Prestación de servicios profesionales para apoyar la estructuración, seguimiento y supervisión de los proyectos asignados por la Dirección de Mejoramiento de Vivienda de la CVP.</v>
          </cell>
          <cell r="R486">
            <v>46865000</v>
          </cell>
          <cell r="S486">
            <v>46865000</v>
          </cell>
          <cell r="T486">
            <v>0</v>
          </cell>
          <cell r="U486">
            <v>0</v>
          </cell>
          <cell r="V486">
            <v>0</v>
          </cell>
        </row>
        <row r="487">
          <cell r="J487">
            <v>27</v>
          </cell>
          <cell r="K487">
            <v>43115</v>
          </cell>
          <cell r="L487" t="str">
            <v>MANUEL ALEJANDRO PINILLA FORERO</v>
          </cell>
          <cell r="M487">
            <v>145</v>
          </cell>
          <cell r="N487" t="str">
            <v>CONTRATO DE PRESTACION DE SERVICIOS PROFESIONALES</v>
          </cell>
          <cell r="O487">
            <v>19</v>
          </cell>
          <cell r="P487">
            <v>43115</v>
          </cell>
          <cell r="Q487" t="str">
            <v>Prestación de servicios profesionales para apoyar los procedimientos operativos y de gestión de la información que se lleva a cabo en la Dirección de Mejoramiento de Vivienda, que conlleven a la ejecución de los proyectos de vivienda, además de apoyar la coordinación en la implementación y seguimiento de procesos técnicos y operativos de esta dirección.</v>
          </cell>
          <cell r="R487">
            <v>62315000</v>
          </cell>
          <cell r="S487">
            <v>0</v>
          </cell>
          <cell r="T487">
            <v>0</v>
          </cell>
          <cell r="U487">
            <v>62315000</v>
          </cell>
          <cell r="V487">
            <v>37011333</v>
          </cell>
        </row>
        <row r="488">
          <cell r="J488">
            <v>28</v>
          </cell>
          <cell r="K488">
            <v>43116</v>
          </cell>
          <cell r="L488" t="str">
            <v>JULIANA ALEJANDRA MARTHEYN NUÑEZ</v>
          </cell>
          <cell r="M488">
            <v>145</v>
          </cell>
          <cell r="N488" t="str">
            <v>CONTRATO DE PRESTACION DE SERVICIOS PROFESIONALES</v>
          </cell>
          <cell r="O488">
            <v>15</v>
          </cell>
          <cell r="P488">
            <v>43116</v>
          </cell>
          <cell r="Q488" t="str">
            <v>Prestar los servicios profesionales en el área Social para apoyar el proceso de asistencia técnica a las familias inscritas en la Dirección de Mejoramiento de Vivienda, además de efectuar la gestión social a los hogares que se presenten para optar al Subsidio Distrital de Vivienda en Especie.</v>
          </cell>
          <cell r="R488">
            <v>37389000</v>
          </cell>
          <cell r="S488">
            <v>0</v>
          </cell>
          <cell r="T488">
            <v>0</v>
          </cell>
          <cell r="U488">
            <v>37389000</v>
          </cell>
          <cell r="V488">
            <v>22093500</v>
          </cell>
        </row>
        <row r="489">
          <cell r="J489">
            <v>29</v>
          </cell>
          <cell r="K489">
            <v>43116</v>
          </cell>
          <cell r="L489" t="str">
            <v>ELIZABETH  MARCIALES DAZA</v>
          </cell>
          <cell r="M489">
            <v>145</v>
          </cell>
          <cell r="N489" t="str">
            <v>CONTRATO DE PRESTACION DE SERVICIOS PROFESIONALES</v>
          </cell>
          <cell r="O489">
            <v>17</v>
          </cell>
          <cell r="P489">
            <v>43116</v>
          </cell>
          <cell r="Q489" t="str">
            <v>Prestación de servicios profesionales, para apoyar el proceso de asistencia técnica a las familias inscritas en la Dirección de Mejoramiento de Vivienda que solicitan y/o requieren adelantar trámite de licencia de construcción y/o actos de reconocimiento, así como soporte a las actividades que se desarrollan dentro del marco de los proyectos de Mejoramiento Integral de la DMV de la CVP.</v>
          </cell>
          <cell r="R489">
            <v>55403700</v>
          </cell>
          <cell r="S489">
            <v>0</v>
          </cell>
          <cell r="T489">
            <v>0</v>
          </cell>
          <cell r="U489">
            <v>55403700</v>
          </cell>
          <cell r="V489">
            <v>32738550</v>
          </cell>
        </row>
        <row r="490">
          <cell r="J490">
            <v>30</v>
          </cell>
          <cell r="K490">
            <v>43116</v>
          </cell>
          <cell r="L490" t="str">
            <v>CRISTHIAN DAVID TORRES MARTINEZ</v>
          </cell>
          <cell r="M490">
            <v>145</v>
          </cell>
          <cell r="N490" t="str">
            <v>CONTRATO DE PRESTACION DE SERVICIOS PROFESIONALES</v>
          </cell>
          <cell r="O490">
            <v>18</v>
          </cell>
          <cell r="P490">
            <v>43116</v>
          </cell>
          <cell r="Q490" t="str">
            <v>Prestación de servicios profesionales relacionados con la elaboración de planos arquitectónicos, estructurales, detalles constructivos y respuesta de requerimientos y condiciones exigidos por las Curadurías Urbanas, solicitados por estas entidades para la expedición de licencias de construcción y/o actos de reconocimiento, para los proyectos de familias inscritas en la Dirección de Mejoramiento de Vivienda.</v>
          </cell>
          <cell r="R490">
            <v>37389000</v>
          </cell>
          <cell r="S490">
            <v>0</v>
          </cell>
          <cell r="T490">
            <v>0</v>
          </cell>
          <cell r="U490">
            <v>37389000</v>
          </cell>
          <cell r="V490">
            <v>22093500</v>
          </cell>
        </row>
        <row r="491">
          <cell r="J491">
            <v>31</v>
          </cell>
          <cell r="K491">
            <v>43116</v>
          </cell>
          <cell r="L491" t="str">
            <v>LEIDY VANESSA MARTINEZ MONROY</v>
          </cell>
          <cell r="M491">
            <v>148</v>
          </cell>
          <cell r="N491" t="str">
            <v>CONTRATO DE PRESTACION DE SERVICIOS DE APOYO A LA GESTION</v>
          </cell>
          <cell r="O491">
            <v>16</v>
          </cell>
          <cell r="P491">
            <v>43116</v>
          </cell>
          <cell r="Q491" t="str">
            <v>Prestación de servicios técnicos relacionados con la elaboración de levantamientos arquitectónicos, planos urbanísticos, arquitectónicos, estructurales, detalles constructivos y respuesta de requerimientos y actas de observaciones y/o condiciones exigidos por las Curadurías Urbanas, solicitados por estas entidades para la expedición de licencias de construcción y/o actos de reconocimiento, para los proyectos de familias inscritas en la Dirección de Mejoramiento de Vivienda.</v>
          </cell>
          <cell r="R491">
            <v>33423500</v>
          </cell>
          <cell r="S491">
            <v>0</v>
          </cell>
          <cell r="T491">
            <v>0</v>
          </cell>
          <cell r="U491">
            <v>33423500</v>
          </cell>
          <cell r="V491">
            <v>19750250</v>
          </cell>
        </row>
        <row r="492">
          <cell r="J492">
            <v>32</v>
          </cell>
          <cell r="K492">
            <v>43116</v>
          </cell>
          <cell r="L492" t="str">
            <v>ISOLIER ANDRES EGUIS BENITEZ</v>
          </cell>
          <cell r="M492">
            <v>145</v>
          </cell>
          <cell r="N492" t="str">
            <v>CONTRATO DE PRESTACION DE SERVICIOS PROFESIONALES</v>
          </cell>
          <cell r="O492">
            <v>20</v>
          </cell>
          <cell r="P492">
            <v>43116</v>
          </cell>
          <cell r="Q492" t="str">
            <v>Prestación de servicios profesionales para apoyar la estructuración, seguimiento y supervisión de los proyectos asignados por la Dirección de Mejoramiento de Vivienda de la CVP.</v>
          </cell>
          <cell r="R492">
            <v>46865000</v>
          </cell>
          <cell r="S492">
            <v>0</v>
          </cell>
          <cell r="T492">
            <v>0</v>
          </cell>
          <cell r="U492">
            <v>46865000</v>
          </cell>
          <cell r="V492">
            <v>43517500</v>
          </cell>
        </row>
        <row r="493">
          <cell r="J493">
            <v>33</v>
          </cell>
          <cell r="K493">
            <v>43116</v>
          </cell>
          <cell r="L493" t="str">
            <v>EDGAR ANDRES PASTRAN CHAUX</v>
          </cell>
          <cell r="M493">
            <v>145</v>
          </cell>
          <cell r="N493" t="str">
            <v>CONTRATO DE PRESTACION DE SERVICIOS PROFESIONALES</v>
          </cell>
          <cell r="O493">
            <v>23</v>
          </cell>
          <cell r="P493">
            <v>43116</v>
          </cell>
          <cell r="Q493" t="str">
            <v>Prestación de servicios profesionales para apoyar la estructuración, seguimiento y supervisión de los proyectos asignados por la Dirección de Mejoramiento de Vivienda de la CVP</v>
          </cell>
          <cell r="R493">
            <v>35256900</v>
          </cell>
          <cell r="S493">
            <v>0</v>
          </cell>
          <cell r="T493">
            <v>0</v>
          </cell>
          <cell r="U493">
            <v>35256900</v>
          </cell>
          <cell r="V493">
            <v>32738550</v>
          </cell>
        </row>
        <row r="494">
          <cell r="J494">
            <v>34</v>
          </cell>
          <cell r="K494">
            <v>43116</v>
          </cell>
          <cell r="L494" t="str">
            <v>MONICA  AVILA CANTOR</v>
          </cell>
          <cell r="M494">
            <v>145</v>
          </cell>
          <cell r="N494" t="str">
            <v>CONTRATO DE PRESTACION DE SERVICIOS PROFESIONALES</v>
          </cell>
          <cell r="O494">
            <v>21</v>
          </cell>
          <cell r="P494">
            <v>43116</v>
          </cell>
          <cell r="Q494" t="str">
            <v>Prestar los servicios profesionales para apoyar la supervisión Social de las obras de los proyectos territoriales, además de efectuar la gestión social a los hogares de los territoriales dirigidos que se presenten para optar al Subsidio Distrital de Vivienda en especie.</v>
          </cell>
          <cell r="R494">
            <v>28840000</v>
          </cell>
          <cell r="S494">
            <v>0</v>
          </cell>
          <cell r="T494">
            <v>0</v>
          </cell>
          <cell r="U494">
            <v>28840000</v>
          </cell>
          <cell r="V494">
            <v>26780000</v>
          </cell>
        </row>
        <row r="495">
          <cell r="J495">
            <v>45</v>
          </cell>
          <cell r="K495">
            <v>43116</v>
          </cell>
          <cell r="L495" t="str">
            <v>LINA MARIA AZUERO GUTIERREZ</v>
          </cell>
          <cell r="M495">
            <v>145</v>
          </cell>
          <cell r="N495" t="str">
            <v>CONTRATO DE PRESTACION DE SERVICIOS PROFESIONALES</v>
          </cell>
          <cell r="O495">
            <v>36</v>
          </cell>
          <cell r="P495">
            <v>43116</v>
          </cell>
          <cell r="Q495" t="str">
            <v>Prestación de servicios profesionales en los procesos misionales y proyectos especiales, para apoyar la gestión, planeación, concertación y seguimiento a los planes y cronogramas del componente social.</v>
          </cell>
          <cell r="R495">
            <v>22660000</v>
          </cell>
          <cell r="S495">
            <v>0</v>
          </cell>
          <cell r="T495">
            <v>0</v>
          </cell>
          <cell r="U495">
            <v>22660000</v>
          </cell>
          <cell r="V495">
            <v>12360000</v>
          </cell>
        </row>
        <row r="496">
          <cell r="J496">
            <v>61</v>
          </cell>
          <cell r="K496">
            <v>43116</v>
          </cell>
          <cell r="L496" t="str">
            <v>ROBERTO MANUEL CARRILLO RODRIGUEZ</v>
          </cell>
          <cell r="M496">
            <v>145</v>
          </cell>
          <cell r="N496" t="str">
            <v>CONTRATO DE PRESTACION DE SERVICIOS PROFESIONALES</v>
          </cell>
          <cell r="O496">
            <v>26</v>
          </cell>
          <cell r="P496">
            <v>43116</v>
          </cell>
          <cell r="Q496" t="str">
            <v>PRESTACIÓN DE SERVICIOS PROFESIONALES, PARA APOYAR EL PROCESO DE ASISTENCIA TÉCNICA A LAS FAMILIAS INSCRITAS EN LA DIRECCIÓN DE MEJORAMIENTO DE VIVIENDA QUE SOLICITAN Y/O REQUIEREN ADELANTAR TRÁMITE DE LICENCIA DE CONSTRUCCIÓN Y/O ACTOS DE RECONOCIMIENTO, EN CUANTO AL DISEÑO ESTRUCTURAL, CALCULO MEMORIAS Y PLANOS ESTRUCTURALES REQUERIDOS POR LA NORMATIVIDAD VIGENTE DE LAS CURADURÍAS URBANAS; ASÍ COMO SOPORTE A LAS ACTIVIDADES QUE SE DESARROLLAN DENTRO DEL MARCO DE LOS PROYECTOS DE MEJORAMIENTO INTEGRAL DE LA DMV DE LA CVP.</v>
          </cell>
          <cell r="R496">
            <v>37389000</v>
          </cell>
          <cell r="S496">
            <v>0</v>
          </cell>
          <cell r="T496">
            <v>0</v>
          </cell>
          <cell r="U496">
            <v>37389000</v>
          </cell>
          <cell r="V496">
            <v>22093500</v>
          </cell>
        </row>
        <row r="497">
          <cell r="J497">
            <v>62</v>
          </cell>
          <cell r="K497">
            <v>43116</v>
          </cell>
          <cell r="L497" t="str">
            <v>CAMILO  GUAJE NIETO</v>
          </cell>
          <cell r="M497">
            <v>145</v>
          </cell>
          <cell r="N497" t="str">
            <v>CONTRATO DE PRESTACION DE SERVICIOS PROFESIONALES</v>
          </cell>
          <cell r="O497">
            <v>27</v>
          </cell>
          <cell r="P497">
            <v>43116</v>
          </cell>
          <cell r="Q497" t="str">
            <v>PRESTACIÓN DE SERVICIOS PROFESIONALES PARA APOYAR LA ESTRUCTURACIÓN, SEGUIMIENTO Y SUPERVISIÓN DE LOS PROYECTOS ASIGNADOS POR LA DIRECCIÓN DE MEJORAMIENTO DE VIVIENDA DE LA CVP.</v>
          </cell>
          <cell r="R497">
            <v>42024000</v>
          </cell>
          <cell r="S497">
            <v>0</v>
          </cell>
          <cell r="T497">
            <v>0</v>
          </cell>
          <cell r="U497">
            <v>42024000</v>
          </cell>
          <cell r="V497">
            <v>34144500</v>
          </cell>
        </row>
        <row r="498">
          <cell r="J498">
            <v>63</v>
          </cell>
          <cell r="K498">
            <v>43116</v>
          </cell>
          <cell r="L498" t="str">
            <v>ADRIANA PAOLA MORALES LOZANO</v>
          </cell>
          <cell r="M498">
            <v>148</v>
          </cell>
          <cell r="N498" t="str">
            <v>CONTRATO DE PRESTACION DE SERVICIOS DE APOYO A LA GESTION</v>
          </cell>
          <cell r="O498">
            <v>28</v>
          </cell>
          <cell r="P498">
            <v>43116</v>
          </cell>
          <cell r="Q498" t="str">
            <v>Prestación de servicios técnicos de apoyo a la gestión documental, inventario y manejo del archivo físico, en cumplimiento de los procedimientos de la Dirección de Mejoramiento de Vivienda de la CVP</v>
          </cell>
          <cell r="R498">
            <v>27192000</v>
          </cell>
          <cell r="S498">
            <v>0</v>
          </cell>
          <cell r="T498">
            <v>0</v>
          </cell>
          <cell r="U498">
            <v>27192000</v>
          </cell>
          <cell r="V498">
            <v>16068000</v>
          </cell>
        </row>
        <row r="499">
          <cell r="J499">
            <v>64</v>
          </cell>
          <cell r="K499">
            <v>43116</v>
          </cell>
          <cell r="L499" t="str">
            <v>FELKYN EDUARDO SANDOVAL NUÑEZ</v>
          </cell>
          <cell r="M499">
            <v>145</v>
          </cell>
          <cell r="N499" t="str">
            <v>CONTRATO DE PRESTACION DE SERVICIOS PROFESIONALES</v>
          </cell>
          <cell r="O499">
            <v>29</v>
          </cell>
          <cell r="P499">
            <v>43116</v>
          </cell>
          <cell r="Q499" t="str">
            <v>Prestación de servicios profesionales como abogado para el acompañamiento y elaboración de las diferentes funciones de la Dirección de Mejoramiento de Vivienda, asesorando de acuerdo a la normatividad Vigente y Planteando alternativas Jurídicas ante las diferentes situaciones que se presenten durante la ejecución de los procesos adelantados.</v>
          </cell>
          <cell r="R499">
            <v>79310000</v>
          </cell>
          <cell r="S499">
            <v>0</v>
          </cell>
          <cell r="T499">
            <v>0</v>
          </cell>
          <cell r="U499">
            <v>79310000</v>
          </cell>
          <cell r="V499">
            <v>43019667</v>
          </cell>
        </row>
        <row r="500">
          <cell r="J500">
            <v>65</v>
          </cell>
          <cell r="K500">
            <v>43116</v>
          </cell>
          <cell r="L500" t="str">
            <v>ADALIA  SERRANO RODRIGUEZ</v>
          </cell>
          <cell r="M500">
            <v>145</v>
          </cell>
          <cell r="N500" t="str">
            <v>CONTRATO DE PRESTACION DE SERVICIOS PROFESIONALES</v>
          </cell>
          <cell r="O500">
            <v>30</v>
          </cell>
          <cell r="P500">
            <v>43116</v>
          </cell>
          <cell r="Q500" t="str">
            <v>Prestación de servicios profesionales para apoyar la estructuración, seguimiento y supervisión de los proyectos asignados por la Dirección de Mejoramiento de Vivienda de la CVP.</v>
          </cell>
          <cell r="R500">
            <v>57783000</v>
          </cell>
          <cell r="S500">
            <v>0</v>
          </cell>
          <cell r="T500">
            <v>0</v>
          </cell>
          <cell r="U500">
            <v>57783000</v>
          </cell>
          <cell r="V500">
            <v>34144500</v>
          </cell>
        </row>
        <row r="501">
          <cell r="J501">
            <v>66</v>
          </cell>
          <cell r="K501">
            <v>43116</v>
          </cell>
          <cell r="L501" t="str">
            <v>BELKIS MARIA PEREZ LEMUS</v>
          </cell>
          <cell r="M501">
            <v>148</v>
          </cell>
          <cell r="N501" t="str">
            <v>CONTRATO DE PRESTACION DE SERVICIOS DE APOYO A LA GESTION</v>
          </cell>
          <cell r="O501">
            <v>31</v>
          </cell>
          <cell r="P501">
            <v>43116</v>
          </cell>
          <cell r="Q501" t="str">
            <v>Prestar servicios asistenciales en la Gestión Documental, captura de datos, inventario y manejo de archivo físico, en cumplimiento de los procedimientos de la Dirección de Mejoramiento de Vivienda de la CVP</v>
          </cell>
          <cell r="R501">
            <v>16995000</v>
          </cell>
          <cell r="S501">
            <v>0</v>
          </cell>
          <cell r="T501">
            <v>0</v>
          </cell>
          <cell r="U501">
            <v>16995000</v>
          </cell>
          <cell r="V501">
            <v>10042500</v>
          </cell>
        </row>
        <row r="502">
          <cell r="J502">
            <v>67</v>
          </cell>
          <cell r="K502">
            <v>43116</v>
          </cell>
          <cell r="L502" t="str">
            <v>MARTHA CONSUELO CASAS GARZON</v>
          </cell>
          <cell r="M502">
            <v>145</v>
          </cell>
          <cell r="N502" t="str">
            <v>CONTRATO DE PRESTACION DE SERVICIOS PROFESIONALES</v>
          </cell>
          <cell r="O502">
            <v>32</v>
          </cell>
          <cell r="P502">
            <v>43116</v>
          </cell>
          <cell r="Q502" t="str">
            <v>Prestar los servicios profesionales en el área Social para apoyar el proceso de asistencia técnica a las familias inscritas en la Dirección de Mejoramiento de Vivienda, además de efectuar la gestión social a los hogares que se presenten para optar al Subsidio Distrital de Vivienda en Especie.</v>
          </cell>
          <cell r="R502">
            <v>45320000</v>
          </cell>
          <cell r="S502">
            <v>0</v>
          </cell>
          <cell r="T502">
            <v>0</v>
          </cell>
          <cell r="U502">
            <v>45320000</v>
          </cell>
          <cell r="V502">
            <v>26780000</v>
          </cell>
        </row>
        <row r="503">
          <cell r="J503">
            <v>77</v>
          </cell>
          <cell r="K503">
            <v>43116</v>
          </cell>
          <cell r="L503" t="str">
            <v>CARMEN SOFIA TINOCO MENDOZA</v>
          </cell>
          <cell r="M503">
            <v>145</v>
          </cell>
          <cell r="N503" t="str">
            <v>CONTRATO DE PRESTACION DE SERVICIOS PROFESIONALES</v>
          </cell>
          <cell r="O503">
            <v>69</v>
          </cell>
          <cell r="P503">
            <v>43116</v>
          </cell>
          <cell r="Q503" t="str">
            <v>PRESTACIÓN DE SERVICIOS PROFESIONALES PARA APOYAR LA ESTRUCTURACIÓN, SEGUIMIENTO Y SUPERVISIÓN DE LOS PROYECTOS ASIGNADOS POR LA DIRECCIÓN DE MEJORAMIENTO DE VIVIENDA DE LA CVP.</v>
          </cell>
          <cell r="R503">
            <v>62315000</v>
          </cell>
          <cell r="S503">
            <v>0</v>
          </cell>
          <cell r="T503">
            <v>0</v>
          </cell>
          <cell r="U503">
            <v>62315000</v>
          </cell>
          <cell r="V503">
            <v>36633667</v>
          </cell>
        </row>
        <row r="504">
          <cell r="J504">
            <v>78</v>
          </cell>
          <cell r="K504">
            <v>43116</v>
          </cell>
          <cell r="L504" t="str">
            <v>ASTRID ROCIO MUÑOZ QUIROGA</v>
          </cell>
          <cell r="M504">
            <v>148</v>
          </cell>
          <cell r="N504" t="str">
            <v>CONTRATO DE PRESTACION DE SERVICIOS DE APOYO A LA GESTION</v>
          </cell>
          <cell r="O504">
            <v>67</v>
          </cell>
          <cell r="P504">
            <v>43116</v>
          </cell>
          <cell r="Q504" t="str">
            <v>Prestar servicios asistenciales en la Gestión Documental, captura de datos, inventario y manejo de archivo físico, en cumplimiento de los procedimientos de la Dirección de Mejoramiento de Vivienda de la CVP.</v>
          </cell>
          <cell r="R504">
            <v>16995000</v>
          </cell>
          <cell r="S504">
            <v>0</v>
          </cell>
          <cell r="T504">
            <v>0</v>
          </cell>
          <cell r="U504">
            <v>16995000</v>
          </cell>
          <cell r="V504">
            <v>6901000</v>
          </cell>
        </row>
        <row r="505">
          <cell r="J505">
            <v>104</v>
          </cell>
          <cell r="K505">
            <v>43116</v>
          </cell>
          <cell r="L505" t="str">
            <v>JOSE GIOVANNI VARON CAMELO</v>
          </cell>
          <cell r="M505">
            <v>148</v>
          </cell>
          <cell r="N505" t="str">
            <v>CONTRATO DE PRESTACION DE SERVICIOS DE APOYO A LA GESTION</v>
          </cell>
          <cell r="O505">
            <v>71</v>
          </cell>
          <cell r="P505">
            <v>43116</v>
          </cell>
          <cell r="Q505" t="str">
            <v>PRESTAR SERVICIOS DE APOYO A LA GESTIÓN DOCUMENTAL, INVENTARIO Y MANEJO DEL ARCHIVO FÍSICO, EN CUMPLIMIENTO DE LOS PROCEDIMIENTOS DE LA DIRECCIÓN DE MEJORAMIENTO DE VIVIENDA DE LA CVP.</v>
          </cell>
          <cell r="R505">
            <v>16995000</v>
          </cell>
          <cell r="S505">
            <v>16995000</v>
          </cell>
          <cell r="T505">
            <v>0</v>
          </cell>
          <cell r="U505">
            <v>0</v>
          </cell>
          <cell r="V505">
            <v>0</v>
          </cell>
        </row>
        <row r="506">
          <cell r="J506">
            <v>108</v>
          </cell>
          <cell r="K506">
            <v>43116</v>
          </cell>
          <cell r="L506" t="str">
            <v>JOSE GIOVANNI VARON CAMELO</v>
          </cell>
          <cell r="M506">
            <v>148</v>
          </cell>
          <cell r="N506" t="str">
            <v>CONTRATO DE PRESTACION DE SERVICIOS DE APOYO A LA GESTION</v>
          </cell>
          <cell r="O506">
            <v>71</v>
          </cell>
          <cell r="P506">
            <v>43116</v>
          </cell>
          <cell r="Q506" t="str">
            <v>PRESTACION DE SERVICIOS DE APOYO A LA GESTIÓN DOCUMENTAL, INVENTARIO Y MANEJO DEL ARCHIVO FÍSICO, EN CUMPLIMIENTO DE LOS PROCEDIMIENTOS DE LA DIRECCIÓN DE MEJORAMIENTO DE VIVIENDA DE LA CVP.</v>
          </cell>
          <cell r="R506">
            <v>16995000</v>
          </cell>
          <cell r="S506">
            <v>0</v>
          </cell>
          <cell r="T506">
            <v>0</v>
          </cell>
          <cell r="U506">
            <v>16995000</v>
          </cell>
          <cell r="V506">
            <v>8446000</v>
          </cell>
        </row>
        <row r="507">
          <cell r="J507">
            <v>135</v>
          </cell>
          <cell r="K507">
            <v>43117</v>
          </cell>
          <cell r="L507" t="str">
            <v>JUAN PABLO SANTIAGO CASTELLANO MACIAS</v>
          </cell>
          <cell r="M507">
            <v>145</v>
          </cell>
          <cell r="N507" t="str">
            <v>CONTRATO DE PRESTACION DE SERVICIOS PROFESIONALES</v>
          </cell>
          <cell r="O507">
            <v>144</v>
          </cell>
          <cell r="P507">
            <v>43117</v>
          </cell>
          <cell r="Q507" t="str">
            <v>Prestación de servicios profesionales, para apoyar el proceso de asistencia técnica a las familias inscritas en la Dirección de Mejoramiento de Vivienda que solicitan y/o requieren adelantar trámite de licencia de construcción y/o actos de reconocimiento, en cuanto al diseño estructural, calculo memorias y planos estructurales requeridos por la normatividad vigente de las curadurías urbanas; así como soporte a las actividades que se desarrollan dentro del marco de los proyectos de Mejoramiento Integral de la DMV de la CVP</v>
          </cell>
          <cell r="R507">
            <v>37389000</v>
          </cell>
          <cell r="S507">
            <v>0</v>
          </cell>
          <cell r="T507">
            <v>0</v>
          </cell>
          <cell r="U507">
            <v>37389000</v>
          </cell>
          <cell r="V507">
            <v>21866900</v>
          </cell>
        </row>
        <row r="508">
          <cell r="J508">
            <v>137</v>
          </cell>
          <cell r="K508">
            <v>43117</v>
          </cell>
          <cell r="L508" t="str">
            <v>DORIS MARSELLA GARCIA PRIETO</v>
          </cell>
          <cell r="M508">
            <v>145</v>
          </cell>
          <cell r="N508" t="str">
            <v>CONTRATO DE PRESTACION DE SERVICIOS PROFESIONALES</v>
          </cell>
          <cell r="O508">
            <v>145</v>
          </cell>
          <cell r="P508">
            <v>43117</v>
          </cell>
          <cell r="Q508" t="str">
            <v>Prestación de servicios profesionales en el área social, para apoyar el proceso de asistencia técnica a las familias inscritas en la Dirección de Mejoramiento de Vivienda que solicitan y/o requieren adelantar trámite de licencia de construcción y/o actos de reconocimiento, así como soporte a las actividades que se desarrollan dentro del marco de los proyectos de Mejoramiento Integral de la DMV de la CVP.</v>
          </cell>
          <cell r="R508">
            <v>45320000</v>
          </cell>
          <cell r="S508">
            <v>0</v>
          </cell>
          <cell r="T508">
            <v>0</v>
          </cell>
          <cell r="U508">
            <v>45320000</v>
          </cell>
          <cell r="V508">
            <v>26505333</v>
          </cell>
        </row>
        <row r="509">
          <cell r="J509">
            <v>141</v>
          </cell>
          <cell r="K509">
            <v>43117</v>
          </cell>
          <cell r="L509" t="str">
            <v>GLORIA IRAIDA THALJI RAVELO</v>
          </cell>
          <cell r="M509">
            <v>145</v>
          </cell>
          <cell r="N509" t="str">
            <v>CONTRATO DE PRESTACION DE SERVICIOS PROFESIONALES</v>
          </cell>
          <cell r="O509">
            <v>151</v>
          </cell>
          <cell r="P509">
            <v>43117</v>
          </cell>
          <cell r="Q509" t="str">
            <v>Prestar los servicios profesionales para apoyar la supervisión Social de las obras de los proyectos territoriales, además de efectuar la gestión social a los hogares de los territoriales dirigidos que se presenten para optar al Subsidio Distrital de Vivienda en Especie.</v>
          </cell>
          <cell r="R509">
            <v>28840000</v>
          </cell>
          <cell r="S509">
            <v>0</v>
          </cell>
          <cell r="T509">
            <v>0</v>
          </cell>
          <cell r="U509">
            <v>28840000</v>
          </cell>
          <cell r="V509">
            <v>26505333</v>
          </cell>
        </row>
        <row r="510">
          <cell r="J510">
            <v>143</v>
          </cell>
          <cell r="K510">
            <v>43117</v>
          </cell>
          <cell r="L510" t="str">
            <v>JOHN ALEXANDER CORREDOR FONSECA</v>
          </cell>
          <cell r="M510">
            <v>145</v>
          </cell>
          <cell r="N510" t="str">
            <v>CONTRATO DE PRESTACION DE SERVICIOS PROFESIONALES</v>
          </cell>
          <cell r="O510">
            <v>152</v>
          </cell>
          <cell r="P510">
            <v>43117</v>
          </cell>
          <cell r="Q510" t="str">
            <v>Prestación de servicios profesionales para apoyar la estructuración, seguimiento y supervisión de los proyectos asignados por la Dirección de Mejoramiento de Vivienda de la CVP.</v>
          </cell>
          <cell r="R510">
            <v>46865000</v>
          </cell>
          <cell r="S510">
            <v>0</v>
          </cell>
          <cell r="T510">
            <v>0</v>
          </cell>
          <cell r="U510">
            <v>46865000</v>
          </cell>
          <cell r="V510">
            <v>43071167</v>
          </cell>
        </row>
        <row r="511">
          <cell r="J511">
            <v>147</v>
          </cell>
          <cell r="K511">
            <v>43117</v>
          </cell>
          <cell r="L511" t="str">
            <v>JULY PAOLA TORRES RISCANEVO</v>
          </cell>
          <cell r="M511">
            <v>145</v>
          </cell>
          <cell r="N511" t="str">
            <v>CONTRATO DE PRESTACION DE SERVICIOS PROFESIONALES</v>
          </cell>
          <cell r="O511">
            <v>155</v>
          </cell>
          <cell r="P511">
            <v>43117</v>
          </cell>
          <cell r="Q511" t="str">
            <v>PRESTAR LOS SERVICIOS PROFESIONALES EN LA IMPLEMENTACIÓN Y SEGUIMIENTO DE LA POLÍTICA DE RESPONSABILIDAD SOCIAL, BAJO LOS TRES PILARES DE SOSTENIBILIDAD A LOS PROCESOS DE GESTIÓN MISIONAL DE LA ENTIDAD.</v>
          </cell>
          <cell r="R511">
            <v>22591333</v>
          </cell>
          <cell r="S511">
            <v>22591333</v>
          </cell>
          <cell r="T511">
            <v>0</v>
          </cell>
          <cell r="U511">
            <v>0</v>
          </cell>
          <cell r="V511">
            <v>0</v>
          </cell>
        </row>
        <row r="512">
          <cell r="J512">
            <v>153</v>
          </cell>
          <cell r="K512">
            <v>43117</v>
          </cell>
          <cell r="L512" t="str">
            <v>JULY PAOLA TORRES RISCANEVO</v>
          </cell>
          <cell r="M512">
            <v>145</v>
          </cell>
          <cell r="N512" t="str">
            <v>CONTRATO DE PRESTACION DE SERVICIOS PROFESIONALES</v>
          </cell>
          <cell r="O512">
            <v>155</v>
          </cell>
          <cell r="P512">
            <v>43117</v>
          </cell>
          <cell r="Q512" t="str">
            <v>PRESTAR SERVICIOS PROFESIONALES PARA EL DESARROLLO DE LA POLITICA DE RESPONSABILIDAD SOCIAL, BAJO LOS TRES PILARES DE SOSTENIBILIDAD A LOS PROCESOS DE GESTION MISIONAL DE LA CAJA DE LA VIVIENDA POPULAR.</v>
          </cell>
          <cell r="R512">
            <v>22591333</v>
          </cell>
          <cell r="S512">
            <v>0</v>
          </cell>
          <cell r="T512">
            <v>0</v>
          </cell>
          <cell r="U512">
            <v>22591333</v>
          </cell>
          <cell r="V512">
            <v>13252666</v>
          </cell>
        </row>
        <row r="513">
          <cell r="J513">
            <v>156</v>
          </cell>
          <cell r="K513">
            <v>43118</v>
          </cell>
          <cell r="L513" t="str">
            <v>JOSE GABRIEL MENDOZA SANTOS</v>
          </cell>
          <cell r="M513">
            <v>145</v>
          </cell>
          <cell r="N513" t="str">
            <v>CONTRATO DE PRESTACION DE SERVICIOS PROFESIONALES</v>
          </cell>
          <cell r="O513">
            <v>128</v>
          </cell>
          <cell r="P513">
            <v>43118</v>
          </cell>
          <cell r="Q513" t="str">
            <v>Prestación de servicios profesionales, para apoyar el proceso de asistencia técnica a las familias inscritas en la Dirección de Mejoramiento de Vivienda que solicitan y/o requieren adelantar trámite de licencia de construcción y/o actos de reconocimiento, en cuanto al diseño estructural, calculo memorias y planos estructurales requeridos por la normatividad vigente de las curadurías urbanas; así como soporte a las actividades que se desarrollan dentro del marco de los proyectos de Mejoramiento Integral de la DMV de la CVP</v>
          </cell>
          <cell r="R513">
            <v>37389000</v>
          </cell>
          <cell r="S513">
            <v>0</v>
          </cell>
          <cell r="T513">
            <v>0</v>
          </cell>
          <cell r="U513">
            <v>37389000</v>
          </cell>
          <cell r="V513">
            <v>21866900</v>
          </cell>
        </row>
        <row r="514">
          <cell r="J514">
            <v>169</v>
          </cell>
          <cell r="K514">
            <v>43118</v>
          </cell>
          <cell r="L514" t="str">
            <v>EDINSON  AGUJA MATOMA</v>
          </cell>
          <cell r="M514">
            <v>148</v>
          </cell>
          <cell r="N514" t="str">
            <v>CONTRATO DE PRESTACION DE SERVICIOS DE APOYO A LA GESTION</v>
          </cell>
          <cell r="O514">
            <v>140</v>
          </cell>
          <cell r="P514">
            <v>43118</v>
          </cell>
          <cell r="Q514" t="str">
            <v>PRESTAR SERVICIOS ASISTENCIALES EN LA GESTIÓN DOCUMENTAL, CAPTURA DE DATOS, INVENTARIO Y MANEJO DEL ARCHIVO FÍSICO, EN CUMPLIMIENTO DE LOS PROCEDIMIENTOS DE LA DIRECCIÓN DE MEJORAMIENTO DE VIVIENDA DE LA CVP.</v>
          </cell>
          <cell r="R514">
            <v>16995000</v>
          </cell>
          <cell r="S514">
            <v>0</v>
          </cell>
          <cell r="T514">
            <v>0</v>
          </cell>
          <cell r="U514">
            <v>16995000</v>
          </cell>
          <cell r="V514">
            <v>9888000</v>
          </cell>
        </row>
        <row r="515">
          <cell r="J515">
            <v>174</v>
          </cell>
          <cell r="K515">
            <v>43118</v>
          </cell>
          <cell r="L515" t="str">
            <v>JUAN PABLO LUGO BOTELLO</v>
          </cell>
          <cell r="M515">
            <v>145</v>
          </cell>
          <cell r="N515" t="str">
            <v>CONTRATO DE PRESTACION DE SERVICIOS PROFESIONALES</v>
          </cell>
          <cell r="O515">
            <v>100</v>
          </cell>
          <cell r="P515">
            <v>43118</v>
          </cell>
          <cell r="Q515" t="str">
            <v>PRESTAR SERVICIOS PROFESIONALES A LA DIRECCIÓN JURÍDICA, COMO ENLACE DE LA DIRECCIÓN DE MEJORAMIENTO DE VIVIENDA EN EL DESARROLLO DE ACTIVIDADES JURÍDICAS RELACIONADAS CON LOS PROCEDIMIENTOS, ACTUACIONES, COMPETENCIAS Y TRÁMITES EN GENERAL QUE SE ENCUENTRAN A CARGO DE AQUELLA DIRECCIÓN.</v>
          </cell>
          <cell r="R515">
            <v>79310000</v>
          </cell>
          <cell r="S515">
            <v>0</v>
          </cell>
          <cell r="T515">
            <v>0</v>
          </cell>
          <cell r="U515">
            <v>79310000</v>
          </cell>
          <cell r="V515">
            <v>46384333</v>
          </cell>
        </row>
        <row r="516">
          <cell r="J516">
            <v>179</v>
          </cell>
          <cell r="K516">
            <v>43118</v>
          </cell>
          <cell r="L516" t="str">
            <v>MONICA VIVIANA CEBALLOS CRIOLLO</v>
          </cell>
          <cell r="M516">
            <v>145</v>
          </cell>
          <cell r="N516" t="str">
            <v>CONTRATO DE PRESTACION DE SERVICIOS PROFESIONALES</v>
          </cell>
          <cell r="O516">
            <v>160</v>
          </cell>
          <cell r="P516">
            <v>43118</v>
          </cell>
          <cell r="Q516" t="str">
            <v>CONTRATAR LOS SERVICIOS PROFESIONALES DE UN COMUNICADOR SOCIAL QUE DESARROLLE LA INFORMACION PERIODISTICA DE LAS AREAS MISIONALES, PARA FORTALECER LOS CANALES DE COMUNICACIÓN INTERNOS Y EXTERNOS DE LA ENTIDAD, CONFORME A LA ESTRATEGIA DE COMUNICACIONES DE LA CAJA DE LA VIVIENDA POPULAR.</v>
          </cell>
          <cell r="R516">
            <v>13850925</v>
          </cell>
          <cell r="S516">
            <v>0</v>
          </cell>
          <cell r="T516">
            <v>0</v>
          </cell>
          <cell r="U516">
            <v>13850925</v>
          </cell>
          <cell r="V516">
            <v>8100694</v>
          </cell>
        </row>
        <row r="517">
          <cell r="J517">
            <v>196</v>
          </cell>
          <cell r="K517">
            <v>43118</v>
          </cell>
          <cell r="L517" t="str">
            <v>LEDYS MARCELA AJIACO AJIACO</v>
          </cell>
          <cell r="M517">
            <v>145</v>
          </cell>
          <cell r="N517" t="str">
            <v>CONTRATO DE PRESTACION DE SERVICIOS PROFESIONALES</v>
          </cell>
          <cell r="O517">
            <v>182</v>
          </cell>
          <cell r="P517">
            <v>43118</v>
          </cell>
          <cell r="Q517" t="str">
            <v>Prestar los servicios profesionales para apoyar el control y evaluación financiera durante la ejecución, avance y cumplimiento del proyecto Mejoramiento de vivienda en sus condiciones físicas y de habitabilidad en los asentamientos humanos priorizados en área urbana y rural.</v>
          </cell>
          <cell r="R517">
            <v>57783000</v>
          </cell>
          <cell r="S517">
            <v>0</v>
          </cell>
          <cell r="T517">
            <v>0</v>
          </cell>
          <cell r="U517">
            <v>57783000</v>
          </cell>
          <cell r="V517">
            <v>33619200</v>
          </cell>
        </row>
        <row r="518">
          <cell r="J518">
            <v>200</v>
          </cell>
          <cell r="K518">
            <v>43118</v>
          </cell>
          <cell r="L518" t="str">
            <v>HECTOR JULIO CASTAÑEDA PULIDO</v>
          </cell>
          <cell r="M518">
            <v>145</v>
          </cell>
          <cell r="N518" t="str">
            <v>CONTRATO DE PRESTACION DE SERVICIOS PROFESIONALES</v>
          </cell>
          <cell r="O518">
            <v>189</v>
          </cell>
          <cell r="P518">
            <v>43118</v>
          </cell>
          <cell r="Q518" t="str">
            <v>Prestación de servicios profesionales en el área social, para apoyar el proceso de asistencia técnica a las familias inscritas en la Dirección de Mejoramiento de Vivienda que solicitan y/o requieren adelantar trámite de licencia de construcción y/o actos de reconocimiento, así como soporte a las actividades que se desarrollan dentro del marco de los proyectos de Mejoramiento Integral de la DMV de la CVP</v>
          </cell>
          <cell r="R518">
            <v>45320000</v>
          </cell>
          <cell r="S518">
            <v>0</v>
          </cell>
          <cell r="T518">
            <v>0</v>
          </cell>
          <cell r="U518">
            <v>45320000</v>
          </cell>
          <cell r="V518">
            <v>26368000</v>
          </cell>
        </row>
        <row r="519">
          <cell r="J519">
            <v>211</v>
          </cell>
          <cell r="K519">
            <v>43118</v>
          </cell>
          <cell r="L519" t="str">
            <v>CAROL JINETH PEREZ SALVADOR</v>
          </cell>
          <cell r="M519">
            <v>148</v>
          </cell>
          <cell r="N519" t="str">
            <v>CONTRATO DE PRESTACION DE SERVICIOS DE APOYO A LA GESTION</v>
          </cell>
          <cell r="O519">
            <v>188</v>
          </cell>
          <cell r="P519">
            <v>43118</v>
          </cell>
          <cell r="Q519" t="str">
            <v>Prestación de servicios técnicos relacionados con la elaboración de levantamientos arquitectónicos, planos urbanísticos, arquitectónicos, estructurales, detalles constructivos y respuesta de requerimientos y actas de observaciones y/o condiciones exigidos por las Curadurías Urbanas, solicitados por estas entidades para la expedición de licencias de construcción y/o actos de reconocimiento, para los proyectos de familias inscritas en la Dirección de Mejoramiento de Vivienda.</v>
          </cell>
          <cell r="R519">
            <v>33423500</v>
          </cell>
          <cell r="S519">
            <v>0</v>
          </cell>
          <cell r="T519">
            <v>0</v>
          </cell>
          <cell r="U519">
            <v>33423500</v>
          </cell>
          <cell r="V519">
            <v>19446400</v>
          </cell>
        </row>
        <row r="520">
          <cell r="J520">
            <v>222</v>
          </cell>
          <cell r="K520">
            <v>43118</v>
          </cell>
          <cell r="L520" t="str">
            <v>EDGAR  GOYENECHE MUÑOZ</v>
          </cell>
          <cell r="M520">
            <v>145</v>
          </cell>
          <cell r="N520" t="str">
            <v>CONTRATO DE PRESTACION DE SERVICIOS PROFESIONALES</v>
          </cell>
          <cell r="O520">
            <v>193</v>
          </cell>
          <cell r="P520">
            <v>43118</v>
          </cell>
          <cell r="Q520" t="str">
            <v>¿Prestación de servicios profesionales, para apoyar el proceso de asistencia técnica a las familias inscritas en la Dirección de Mejoramiento de Vivienda que solicitan y/o requieren adelantar trámite de licencia de construcción y/o actos de reconocimiento, así como soporte a las actividades que se desarrollan dentro del marco de los proyectos de mejoramiento integral de la DMV de la CVP¿</v>
          </cell>
          <cell r="R520">
            <v>90640000</v>
          </cell>
          <cell r="S520">
            <v>0</v>
          </cell>
          <cell r="T520">
            <v>0</v>
          </cell>
          <cell r="U520">
            <v>90640000</v>
          </cell>
          <cell r="V520">
            <v>52736000</v>
          </cell>
        </row>
        <row r="521">
          <cell r="J521">
            <v>240</v>
          </cell>
          <cell r="K521">
            <v>43119</v>
          </cell>
          <cell r="L521" t="str">
            <v>RONALD  ARCILA MORENO</v>
          </cell>
          <cell r="M521">
            <v>145</v>
          </cell>
          <cell r="N521" t="str">
            <v>CONTRATO DE PRESTACION DE SERVICIOS PROFESIONALES</v>
          </cell>
          <cell r="O521">
            <v>221</v>
          </cell>
          <cell r="P521">
            <v>43119</v>
          </cell>
          <cell r="Q521" t="str">
            <v>Prestación de servicios profesionales para apoyar la estructuración, seguimiento y supervisión de los proyectos asignados por la Dirección de Mejoramiento de Vivienda de la CVP.</v>
          </cell>
          <cell r="R521">
            <v>73645000</v>
          </cell>
          <cell r="S521">
            <v>0</v>
          </cell>
          <cell r="T521">
            <v>0</v>
          </cell>
          <cell r="U521">
            <v>73645000</v>
          </cell>
          <cell r="V521">
            <v>42178500</v>
          </cell>
        </row>
        <row r="522">
          <cell r="J522">
            <v>266</v>
          </cell>
          <cell r="K522">
            <v>43119</v>
          </cell>
          <cell r="L522" t="str">
            <v>OLGA YOLIMA ROJAS RODRIGUEZ</v>
          </cell>
          <cell r="M522">
            <v>145</v>
          </cell>
          <cell r="N522" t="str">
            <v>CONTRATO DE PRESTACION DE SERVICIOS PROFESIONALES</v>
          </cell>
          <cell r="O522">
            <v>236</v>
          </cell>
          <cell r="P522">
            <v>43119</v>
          </cell>
          <cell r="Q522" t="str">
            <v>Prestación de servicios profesionales apoyando la gestión documental, inventario y manejo del archivo físico, en cumplimiento de los procedimientos de la Dirección de Mejoramiento de Vivienda de la CVP</v>
          </cell>
          <cell r="R522">
            <v>67980000</v>
          </cell>
          <cell r="S522">
            <v>0</v>
          </cell>
          <cell r="T522">
            <v>0</v>
          </cell>
          <cell r="U522">
            <v>67980000</v>
          </cell>
          <cell r="V522">
            <v>38728000</v>
          </cell>
        </row>
        <row r="523">
          <cell r="J523">
            <v>279</v>
          </cell>
          <cell r="K523">
            <v>43122</v>
          </cell>
          <cell r="L523" t="str">
            <v>ALEX FERNANDO GONZALEZ VILLANUEVA</v>
          </cell>
          <cell r="M523">
            <v>148</v>
          </cell>
          <cell r="N523" t="str">
            <v>CONTRATO DE PRESTACION DE SERVICIOS DE APOYO A LA GESTION</v>
          </cell>
          <cell r="O523">
            <v>249</v>
          </cell>
          <cell r="P523">
            <v>43122</v>
          </cell>
          <cell r="Q523" t="str">
            <v>Prestación de servicios técnicos para adelantar el soporte técnico y apoyar desde su experticia en la generación, consolidación y divulgación de información estratégica de los proyectos de la DMV, que contribuya a fortalecer los sistemas de información institucionales.</v>
          </cell>
          <cell r="R523">
            <v>21269500</v>
          </cell>
          <cell r="S523">
            <v>0</v>
          </cell>
          <cell r="T523">
            <v>0</v>
          </cell>
          <cell r="U523">
            <v>21269500</v>
          </cell>
          <cell r="V523">
            <v>18939983</v>
          </cell>
        </row>
        <row r="524">
          <cell r="J524">
            <v>284</v>
          </cell>
          <cell r="K524">
            <v>43122</v>
          </cell>
          <cell r="L524" t="str">
            <v>MARTHA BIBIANA ESTUPIÑAN CRUZ</v>
          </cell>
          <cell r="M524">
            <v>145</v>
          </cell>
          <cell r="N524" t="str">
            <v>CONTRATO DE PRESTACION DE SERVICIOS PROFESIONALES</v>
          </cell>
          <cell r="O524">
            <v>254</v>
          </cell>
          <cell r="P524">
            <v>43122</v>
          </cell>
          <cell r="Q524" t="str">
            <v>Prestación de servicios profesionales como comunicador social para que, en concordancia con la Oficina asesora de comunicaciones, realice el proceso de difusión, redacción, comunicación y distribución de información de los proyectos de la Dirección de Mejoramiento de Vivienda, con el propósito de dar a conocer las actividades y eventos que se desarrollen en la ejecución de los mismos, a través de estrategias integrales de comunicación.</v>
          </cell>
          <cell r="R524">
            <v>45320000</v>
          </cell>
          <cell r="S524">
            <v>0</v>
          </cell>
          <cell r="T524">
            <v>0</v>
          </cell>
          <cell r="U524">
            <v>45320000</v>
          </cell>
          <cell r="V524">
            <v>25956000</v>
          </cell>
        </row>
        <row r="525">
          <cell r="J525">
            <v>285</v>
          </cell>
          <cell r="K525">
            <v>43122</v>
          </cell>
          <cell r="L525" t="str">
            <v>ALMA KARINA DE CASTRO MARÍN</v>
          </cell>
          <cell r="M525">
            <v>145</v>
          </cell>
          <cell r="N525" t="str">
            <v>CONTRATO DE PRESTACION DE SERVICIOS PROFESIONALES</v>
          </cell>
          <cell r="O525">
            <v>255</v>
          </cell>
          <cell r="P525">
            <v>43122</v>
          </cell>
          <cell r="Q525" t="str">
            <v>Prestar los servicios profesionales a la Dirección de Mejoramiento de Vivienda, en la proyección de conceptos, revisión de actos administrativos y demás actualizaciones administrativas y jurídicas requeridas, en concordancia con los procesos propios de la Dirección.</v>
          </cell>
          <cell r="R525">
            <v>62315000</v>
          </cell>
          <cell r="S525">
            <v>0</v>
          </cell>
          <cell r="T525">
            <v>0</v>
          </cell>
          <cell r="U525">
            <v>62315000</v>
          </cell>
          <cell r="V525">
            <v>35689500</v>
          </cell>
        </row>
        <row r="526">
          <cell r="J526">
            <v>292</v>
          </cell>
          <cell r="K526">
            <v>43122</v>
          </cell>
          <cell r="L526" t="str">
            <v>JHON CARLOS RINCON AGREDO</v>
          </cell>
          <cell r="M526">
            <v>145</v>
          </cell>
          <cell r="N526" t="str">
            <v>CONTRATO DE PRESTACION DE SERVICIOS PROFESIONALES</v>
          </cell>
          <cell r="O526">
            <v>261</v>
          </cell>
          <cell r="P526">
            <v>43122</v>
          </cell>
          <cell r="Q526" t="str">
            <v>Contratar los servicios profesionales de un comunicador social o periodista que apoye la locución de productos audiovisuales y la presentación de actividades con las comunidades beneficiarias de los distintos programas misionales, con el fin de favorecer una comunicación activa de la misionalidad de la entidad.</v>
          </cell>
          <cell r="R526">
            <v>9772125</v>
          </cell>
          <cell r="S526">
            <v>0</v>
          </cell>
          <cell r="T526">
            <v>0</v>
          </cell>
          <cell r="U526">
            <v>9772125</v>
          </cell>
          <cell r="V526">
            <v>5596787</v>
          </cell>
        </row>
        <row r="527">
          <cell r="J527">
            <v>306</v>
          </cell>
          <cell r="K527">
            <v>43122</v>
          </cell>
          <cell r="L527" t="str">
            <v>DIANA MARCELA ORDUZ VALBUENA</v>
          </cell>
          <cell r="M527">
            <v>145</v>
          </cell>
          <cell r="N527" t="str">
            <v>CONTRATO DE PRESTACION DE SERVICIOS PROFESIONALES</v>
          </cell>
          <cell r="O527">
            <v>279</v>
          </cell>
          <cell r="P527">
            <v>43122</v>
          </cell>
          <cell r="Q527" t="str">
            <v>Prestación de servicios profesionales para apoyar la estructuración, seguimiento y supervisión de los proyectos asignados por la Dirección de Mejoramiento de Vivienda de la CVP.</v>
          </cell>
          <cell r="R527">
            <v>90640000</v>
          </cell>
          <cell r="S527">
            <v>0</v>
          </cell>
          <cell r="T527">
            <v>0</v>
          </cell>
          <cell r="U527">
            <v>90640000</v>
          </cell>
          <cell r="V527">
            <v>51637333</v>
          </cell>
        </row>
        <row r="528">
          <cell r="J528">
            <v>323</v>
          </cell>
          <cell r="K528">
            <v>43123</v>
          </cell>
          <cell r="L528" t="str">
            <v>MARIA JULIANA CABELLO CERVANTES</v>
          </cell>
          <cell r="M528">
            <v>148</v>
          </cell>
          <cell r="N528" t="str">
            <v>CONTRATO DE PRESTACION DE SERVICIOS DE APOYO A LA GESTION</v>
          </cell>
          <cell r="O528">
            <v>284</v>
          </cell>
          <cell r="P528">
            <v>43123</v>
          </cell>
          <cell r="Q528" t="str">
            <v>PRESTACIÓN DE SERVICIOS TÉCNICOS RELACIONADOS CON LA ELABORACIÓN DE LEVANTAMIENTOS ARQUITECTÓNICOS, PLANOS URBANISTICOS, ARQUITECTONICOS, ESTRUCTURALES, DETALLES CONSTRUCTIVOS Y RESPUESTA DE REQUERIMIENTOS Y ACTAS DE OBSERVACIONES Y/O CONDICIONES EXIGIDOS POR LAS CURADURÍAS URBANAS, SOLICITADOS POR ESTAS ENTIDADES PARA LA EXPEDICIÓN DE LICENCIAS DE CONSTRUCCIÓN Y/O ACTOS DE RECONOCIMIENTO, PARA LOS PROYECTOS DE FAMILIAS INSCRITAS EN LA DIRECCIÓN DE MEJORAMIENTO DE VIVIENDA.</v>
          </cell>
          <cell r="R528">
            <v>33423500</v>
          </cell>
          <cell r="S528">
            <v>0</v>
          </cell>
          <cell r="T528">
            <v>0</v>
          </cell>
          <cell r="U528">
            <v>33423500</v>
          </cell>
          <cell r="V528">
            <v>18939983</v>
          </cell>
        </row>
        <row r="529">
          <cell r="J529">
            <v>374</v>
          </cell>
          <cell r="K529">
            <v>43124</v>
          </cell>
          <cell r="L529" t="str">
            <v>FRANCISCO JOSE ARGUELLO ROJAS</v>
          </cell>
          <cell r="M529">
            <v>145</v>
          </cell>
          <cell r="N529" t="str">
            <v>CONTRATO DE PRESTACION DE SERVICIOS PROFESIONALES</v>
          </cell>
          <cell r="O529">
            <v>304</v>
          </cell>
          <cell r="P529">
            <v>43124</v>
          </cell>
          <cell r="Q529" t="str">
            <v>Prestar los servicios profesionales para la planeación, realización y desarrollo de contenidos periodísticos que permitan la difusión y divulgación de la gestión solcial que adelanta la CVP con las comunidades, a través de sus programas misionales.</v>
          </cell>
          <cell r="R529">
            <v>11330000</v>
          </cell>
          <cell r="S529">
            <v>0</v>
          </cell>
          <cell r="T529">
            <v>0</v>
          </cell>
          <cell r="U529">
            <v>11330000</v>
          </cell>
          <cell r="V529">
            <v>6420333</v>
          </cell>
        </row>
        <row r="530">
          <cell r="J530">
            <v>399</v>
          </cell>
          <cell r="K530">
            <v>43124</v>
          </cell>
          <cell r="L530" t="str">
            <v>WENDY JULIETH ROJAS CRUZ</v>
          </cell>
          <cell r="M530">
            <v>148</v>
          </cell>
          <cell r="N530" t="str">
            <v>CONTRATO DE PRESTACION DE SERVICIOS DE APOYO A LA GESTION</v>
          </cell>
          <cell r="O530">
            <v>320</v>
          </cell>
          <cell r="P530">
            <v>43124</v>
          </cell>
          <cell r="Q530" t="str">
            <v>Prestación de servicios técnicos de apoyo a la gestión documental, inventario y manejo del archivo físico, en cumplimiento de los procedimientos de la Dirección de Mejoramiento de Vivienda de la CVP.</v>
          </cell>
          <cell r="R530">
            <v>27192000</v>
          </cell>
          <cell r="S530">
            <v>0</v>
          </cell>
          <cell r="T530">
            <v>0</v>
          </cell>
          <cell r="U530">
            <v>27192000</v>
          </cell>
          <cell r="V530">
            <v>15408800</v>
          </cell>
        </row>
        <row r="531">
          <cell r="J531">
            <v>416</v>
          </cell>
          <cell r="K531">
            <v>43124</v>
          </cell>
          <cell r="L531" t="str">
            <v>JOSE ANDRES ACUÑA VIVAS</v>
          </cell>
          <cell r="M531">
            <v>148</v>
          </cell>
          <cell r="N531" t="str">
            <v>CONTRATO DE PRESTACION DE SERVICIOS DE APOYO A LA GESTION</v>
          </cell>
          <cell r="O531">
            <v>337</v>
          </cell>
          <cell r="P531">
            <v>43124</v>
          </cell>
          <cell r="Q531" t="str">
            <v>Prestación de servicios técnicos relacionados con la elaboración de levantamientos arquitectónicos, planos urbanísticos, arquitectónicos, estructurales, detalles constructivos y respuesta de requerimientos y actas de observaciones y/o condiciones exigidos por las Curadurías Urbanas, solicitados por estas entidades para la expedición de licencias de construcción y/o actos de reconocimiento, para los proyectos de familias inscritas en la Dirección de Mejoramiento de Vivienda.</v>
          </cell>
          <cell r="R531">
            <v>33423500</v>
          </cell>
          <cell r="S531">
            <v>0</v>
          </cell>
          <cell r="T531">
            <v>0</v>
          </cell>
          <cell r="U531">
            <v>33423500</v>
          </cell>
          <cell r="V531">
            <v>18838700</v>
          </cell>
        </row>
        <row r="532">
          <cell r="J532">
            <v>434</v>
          </cell>
          <cell r="K532">
            <v>43124</v>
          </cell>
          <cell r="L532" t="str">
            <v>FERNANDO ENRIQUE OROZCO VARGAS</v>
          </cell>
          <cell r="M532">
            <v>145</v>
          </cell>
          <cell r="N532" t="str">
            <v>CONTRATO DE PRESTACION DE SERVICIOS PROFESIONALES</v>
          </cell>
          <cell r="O532">
            <v>317</v>
          </cell>
          <cell r="P532">
            <v>43124</v>
          </cell>
          <cell r="Q532" t="str">
            <v>Adición y Prórroga al contrato 317,  cuyo objeto es: "Prestar los servicios profesionales para apoyar y acompañar en el proceso de Supervisión de Interventoría de Obras de la Dirección de Mejoramiento de Vivienda, asesorando de acuerdo a la normatividad vigente y planeando alternativas técnicas para su desarrollo.</v>
          </cell>
          <cell r="R532">
            <v>47600000</v>
          </cell>
          <cell r="S532">
            <v>0</v>
          </cell>
          <cell r="T532">
            <v>0</v>
          </cell>
          <cell r="U532">
            <v>47600000</v>
          </cell>
          <cell r="V532">
            <v>47600000</v>
          </cell>
        </row>
        <row r="533">
          <cell r="J533">
            <v>467</v>
          </cell>
          <cell r="K533">
            <v>43126</v>
          </cell>
          <cell r="L533" t="str">
            <v>JAVIER  BENITEZ BARAJAS</v>
          </cell>
          <cell r="M533">
            <v>145</v>
          </cell>
          <cell r="N533" t="str">
            <v>CONTRATO DE PRESTACION DE SERVICIOS PROFESIONALES</v>
          </cell>
          <cell r="O533">
            <v>394</v>
          </cell>
          <cell r="P533">
            <v>43126</v>
          </cell>
          <cell r="Q533" t="str">
            <v>Prestación de servicios profesionales relacionados con la elaboración de levantamientos arquitectónicos, planos urbanísticos, arquitectónicos, estructurales, detalles constructivos y respuesta de requerimientos y actas de observaciones y/o condiciones exigidos por las Curadurías Urbanas solicitados por estas entidades para la expedición de licencias de construcción y/o actos de reconocimiento para los proyectos de familias inscritas en la Dirección de Mejoramiento de Vivienda.</v>
          </cell>
          <cell r="R533">
            <v>27192000</v>
          </cell>
          <cell r="S533">
            <v>0</v>
          </cell>
          <cell r="T533">
            <v>0</v>
          </cell>
          <cell r="U533">
            <v>27192000</v>
          </cell>
          <cell r="V533">
            <v>20960500</v>
          </cell>
        </row>
        <row r="534">
          <cell r="J534">
            <v>470</v>
          </cell>
          <cell r="K534">
            <v>43126</v>
          </cell>
          <cell r="L534" t="str">
            <v>WILLIAM ALEXANDER GUTIERREZ GUTIERREZ</v>
          </cell>
          <cell r="M534">
            <v>148</v>
          </cell>
          <cell r="N534" t="str">
            <v>CONTRATO DE PRESTACION DE SERVICIOS DE APOYO A LA GESTION</v>
          </cell>
          <cell r="O534">
            <v>397</v>
          </cell>
          <cell r="P534">
            <v>43126</v>
          </cell>
          <cell r="Q534" t="str">
            <v>PRESTAR LOS SERVICIOS TÉCNICOS A LA DIRECCIÓN DE MEJORAMIENTO DE VIVIENDA, EN LA PROYECCIÓN DE CONCEPTOS, REVISIÓN DE ACTOS ADMINISTRATIVOS Y DEMÁS ACTUALIZACIONES ADMINISTRATIVAS Y JURÍDICAS REQUERIDAS, EN CONCORDANCIA CON LOS PROCESOS PROPIOS DE LA DIRECCIÓN.</v>
          </cell>
          <cell r="R534">
            <v>19776000</v>
          </cell>
          <cell r="S534">
            <v>5520800</v>
          </cell>
          <cell r="T534">
            <v>0</v>
          </cell>
          <cell r="U534">
            <v>14255200</v>
          </cell>
          <cell r="V534">
            <v>14255200</v>
          </cell>
        </row>
        <row r="535">
          <cell r="J535">
            <v>472</v>
          </cell>
          <cell r="K535">
            <v>43126</v>
          </cell>
          <cell r="L535" t="str">
            <v>FABIO ANDRES MORALES CLEVES</v>
          </cell>
          <cell r="M535">
            <v>148</v>
          </cell>
          <cell r="N535" t="str">
            <v>CONTRATO DE PRESTACION DE SERVICIOS DE APOYO A LA GESTION</v>
          </cell>
          <cell r="O535">
            <v>398</v>
          </cell>
          <cell r="P535">
            <v>43126</v>
          </cell>
          <cell r="Q535" t="str">
            <v>Prestación de servicios técnicos relacionados con la elaboración de levantamientos arquitectónicos, planos urbanísticos, arquitectónicos, estructurales, detalles constructivos y respuesta de requerimientos y actas de observaciones y/o condiciones exigidos por las Curadurías Urbanas, solicitados por estas entidades para la expedición de licencias de construcción y/o actos de reconocimiento, para los proyectos de familias inscritas en la Dirección de Mejoramiento de Vivienda.</v>
          </cell>
          <cell r="R535">
            <v>21269500</v>
          </cell>
          <cell r="S535">
            <v>0</v>
          </cell>
          <cell r="T535">
            <v>0</v>
          </cell>
          <cell r="U535">
            <v>21269500</v>
          </cell>
          <cell r="V535">
            <v>18737417</v>
          </cell>
        </row>
        <row r="536">
          <cell r="J536">
            <v>649</v>
          </cell>
          <cell r="K536">
            <v>43133</v>
          </cell>
          <cell r="L536" t="str">
            <v>GIOVANNI  QUIROGA BERMUDEZ</v>
          </cell>
          <cell r="M536">
            <v>145</v>
          </cell>
          <cell r="N536" t="str">
            <v>CONTRATO DE PRESTACION DE SERVICIOS PROFESIONALES</v>
          </cell>
          <cell r="O536">
            <v>348</v>
          </cell>
          <cell r="P536">
            <v>43133</v>
          </cell>
          <cell r="Q536" t="str">
            <v>Adición y prórroga al contrato 348 cuyo objeto es: "Prestación de servicios profesionales, para apoyar el proceso de asistencia técnica a las familias inscritas en la Dirección de Mejoramiento de Vivienda que solicitan y/o requieren adelantar trámite de licencia de construcción y/o actos de reconocimiento, en cuanto al diseño estructural, calculo memorias y planos estructurales requeridos por la normatividad vigente de las curadurías urbanas; así como soporte a las actividades que se desarrollan dentro del marco de los proyectos de Mejoramiento Integral de la DMV de la CVP</v>
          </cell>
          <cell r="R536">
            <v>25500000</v>
          </cell>
          <cell r="S536">
            <v>25500000</v>
          </cell>
          <cell r="T536">
            <v>0</v>
          </cell>
          <cell r="U536">
            <v>0</v>
          </cell>
          <cell r="V536">
            <v>0</v>
          </cell>
        </row>
        <row r="537">
          <cell r="J537">
            <v>650</v>
          </cell>
          <cell r="K537">
            <v>43133</v>
          </cell>
          <cell r="L537" t="str">
            <v>GIOVANNI  QUIROGA BERMUDEZ</v>
          </cell>
          <cell r="M537">
            <v>145</v>
          </cell>
          <cell r="N537" t="str">
            <v>CONTRATO DE PRESTACION DE SERVICIOS PROFESIONALES</v>
          </cell>
          <cell r="O537">
            <v>348</v>
          </cell>
          <cell r="P537">
            <v>43133</v>
          </cell>
          <cell r="Q537" t="str">
            <v>ADICIÓN Y PRÓRROGA AL CONTRATO 348 DE 2017 CUYO OBJETO ES: "PRESTACIÓN DE SERVICIOS PROFESIONALES, PARA APOYAR EL PROCESO DE ASISTENCIA TÉCNICA A LAS FAMILIAS INSCRITAS EN LA DIRECCIÓN DE MEJORAMIENTO DE VIVIENDA QUE SOLICITAN Y/O REQUIEREN ADELANTAR TRÁMITE DE LICENCIA DE CONSTRUCCIÓN Y/O ACTOS DE RECONOCIMIENTO, EN CUANTO AL DISEÑO ESTRUCTURAL, CALCULO MEMORIAS Y PLANOS ESTRUCTURALES REQUERIDOS POR LA NORMATIVIDAD VIGENTE DE LAS CURADURÍAS URBANAS; ASÍ COMO SOPORTE A LAS ACTIVIDADES QUE SE DESARROLLAN DENTRO DEL MARCO DE LOS PROYECTOS DE MEJORAMIENTO INTEGRAL DE LA DMV DE LA CVP</v>
          </cell>
          <cell r="R537">
            <v>25500000</v>
          </cell>
          <cell r="S537">
            <v>0</v>
          </cell>
          <cell r="T537">
            <v>0</v>
          </cell>
          <cell r="U537">
            <v>25500000</v>
          </cell>
          <cell r="V537">
            <v>25500000</v>
          </cell>
        </row>
        <row r="538">
          <cell r="J538">
            <v>723</v>
          </cell>
          <cell r="K538">
            <v>43136</v>
          </cell>
          <cell r="L538" t="str">
            <v>POSITIVA COMPAÑIA DE SEGUROS SA</v>
          </cell>
          <cell r="M538">
            <v>30</v>
          </cell>
          <cell r="N538" t="str">
            <v>ORDEN DE PRESTACION DE SERVICIOS</v>
          </cell>
          <cell r="O538">
            <v>2</v>
          </cell>
          <cell r="P538">
            <v>43136</v>
          </cell>
          <cell r="Q538" t="str">
            <v>PAGO DE COTIZACIÓN AL SISTEMA GENERAL DE RIESGOS LABORALES DE LAS PERSONAS VINCULADAS A TRAVÉS DE UN CONTRATO DE PRESTACIÓN DE SERVICIOS CON LA CAJA DE LA VIVIENDA POPULAR QUE LABORAN EN ACTIVIDADES DE ALTO RIESGO, SEGÚN LO DISPUESTO EN EL ARTÍCULO 13 DEL DECRETO 723 DE 2013. MES DE FEBRERO 2018</v>
          </cell>
          <cell r="R538">
            <v>297900</v>
          </cell>
          <cell r="S538">
            <v>0</v>
          </cell>
          <cell r="T538">
            <v>0</v>
          </cell>
          <cell r="U538">
            <v>297900</v>
          </cell>
          <cell r="V538">
            <v>297900</v>
          </cell>
        </row>
        <row r="539">
          <cell r="J539">
            <v>1540</v>
          </cell>
          <cell r="K539">
            <v>43165</v>
          </cell>
          <cell r="L539" t="str">
            <v>POSITIVA COMPAÑIA DE SEGUROS SA</v>
          </cell>
          <cell r="M539">
            <v>30</v>
          </cell>
          <cell r="N539" t="str">
            <v>ORDEN DE PRESTACION DE SERVICIOS</v>
          </cell>
          <cell r="O539">
            <v>3</v>
          </cell>
          <cell r="P539">
            <v>43165</v>
          </cell>
          <cell r="Q539" t="str">
            <v>PAGO DE COTIZACIÓN AL SISTEMA GENERAL DE RIESGOS LABORALES DE LAS PERSONAS VINCULADAS A TRAVÉS DE UN CONTRATO DE PRESTACIÓN DE SERVICIOS CON LA CAJA DE LA VIVIENDA POPULAR QUE LABORAN EN ACTIVIDADES DE ALTO RIESGO, SEGÚN LO DISPUESTO EN EL ARTÍCULO 13 DEL DECRETO 723 DE 2013. MES DE MARZO DE 2018</v>
          </cell>
          <cell r="R539">
            <v>929100</v>
          </cell>
          <cell r="S539">
            <v>0</v>
          </cell>
          <cell r="T539">
            <v>0</v>
          </cell>
          <cell r="U539">
            <v>929100</v>
          </cell>
          <cell r="V539">
            <v>929100</v>
          </cell>
        </row>
        <row r="540">
          <cell r="J540">
            <v>1666</v>
          </cell>
          <cell r="K540">
            <v>43194</v>
          </cell>
          <cell r="L540" t="str">
            <v>POSITIVA COMPAÑIA DE SEGUROS SA</v>
          </cell>
          <cell r="M540">
            <v>30</v>
          </cell>
          <cell r="N540" t="str">
            <v>ORDEN DE PRESTACION DE SERVICIOS</v>
          </cell>
          <cell r="O540">
            <v>4</v>
          </cell>
          <cell r="P540">
            <v>43194</v>
          </cell>
          <cell r="Q540" t="str">
            <v>PAGO DE COTIZACIÓN AL SISTEMA GENERAL DE RIESGOS LABORALES DE LAS PERSONAS VINCULADAS A TRAVÉS DE UN CONTRATO DE PRESTACIÓN DE SERVICIOS CON LA CAJA DE LA VIVIENDA POPULAR QUE LABORAN EN ACTIVIDADES DE ALTO RIESGO, SEGÚN LO DISPUESTO EN EL ARTÍCULO 13 DEL DECRETO 723 DE 2013-  MES DE ABRIL DE 2018</v>
          </cell>
          <cell r="R540">
            <v>929100</v>
          </cell>
          <cell r="S540">
            <v>0</v>
          </cell>
          <cell r="T540">
            <v>0</v>
          </cell>
          <cell r="U540">
            <v>929100</v>
          </cell>
          <cell r="V540">
            <v>929100</v>
          </cell>
        </row>
        <row r="541">
          <cell r="J541">
            <v>1776</v>
          </cell>
          <cell r="K541">
            <v>43202</v>
          </cell>
          <cell r="L541" t="str">
            <v>MARITZA  FONTECHA OTALORA</v>
          </cell>
          <cell r="M541">
            <v>148</v>
          </cell>
          <cell r="N541" t="str">
            <v>CONTRATO DE PRESTACION DE SERVICIOS DE APOYO A LA GESTION</v>
          </cell>
          <cell r="O541">
            <v>145</v>
          </cell>
          <cell r="P541">
            <v>43202</v>
          </cell>
          <cell r="Q541" t="str">
            <v>Adición y Prórroga al contrato 145, cuyo objeto es: "Prestar servicios asistenciales en la Gestión Documental, captura de datos, inventario y manejo de archivo físico, en cumplimiento de los procedimientos de la Dirección de Mejoramiento de Vivienda de la CVP".</v>
          </cell>
          <cell r="R541">
            <v>3000000</v>
          </cell>
          <cell r="S541">
            <v>0</v>
          </cell>
          <cell r="T541">
            <v>0</v>
          </cell>
          <cell r="U541">
            <v>3000000</v>
          </cell>
          <cell r="V541">
            <v>3000000</v>
          </cell>
        </row>
        <row r="542">
          <cell r="J542">
            <v>1856</v>
          </cell>
          <cell r="K542">
            <v>43224</v>
          </cell>
          <cell r="L542" t="str">
            <v>POSITIVA COMPAÑIA DE SEGUROS SA</v>
          </cell>
          <cell r="M542">
            <v>30</v>
          </cell>
          <cell r="N542" t="str">
            <v>ORDEN DE PRESTACION DE SERVICIOS</v>
          </cell>
          <cell r="O542">
            <v>5</v>
          </cell>
          <cell r="P542">
            <v>43224</v>
          </cell>
          <cell r="Q542" t="str">
            <v>Pago de cotización al Sistema General de Riesgos Laborales de las personas vinculadas a través de un contrato de prestación de servicios con la Caja de la Vivienda Popular que laboran en actividades de alto riesgo, según lo dispuesto en el Artículo 13 del Decreto 723 de 2013.</v>
          </cell>
          <cell r="R542">
            <v>929100</v>
          </cell>
          <cell r="S542">
            <v>0</v>
          </cell>
          <cell r="T542">
            <v>0</v>
          </cell>
          <cell r="U542">
            <v>929100</v>
          </cell>
          <cell r="V542">
            <v>929100</v>
          </cell>
        </row>
        <row r="543">
          <cell r="J543">
            <v>1990</v>
          </cell>
          <cell r="K543">
            <v>43252</v>
          </cell>
          <cell r="L543" t="str">
            <v>MONICA IVONNE ALBA CHAPARRO</v>
          </cell>
          <cell r="M543">
            <v>145</v>
          </cell>
          <cell r="N543" t="str">
            <v>CONTRATO DE PRESTACION DE SERVICIOS PROFESIONALES</v>
          </cell>
          <cell r="O543">
            <v>654</v>
          </cell>
          <cell r="P543">
            <v>43221</v>
          </cell>
          <cell r="Q543" t="str">
            <v>ADICIÓN Y PRÓRROGA AL CONTRATO 654 DE 2017, CUYO OBJETO ES: PRESTAR LOS SERVICIOS PROFESIONALES PARA APOYAR DESDE EL COMPONENTE DE SISTEMATIZACIÓN,  LA EJECUCIÓN DE ACTIVIDADES ASOCIADAS A LA ESTRUCTURACIÓN DE PROYECTOS DEL SUBSIDIO DISTRITAL PARA EL MEJORAMIENTO DE VIVIENDA.</v>
          </cell>
          <cell r="R543">
            <v>5175000</v>
          </cell>
          <cell r="S543">
            <v>0</v>
          </cell>
          <cell r="T543">
            <v>0</v>
          </cell>
          <cell r="U543">
            <v>5175000</v>
          </cell>
          <cell r="V543">
            <v>5175000</v>
          </cell>
        </row>
        <row r="544">
          <cell r="J544">
            <v>1994</v>
          </cell>
          <cell r="K544">
            <v>43256</v>
          </cell>
          <cell r="L544" t="str">
            <v>MARCO FERNANDO NUÑEZ JIMENEZ</v>
          </cell>
          <cell r="M544">
            <v>148</v>
          </cell>
          <cell r="N544" t="str">
            <v>CONTRATO DE PRESTACION DE SERVICIOS DE APOYO A LA GESTION</v>
          </cell>
          <cell r="O544">
            <v>667</v>
          </cell>
          <cell r="P544">
            <v>43256</v>
          </cell>
          <cell r="Q544" t="str">
            <v>Adición y Prórroga al contrato 667 de 2017, cuyo objeto es: ¿Prestar los servicios para apoyar en el manejo documental,  la ejecución de actividades asociadas a la estructuración de proyectos del subsidio distrital para el mejoramiento de vivienda¿</v>
          </cell>
          <cell r="R544">
            <v>2550000</v>
          </cell>
          <cell r="S544">
            <v>0</v>
          </cell>
          <cell r="T544">
            <v>0</v>
          </cell>
          <cell r="U544">
            <v>2550000</v>
          </cell>
          <cell r="V544">
            <v>2550000</v>
          </cell>
        </row>
        <row r="545">
          <cell r="J545">
            <v>1995</v>
          </cell>
          <cell r="K545">
            <v>43256</v>
          </cell>
          <cell r="L545" t="str">
            <v>LUIS ORLANDO TORRES ROMERO</v>
          </cell>
          <cell r="M545">
            <v>148</v>
          </cell>
          <cell r="N545" t="str">
            <v>CONTRATO DE PRESTACION DE SERVICIOS DE APOYO A LA GESTION</v>
          </cell>
          <cell r="O545">
            <v>653</v>
          </cell>
          <cell r="P545">
            <v>43256</v>
          </cell>
          <cell r="Q545" t="str">
            <v>Adición y Prórroga al contrato 653 de 2017 cuyo objeto es: ¿Prestar los servicios para apoyar en el manejo documental,  la ejecución de actividades asociadas a la estructuración de proyectos del subsidio distrital para el mejoramiento de vivienda¿</v>
          </cell>
          <cell r="R545">
            <v>2550000</v>
          </cell>
          <cell r="S545">
            <v>0</v>
          </cell>
          <cell r="T545">
            <v>0</v>
          </cell>
          <cell r="U545">
            <v>2550000</v>
          </cell>
          <cell r="V545">
            <v>2550000</v>
          </cell>
        </row>
        <row r="546">
          <cell r="J546">
            <v>2005</v>
          </cell>
          <cell r="K546">
            <v>43257</v>
          </cell>
          <cell r="L546" t="str">
            <v>POSITIVA COMPAÑIA DE SEGUROS SA</v>
          </cell>
          <cell r="M546">
            <v>30</v>
          </cell>
          <cell r="N546" t="str">
            <v>ORDEN DE PRESTACION DE SERVICIOS</v>
          </cell>
          <cell r="O546">
            <v>6</v>
          </cell>
          <cell r="P546">
            <v>43257</v>
          </cell>
          <cell r="Q546" t="str">
            <v>PAGO DE COTIZACIÓN AL SISTEMA GENERAL DE RIESGOS LABORALES DE LAS PERSONAS VINCULADAS A TRAVÉS DE UN CONTRATO DE PRESTACIÓN DE SERVICIOS CON LA CAJA DE LA VIVIENDA POPULAR QUE LABORAN EN ACTIVIDADES DE ALTO RIESGO, SEGÚN LO DISPUESTO EN EL ARTÍCULO 13 DEL DECRETO 723 DE 2013. MES JUNIO DE 2018</v>
          </cell>
          <cell r="R546">
            <v>929100</v>
          </cell>
          <cell r="S546">
            <v>0</v>
          </cell>
          <cell r="T546">
            <v>0</v>
          </cell>
          <cell r="U546">
            <v>929100</v>
          </cell>
          <cell r="V546">
            <v>929100</v>
          </cell>
        </row>
        <row r="547">
          <cell r="J547">
            <v>2426</v>
          </cell>
          <cell r="K547">
            <v>43285</v>
          </cell>
          <cell r="L547" t="str">
            <v>POSITIVA COMPAÑIA DE SEGUROS SA</v>
          </cell>
          <cell r="M547">
            <v>30</v>
          </cell>
          <cell r="N547" t="str">
            <v>ORDEN DE PRESTACION DE SERVICIOS</v>
          </cell>
          <cell r="O547">
            <v>7</v>
          </cell>
          <cell r="P547">
            <v>43285</v>
          </cell>
          <cell r="Q547" t="str">
            <v>PAGO DE COTIZACIÓN AL SISTEMA GENERAL DE RIESGOS LABORALES DE LAS PERSONAS VINCULADAS A TRAVÉS DE UN CONTRATO DE PRESTACIÓN DE SERVICIOS CON LA CAJA DE LA VIVIENDA POPULAR QUE LABORAN EN ACTIVIDADES DE ALTO RIESGO, SEGÚN LO DISPUESTO EN EL ARTÍCULO 13 DEL DECRETO 723 DE 2013.  CORRESPONDIENTE AL MES DE JULIO.</v>
          </cell>
          <cell r="R547">
            <v>929100</v>
          </cell>
          <cell r="S547">
            <v>0</v>
          </cell>
          <cell r="T547">
            <v>0</v>
          </cell>
          <cell r="U547">
            <v>929100</v>
          </cell>
          <cell r="V547">
            <v>929100</v>
          </cell>
        </row>
        <row r="548">
          <cell r="J548">
            <v>2512</v>
          </cell>
          <cell r="K548">
            <v>43300</v>
          </cell>
          <cell r="L548" t="str">
            <v>VIVIANA  RODRIGUEZ MELO</v>
          </cell>
          <cell r="M548">
            <v>148</v>
          </cell>
          <cell r="N548" t="str">
            <v>CONTRATO DE PRESTACION DE SERVICIOS DE APOYO A LA GESTION</v>
          </cell>
          <cell r="O548">
            <v>449</v>
          </cell>
          <cell r="P548">
            <v>43300</v>
          </cell>
          <cell r="Q548" t="str">
            <v>Prestar servicios asistenciales en la Gestión Documental, captura de datos, inventario y manejo de archivo físico, en cumplimiento de los procedimientos de la Dirección de Mejoramiento de Vivienda de la CVP.</v>
          </cell>
          <cell r="R548">
            <v>7725000</v>
          </cell>
          <cell r="S548">
            <v>0</v>
          </cell>
          <cell r="T548">
            <v>0</v>
          </cell>
          <cell r="U548">
            <v>7725000</v>
          </cell>
          <cell r="V548">
            <v>618000</v>
          </cell>
        </row>
        <row r="549">
          <cell r="J549">
            <v>2519</v>
          </cell>
          <cell r="K549">
            <v>43304</v>
          </cell>
          <cell r="L549" t="str">
            <v>DIEGO HERNAN CALDERON URREGO</v>
          </cell>
          <cell r="M549">
            <v>145</v>
          </cell>
          <cell r="N549" t="str">
            <v>CONTRATO DE PRESTACION DE SERVICIOS PROFESIONALES</v>
          </cell>
          <cell r="O549">
            <v>451</v>
          </cell>
          <cell r="P549">
            <v>43304</v>
          </cell>
          <cell r="Q549" t="str">
            <v>Prestar los servicios profesionales para apoyar desde el componente social,  la ejecución de actividades asociadas a la estructuración de proyectos del subsidio distrital para el mejoramiento de vivienda.</v>
          </cell>
          <cell r="R549">
            <v>19261000</v>
          </cell>
          <cell r="S549">
            <v>0</v>
          </cell>
          <cell r="T549">
            <v>0</v>
          </cell>
          <cell r="U549">
            <v>19261000</v>
          </cell>
          <cell r="V549">
            <v>793100</v>
          </cell>
        </row>
        <row r="550">
          <cell r="J550">
            <v>2533</v>
          </cell>
          <cell r="K550">
            <v>43305</v>
          </cell>
          <cell r="L550" t="str">
            <v>MARIA CAMILA SANCHEZ SAMPER</v>
          </cell>
          <cell r="M550">
            <v>145</v>
          </cell>
          <cell r="N550" t="str">
            <v>CONTRATO DE PRESTACION DE SERVICIOS PROFESIONALES</v>
          </cell>
          <cell r="O550">
            <v>457</v>
          </cell>
          <cell r="P550">
            <v>43308</v>
          </cell>
          <cell r="Q550" t="str">
            <v>Prestar los servicios profesionales para apoyar la gestión de campo con componente técnico, para la ejecución de actividades  durante la ejecución de todo el proceso de estructuración de proyectos que optan por el subsidio distrital de vivienda en especie.</v>
          </cell>
          <cell r="R550">
            <v>17767500</v>
          </cell>
          <cell r="S550">
            <v>0</v>
          </cell>
          <cell r="T550">
            <v>0</v>
          </cell>
          <cell r="U550">
            <v>17767500</v>
          </cell>
          <cell r="V550">
            <v>710700</v>
          </cell>
        </row>
        <row r="551">
          <cell r="J551">
            <v>2535</v>
          </cell>
          <cell r="K551">
            <v>43305</v>
          </cell>
          <cell r="L551" t="str">
            <v>DIEGO FERNANDO CALDAS TRIANA</v>
          </cell>
          <cell r="M551">
            <v>148</v>
          </cell>
          <cell r="N551" t="str">
            <v>CONTRATO DE PRESTACION DE SERVICIOS DE APOYO A LA GESTION</v>
          </cell>
          <cell r="O551">
            <v>458</v>
          </cell>
          <cell r="P551">
            <v>43305</v>
          </cell>
          <cell r="Q551" t="str">
            <v>PRESTAR LOS SERVICIOS PARA APOYAR DESDE EL COMPONENTE DE SISTEMATIZACIÓN,  LA EJECUCIÓN DE ACTIVIDADES ASOCIADAS A LA ESTRUCTURACIÓN DE PROYECTOS DEL SUBSIDIO DISTRITAL PARA EL MEJORAMIENTO DE VIVIENDA.</v>
          </cell>
          <cell r="R551">
            <v>12360000</v>
          </cell>
          <cell r="S551">
            <v>0</v>
          </cell>
          <cell r="T551">
            <v>0</v>
          </cell>
          <cell r="U551">
            <v>12360000</v>
          </cell>
          <cell r="V551">
            <v>412000</v>
          </cell>
        </row>
        <row r="552">
          <cell r="J552">
            <v>2536</v>
          </cell>
          <cell r="K552">
            <v>43305</v>
          </cell>
          <cell r="L552" t="str">
            <v>DAVID  ARREAZA MORENO</v>
          </cell>
          <cell r="M552">
            <v>145</v>
          </cell>
          <cell r="N552" t="str">
            <v>CONTRATO DE PRESTACION DE SERVICIOS PROFESIONALES</v>
          </cell>
          <cell r="O552">
            <v>459</v>
          </cell>
          <cell r="P552">
            <v>43305</v>
          </cell>
          <cell r="Q552" t="str">
            <v>Prestar los servicios profesionales para apoyar desde el componente social,  la ejecución de actividades asociadas a la estructuración de proyectos del subsidio distrital para el mejoramiento de vivienda.</v>
          </cell>
          <cell r="R552">
            <v>20600000</v>
          </cell>
          <cell r="S552">
            <v>0</v>
          </cell>
          <cell r="T552">
            <v>0</v>
          </cell>
          <cell r="U552">
            <v>20600000</v>
          </cell>
          <cell r="V552">
            <v>824000</v>
          </cell>
        </row>
        <row r="553">
          <cell r="J553">
            <v>2537</v>
          </cell>
          <cell r="K553">
            <v>43305</v>
          </cell>
          <cell r="L553" t="str">
            <v>DIANA MARCELA GALVEZ SUAREZ</v>
          </cell>
          <cell r="M553">
            <v>145</v>
          </cell>
          <cell r="N553" t="str">
            <v>CONTRATO DE PRESTACION DE SERVICIOS PROFESIONALES</v>
          </cell>
          <cell r="O553">
            <v>453</v>
          </cell>
          <cell r="P553">
            <v>43305</v>
          </cell>
          <cell r="Q553" t="str">
            <v>Prestar los servicios profesionales para apoyar desde el componente jurídico, la ejecución de actividades asociadas a la estructuración de proyectos del subsidio distrital para el mejoramiento de vivienda.</v>
          </cell>
          <cell r="R553">
            <v>26265000</v>
          </cell>
          <cell r="S553">
            <v>0</v>
          </cell>
          <cell r="T553">
            <v>0</v>
          </cell>
          <cell r="U553">
            <v>26265000</v>
          </cell>
          <cell r="V553">
            <v>1050600</v>
          </cell>
        </row>
        <row r="554">
          <cell r="J554">
            <v>2538</v>
          </cell>
          <cell r="K554">
            <v>43305</v>
          </cell>
          <cell r="L554" t="str">
            <v>LINA MARIA SAZIPA MORENO</v>
          </cell>
          <cell r="M554">
            <v>145</v>
          </cell>
          <cell r="N554" t="str">
            <v>CONTRATO DE PRESTACION DE SERVICIOS PROFESIONALES</v>
          </cell>
          <cell r="O554">
            <v>454</v>
          </cell>
          <cell r="P554">
            <v>43305</v>
          </cell>
          <cell r="Q554" t="str">
            <v>Prestar los servicios profesionales para apoyar la gestión de campo con componente técnico, para la ejecución de actividades  durante la ejecución de todo el proceso de estructuración de proyectos que optan por el subsidio distrital de vivienda en especie.</v>
          </cell>
          <cell r="R554">
            <v>16995000</v>
          </cell>
          <cell r="S554">
            <v>0</v>
          </cell>
          <cell r="T554">
            <v>0</v>
          </cell>
          <cell r="U554">
            <v>16995000</v>
          </cell>
          <cell r="V554">
            <v>793100</v>
          </cell>
        </row>
        <row r="555">
          <cell r="J555">
            <v>2539</v>
          </cell>
          <cell r="K555">
            <v>43305</v>
          </cell>
          <cell r="L555" t="str">
            <v>NINI JOHANNA HERNANDEZ GALINDO</v>
          </cell>
          <cell r="M555">
            <v>148</v>
          </cell>
          <cell r="N555" t="str">
            <v>CONTRATO DE PRESTACION DE SERVICIOS DE APOYO A LA GESTION</v>
          </cell>
          <cell r="O555">
            <v>456</v>
          </cell>
          <cell r="P555">
            <v>43305</v>
          </cell>
          <cell r="Q555" t="str">
            <v xml:space="preserve">Prestar los servicios para apoyar en el manejo documental,  la ejecución de actividades asociadas a la estructuración de proyectos del subsidio distrital para el mejoramiento de vivienda. </v>
          </cell>
          <cell r="R555">
            <v>8755000</v>
          </cell>
          <cell r="S555">
            <v>0</v>
          </cell>
          <cell r="T555">
            <v>0</v>
          </cell>
          <cell r="U555">
            <v>8755000</v>
          </cell>
          <cell r="V555">
            <v>350200</v>
          </cell>
        </row>
        <row r="556">
          <cell r="J556">
            <v>2542</v>
          </cell>
          <cell r="K556">
            <v>43305</v>
          </cell>
          <cell r="L556" t="str">
            <v>JAIME ANDRES SAAVEDRA PRIETO</v>
          </cell>
          <cell r="M556">
            <v>145</v>
          </cell>
          <cell r="N556" t="str">
            <v>CONTRATO DE PRESTACION DE SERVICIOS PROFESIONALES</v>
          </cell>
          <cell r="O556">
            <v>450</v>
          </cell>
          <cell r="P556">
            <v>43305</v>
          </cell>
          <cell r="Q556" t="str">
            <v>Prestar los servicios profesionales para apoyar desde el componente social,  la ejecución de actividades asociadas a la estructuración de proyectos del subsidio distrital para el mejoramiento de vivienda.</v>
          </cell>
          <cell r="R556">
            <v>16955000</v>
          </cell>
          <cell r="S556">
            <v>73300</v>
          </cell>
          <cell r="T556">
            <v>0</v>
          </cell>
          <cell r="U556">
            <v>16881700</v>
          </cell>
          <cell r="V556">
            <v>113300</v>
          </cell>
        </row>
        <row r="557">
          <cell r="J557">
            <v>2544</v>
          </cell>
          <cell r="K557">
            <v>43307</v>
          </cell>
          <cell r="L557" t="str">
            <v>GIORDY HERNEY CADENA MORENO</v>
          </cell>
          <cell r="M557">
            <v>148</v>
          </cell>
          <cell r="N557" t="str">
            <v>CONTRATO DE PRESTACION DE SERVICIOS DE APOYO A LA GESTION</v>
          </cell>
          <cell r="O557">
            <v>461</v>
          </cell>
          <cell r="P557">
            <v>43307</v>
          </cell>
          <cell r="Q557" t="str">
            <v>PRESTAR LOS SERVICIOS PARA APOYAR DESDE EL COMPONENTE DE SISTEMATIZACIÓN,  LA EJECUCIÓN DE ACTIVIDADES ASOCIADAS A LA ESTRUCTURACIÓN DE PROYECTOS DEL SUBSIDIO DISTRITAL PARA EL MEJORAMIENTO DE VIVIENDA.</v>
          </cell>
          <cell r="R557">
            <v>12360000</v>
          </cell>
          <cell r="S557">
            <v>0</v>
          </cell>
          <cell r="T557">
            <v>0</v>
          </cell>
          <cell r="U557">
            <v>12360000</v>
          </cell>
          <cell r="V557">
            <v>412000</v>
          </cell>
        </row>
        <row r="558">
          <cell r="J558">
            <v>2545</v>
          </cell>
          <cell r="K558">
            <v>43308</v>
          </cell>
          <cell r="L558" t="str">
            <v>MARIA ALEJANDRA SIERRA CALDERON</v>
          </cell>
          <cell r="M558">
            <v>145</v>
          </cell>
          <cell r="N558" t="str">
            <v>CONTRATO DE PRESTACION DE SERVICIOS PROFESIONALES</v>
          </cell>
          <cell r="O558">
            <v>464</v>
          </cell>
          <cell r="P558">
            <v>43308</v>
          </cell>
          <cell r="Q558" t="str">
            <v>Prestar los servicios profesionales para apoyar la gestión de campo con componente técnico, para la ejecución de actividades  durante la ejecución de todo el proceso de estructuración de proyectos que optan por el subsidio distrital de vivienda en especie.</v>
          </cell>
          <cell r="R558">
            <v>16995000</v>
          </cell>
          <cell r="S558">
            <v>0</v>
          </cell>
          <cell r="T558">
            <v>0</v>
          </cell>
          <cell r="U558">
            <v>16995000</v>
          </cell>
          <cell r="V558">
            <v>0</v>
          </cell>
        </row>
        <row r="559">
          <cell r="J559">
            <v>2547</v>
          </cell>
          <cell r="K559">
            <v>43308</v>
          </cell>
          <cell r="L559" t="str">
            <v>GINA ROCIO QUITIAN LEGUIZAMO</v>
          </cell>
          <cell r="M559">
            <v>148</v>
          </cell>
          <cell r="N559" t="str">
            <v>CONTRATO DE PRESTACION DE SERVICIOS DE APOYO A LA GESTION</v>
          </cell>
          <cell r="O559">
            <v>470</v>
          </cell>
          <cell r="P559">
            <v>43308</v>
          </cell>
          <cell r="Q559" t="str">
            <v>Prestar los servicios para apoyar desde el componente de sistematización,  la ejecución de actividades asociadas a la estructuración de proyectos del subsidio distrital para el mejoramiento de vivienda.</v>
          </cell>
          <cell r="R559">
            <v>12360000</v>
          </cell>
          <cell r="S559">
            <v>0</v>
          </cell>
          <cell r="T559">
            <v>0</v>
          </cell>
          <cell r="U559">
            <v>12360000</v>
          </cell>
          <cell r="V559">
            <v>82400</v>
          </cell>
        </row>
        <row r="560">
          <cell r="J560">
            <v>2563</v>
          </cell>
          <cell r="K560">
            <v>43313</v>
          </cell>
          <cell r="L560" t="str">
            <v>POSITIVA COMPAÑIA DE SEGUROS SA</v>
          </cell>
          <cell r="M560">
            <v>30</v>
          </cell>
          <cell r="N560" t="str">
            <v>ORDEN DE PRESTACION DE SERVICIOS</v>
          </cell>
          <cell r="O560">
            <v>8</v>
          </cell>
          <cell r="P560">
            <v>43313</v>
          </cell>
          <cell r="Q560" t="str">
            <v>PAGO DE COTIZACIÓN AL SISTEMA GENERAL DE RIESGOS LABORALES DE LAS PERSONAS VINCULADAS A TRAVÉS DE UN CONTRATO DE PRESTACIÓN DE SERVICIOS CON LA CAJA DE LA VIVIENDA POPULAR QUE LABORAN EN ACTIVIDADES DE ALTO RIESGO, SEGÚN LO DISPUESTO EN EL ARTÍCULO 13 DEL DECRETO 723 DE 2013. MES DE AGOSTO DE 2018</v>
          </cell>
          <cell r="R560">
            <v>577900</v>
          </cell>
          <cell r="S560">
            <v>0</v>
          </cell>
          <cell r="T560">
            <v>0</v>
          </cell>
          <cell r="U560">
            <v>577900</v>
          </cell>
          <cell r="V560">
            <v>577900</v>
          </cell>
        </row>
        <row r="561">
          <cell r="J561">
            <v>2564</v>
          </cell>
          <cell r="K561">
            <v>43314</v>
          </cell>
          <cell r="L561" t="str">
            <v>HECTOR HERNANDO GARCIA BERNAL</v>
          </cell>
          <cell r="M561">
            <v>145</v>
          </cell>
          <cell r="N561" t="str">
            <v>CONTRATO DE PRESTACION DE SERVICIOS PROFESIONALES</v>
          </cell>
          <cell r="O561">
            <v>473</v>
          </cell>
          <cell r="P561">
            <v>43314</v>
          </cell>
          <cell r="Q561" t="str">
            <v>Prestar los servicios profesionales para poyar la gestión de campo con componente técnico, para la ejecución de actividades durante la ejecución de todo el proceso de estructuración de proyectos que optan por el subsidio distrital de vivienda en especie.</v>
          </cell>
          <cell r="R561">
            <v>17767500</v>
          </cell>
          <cell r="S561">
            <v>0</v>
          </cell>
          <cell r="T561">
            <v>0</v>
          </cell>
          <cell r="U561">
            <v>17767500</v>
          </cell>
          <cell r="V561">
            <v>0</v>
          </cell>
        </row>
        <row r="562">
          <cell r="J562">
            <v>2588</v>
          </cell>
          <cell r="K562">
            <v>43315</v>
          </cell>
          <cell r="L562" t="str">
            <v>MONICA LIZETTE CALDERON URREGO</v>
          </cell>
          <cell r="M562">
            <v>145</v>
          </cell>
          <cell r="N562" t="str">
            <v>CONTRATO DE PRESTACION DE SERVICIOS PROFESIONALES</v>
          </cell>
          <cell r="O562">
            <v>479</v>
          </cell>
          <cell r="P562">
            <v>43315</v>
          </cell>
          <cell r="Q562" t="str">
            <v>Prestar los servicios para apoyar desde el componente de sistematización, la ejecución de actividades asociadas a la estructuración de proyectos del subsidio distrital para el mejoramiento de vivienda</v>
          </cell>
          <cell r="R562">
            <v>22660000</v>
          </cell>
          <cell r="S562">
            <v>0</v>
          </cell>
          <cell r="T562">
            <v>0</v>
          </cell>
          <cell r="U562">
            <v>22660000</v>
          </cell>
          <cell r="V562">
            <v>0</v>
          </cell>
        </row>
        <row r="563">
          <cell r="J563">
            <v>2591</v>
          </cell>
          <cell r="K563">
            <v>43315</v>
          </cell>
          <cell r="L563" t="str">
            <v>OSCAR JAVIER ZUÑIGA GOMEZ</v>
          </cell>
          <cell r="M563">
            <v>145</v>
          </cell>
          <cell r="N563" t="str">
            <v>CONTRATO DE PRESTACION DE SERVICIOS PROFESIONALES</v>
          </cell>
          <cell r="O563">
            <v>481</v>
          </cell>
          <cell r="P563">
            <v>43315</v>
          </cell>
          <cell r="Q563" t="str">
            <v>restar los servicios profesionales para apoyar y acompañar en el proceso de Supervisión de Interventoría de Obras de la Dirección de Mejoramiento de Vivienda, además de prestar asesoría en la asistencia técnica, para la obtención de actos de reconocimiento o licencias de construcción ante las curadurías urbanas.</v>
          </cell>
          <cell r="R563">
            <v>49000000</v>
          </cell>
          <cell r="S563">
            <v>0</v>
          </cell>
          <cell r="T563">
            <v>0</v>
          </cell>
          <cell r="U563">
            <v>49000000</v>
          </cell>
          <cell r="V563">
            <v>0</v>
          </cell>
        </row>
        <row r="564">
          <cell r="J564">
            <v>2592</v>
          </cell>
          <cell r="K564">
            <v>43315</v>
          </cell>
          <cell r="L564" t="str">
            <v>NICOLAS  ROSERO PERALTA</v>
          </cell>
          <cell r="M564">
            <v>145</v>
          </cell>
          <cell r="N564" t="str">
            <v>CONTRATO DE PRESTACION DE SERVICIOS PROFESIONALES</v>
          </cell>
          <cell r="O564">
            <v>475</v>
          </cell>
          <cell r="P564">
            <v>43315</v>
          </cell>
          <cell r="Q564" t="str">
            <v>Prestar los servicios profesionales para apoyar y gestionar los procedimientos técnicos y de información de la Dirección de Mejoramiento de Vivienda en el desarrollo de la estructuración de los proyectos para asignación de Subsidios de Vivienda en Especie.</v>
          </cell>
          <cell r="R564">
            <v>25183500</v>
          </cell>
          <cell r="S564">
            <v>0</v>
          </cell>
          <cell r="T564">
            <v>0</v>
          </cell>
          <cell r="U564">
            <v>25183500</v>
          </cell>
          <cell r="V564">
            <v>0</v>
          </cell>
        </row>
        <row r="565">
          <cell r="J565">
            <v>2596</v>
          </cell>
          <cell r="K565">
            <v>43315</v>
          </cell>
          <cell r="L565" t="str">
            <v>SANDRA PATRICIA SALGUERO CELIS</v>
          </cell>
          <cell r="M565">
            <v>145</v>
          </cell>
          <cell r="N565" t="str">
            <v>CONTRATO DE PRESTACION DE SERVICIOS PROFESIONALES</v>
          </cell>
          <cell r="O565">
            <v>478</v>
          </cell>
          <cell r="P565">
            <v>43315</v>
          </cell>
          <cell r="Q565" t="str">
            <v>Prestación de servicios profesionales en el área social, para apoyar el proceso de asistencia técnica a las familias inscritas en la Dirección de Mejoramiento de Vivienda que solicitan y/o requieren adelantar trámite de licencia de construcción y/o actos de reconocimiento, así como soporte a las actividades que se desarrollan dentro del marco de los proyectos de Mejoramiento Integral de la DMV de la CVP.</v>
          </cell>
          <cell r="R565">
            <v>33475000</v>
          </cell>
          <cell r="S565">
            <v>0</v>
          </cell>
          <cell r="T565">
            <v>0</v>
          </cell>
          <cell r="U565">
            <v>33475000</v>
          </cell>
          <cell r="V565">
            <v>0</v>
          </cell>
        </row>
        <row r="566">
          <cell r="J566">
            <v>2624</v>
          </cell>
          <cell r="K566">
            <v>43325</v>
          </cell>
          <cell r="L566" t="str">
            <v>NINI JOJANA ALDANA ROJAS</v>
          </cell>
          <cell r="M566">
            <v>148</v>
          </cell>
          <cell r="N566" t="str">
            <v>CONTRATO DE PRESTACION DE SERVICIOS DE APOYO A LA GESTION</v>
          </cell>
          <cell r="O566">
            <v>480</v>
          </cell>
          <cell r="P566">
            <v>43325</v>
          </cell>
          <cell r="Q566" t="str">
            <v>PRESTAR SERVICIOS ASISTENCIALES EN LA GESTIÓN DOCUMENTAL, CAPTURA DE DATOS, INVENTARIO Y MANEJO DE ARCHIVO FÍSICO, EN CUMPLIMIENTO DE LOS PROCEDIMIENTOS DE LA DIRECCIÓN DE MEJORAMIENTO DE VIVIENDA DE LA CVP.</v>
          </cell>
          <cell r="R566">
            <v>8755000</v>
          </cell>
          <cell r="S566">
            <v>0</v>
          </cell>
          <cell r="T566">
            <v>0</v>
          </cell>
          <cell r="U566">
            <v>8755000</v>
          </cell>
          <cell r="V566">
            <v>0</v>
          </cell>
        </row>
        <row r="567">
          <cell r="J567">
            <v>2651</v>
          </cell>
          <cell r="K567">
            <v>43326</v>
          </cell>
          <cell r="L567" t="str">
            <v>CARLOS ADOLFO GRISALES IBARRA</v>
          </cell>
          <cell r="M567">
            <v>145</v>
          </cell>
          <cell r="N567" t="str">
            <v>CONTRATO DE PRESTACION DE SERVICIOS PROFESIONALES</v>
          </cell>
          <cell r="O567">
            <v>489</v>
          </cell>
          <cell r="P567">
            <v>43326</v>
          </cell>
          <cell r="Q567" t="str">
            <v>PRESTAR LOS SERVICIOS PROFESIONALES PARA APOYAR LA EJECUCIÓN DE ACTIVIDADES ASOCIADAS A LA ESTRUCTURACIÓN DE PROYECTOS DEL SUBSIDIO DISTRITAL PARA EL MEJORAMIENTO DE VIVIENDA.</v>
          </cell>
          <cell r="R567">
            <v>39826667</v>
          </cell>
          <cell r="S567">
            <v>0</v>
          </cell>
          <cell r="T567">
            <v>0</v>
          </cell>
          <cell r="U567">
            <v>39826667</v>
          </cell>
          <cell r="V567">
            <v>0</v>
          </cell>
        </row>
        <row r="568">
          <cell r="J568">
            <v>2653</v>
          </cell>
          <cell r="K568">
            <v>43326</v>
          </cell>
          <cell r="L568" t="str">
            <v>STEPHANIE  MURCIA MAYORGA</v>
          </cell>
          <cell r="M568">
            <v>145</v>
          </cell>
          <cell r="N568" t="str">
            <v>CONTRATO DE PRESTACION DE SERVICIOS PROFESIONALES</v>
          </cell>
          <cell r="O568">
            <v>494</v>
          </cell>
          <cell r="P568">
            <v>43326</v>
          </cell>
          <cell r="Q568" t="str">
            <v>Prestar los servicicios profesionales para apoyar desde el componente jurídico, la ejecución de actividades asociadas a la estrucutración de proyectos del sibsidio distrital para el mejoramiento de vivienda.</v>
          </cell>
          <cell r="R568">
            <v>21904667</v>
          </cell>
          <cell r="S568">
            <v>0</v>
          </cell>
          <cell r="T568">
            <v>0</v>
          </cell>
          <cell r="U568">
            <v>21904667</v>
          </cell>
          <cell r="V568">
            <v>0</v>
          </cell>
        </row>
        <row r="569">
          <cell r="J569">
            <v>2654</v>
          </cell>
          <cell r="K569">
            <v>43326</v>
          </cell>
          <cell r="L569" t="str">
            <v>DAYANA PAOLA NIÑO CARCAMO</v>
          </cell>
          <cell r="M569">
            <v>145</v>
          </cell>
          <cell r="N569" t="str">
            <v>CONTRATO DE PRESTACION DE SERVICIOS PROFESIONALES</v>
          </cell>
          <cell r="O569">
            <v>496</v>
          </cell>
          <cell r="P569">
            <v>43326</v>
          </cell>
          <cell r="Q569" t="str">
            <v>Prestar los servicios profesionales para poyar desde el componente jurídico, la ejecución de actividades asociadas a la estructuración de proyectos del subsidio distrital para el mejoramiento de vivienda.</v>
          </cell>
          <cell r="R569">
            <v>15862000</v>
          </cell>
          <cell r="S569">
            <v>0</v>
          </cell>
          <cell r="T569">
            <v>0</v>
          </cell>
          <cell r="U569">
            <v>15862000</v>
          </cell>
          <cell r="V569">
            <v>0</v>
          </cell>
        </row>
        <row r="570">
          <cell r="J570">
            <v>2655</v>
          </cell>
          <cell r="K570">
            <v>43326</v>
          </cell>
          <cell r="L570" t="str">
            <v>RAUL ALFONSO SORIANO GUZMAN</v>
          </cell>
          <cell r="M570">
            <v>145</v>
          </cell>
          <cell r="N570" t="str">
            <v>CONTRATO DE PRESTACION DE SERVICIOS PROFESIONALES</v>
          </cell>
          <cell r="O570">
            <v>495</v>
          </cell>
          <cell r="P570">
            <v>43326</v>
          </cell>
          <cell r="Q570" t="str">
            <v>Prestar los servicios profesionales para apoyar la ejecución de actividades asociadas a la estructuración de proyectos del subsidio distrital para el mejoramiento de vivienda.</v>
          </cell>
          <cell r="R570">
            <v>32359167</v>
          </cell>
          <cell r="S570">
            <v>32359167</v>
          </cell>
          <cell r="T570">
            <v>0</v>
          </cell>
          <cell r="U570">
            <v>0</v>
          </cell>
          <cell r="V570">
            <v>0</v>
          </cell>
        </row>
        <row r="571">
          <cell r="J571">
            <v>2670</v>
          </cell>
          <cell r="K571">
            <v>43329</v>
          </cell>
          <cell r="L571" t="str">
            <v>RICARDO  SARMIENTO CHAVES</v>
          </cell>
          <cell r="M571">
            <v>145</v>
          </cell>
          <cell r="N571" t="str">
            <v>CONTRATO DE PRESTACION DE SERVICIOS PROFESIONALES</v>
          </cell>
          <cell r="O571">
            <v>499</v>
          </cell>
          <cell r="P571">
            <v>43329</v>
          </cell>
          <cell r="Q571" t="str">
            <v>Prestar los servicios profesionales para apoyar la gestión de campo con componente técnico, para la ejecución de actividades durante la ejecución de todo el proceso de estructuración de proyectos que optan por el subsidio distrital de vivienda en especie.</v>
          </cell>
          <cell r="R571">
            <v>16583000</v>
          </cell>
          <cell r="S571">
            <v>0</v>
          </cell>
          <cell r="T571">
            <v>0</v>
          </cell>
          <cell r="U571">
            <v>16583000</v>
          </cell>
          <cell r="V571">
            <v>0</v>
          </cell>
        </row>
        <row r="572">
          <cell r="J572">
            <v>2672</v>
          </cell>
          <cell r="K572">
            <v>43329</v>
          </cell>
          <cell r="L572" t="str">
            <v>LUIS ORLANDO TORRES ROMERO</v>
          </cell>
          <cell r="M572">
            <v>148</v>
          </cell>
          <cell r="N572" t="str">
            <v>CONTRATO DE PRESTACION DE SERVICIOS DE APOYO A LA GESTION</v>
          </cell>
          <cell r="O572">
            <v>493</v>
          </cell>
          <cell r="P572">
            <v>43329</v>
          </cell>
          <cell r="Q572" t="str">
            <v>Prestar los servicios para apoyar en el majejo documental, la ejecución de actividades asociadas a la estructuración de proyectos del subsidio distrital para el mejoramiento de vivienda.</v>
          </cell>
          <cell r="R572">
            <v>8463167</v>
          </cell>
          <cell r="S572">
            <v>0</v>
          </cell>
          <cell r="T572">
            <v>0</v>
          </cell>
          <cell r="U572">
            <v>8463167</v>
          </cell>
          <cell r="V572">
            <v>0</v>
          </cell>
        </row>
        <row r="573">
          <cell r="J573">
            <v>2673</v>
          </cell>
          <cell r="K573">
            <v>43329</v>
          </cell>
          <cell r="L573" t="str">
            <v>MONICA IVONNE ALBA CHAPARRO</v>
          </cell>
          <cell r="M573">
            <v>145</v>
          </cell>
          <cell r="N573" t="str">
            <v>CONTRATO DE PRESTACION DE SERVICIOS PROFESIONALES</v>
          </cell>
          <cell r="O573">
            <v>491</v>
          </cell>
          <cell r="P573">
            <v>43329</v>
          </cell>
          <cell r="Q573" t="str">
            <v>Prestar los servicios profesionales para apoyar desde el componente de sistematización, la ejecución de actividades asociadas a la astructuración de proyectos del subsidio distrital para el mejoramiento de vivienda.</v>
          </cell>
          <cell r="R573">
            <v>17175250</v>
          </cell>
          <cell r="S573">
            <v>0</v>
          </cell>
          <cell r="T573">
            <v>0</v>
          </cell>
          <cell r="U573">
            <v>17175250</v>
          </cell>
          <cell r="V573">
            <v>0</v>
          </cell>
        </row>
        <row r="574">
          <cell r="J574">
            <v>2675</v>
          </cell>
          <cell r="K574">
            <v>43329</v>
          </cell>
          <cell r="L574" t="str">
            <v>RAUL ALFONSO SORIANO GUZMAN</v>
          </cell>
          <cell r="M574">
            <v>145</v>
          </cell>
          <cell r="N574" t="str">
            <v>CONTRATO DE PRESTACION DE SERVICIOS PROFESIONALES</v>
          </cell>
          <cell r="O574">
            <v>495</v>
          </cell>
          <cell r="P574">
            <v>43329</v>
          </cell>
          <cell r="Q574" t="str">
            <v>Prestar los servicios profesionales para apoyar la ejecución de actividades asociadas a la estructuración de proyectos del subsidio distrital para el mejoramiento de vivienda.</v>
          </cell>
          <cell r="R574">
            <v>32359167</v>
          </cell>
          <cell r="S574">
            <v>0</v>
          </cell>
          <cell r="T574">
            <v>0</v>
          </cell>
          <cell r="U574">
            <v>32359167</v>
          </cell>
          <cell r="V574">
            <v>0</v>
          </cell>
        </row>
        <row r="575">
          <cell r="J575">
            <v>2680</v>
          </cell>
          <cell r="K575">
            <v>43329</v>
          </cell>
          <cell r="L575" t="str">
            <v>MIGUEL ANGEL MARTINEZ VANEGAS</v>
          </cell>
          <cell r="M575">
            <v>145</v>
          </cell>
          <cell r="N575" t="str">
            <v>CONTRATO DE PRESTACION DE SERVICIOS PROFESIONALES</v>
          </cell>
          <cell r="O575">
            <v>503</v>
          </cell>
          <cell r="P575">
            <v>43329</v>
          </cell>
          <cell r="Q575" t="str">
            <v>Prestar los servicios profesionales para apoyar la gestión de campo con componente técnico, para la ejecución de actividades  durante la ejecución de todo el proceso de estructuración de proyectos que optan por el subsidio distrital de vivienda en especie.</v>
          </cell>
          <cell r="R575">
            <v>16995000</v>
          </cell>
          <cell r="S575">
            <v>0</v>
          </cell>
          <cell r="T575">
            <v>0</v>
          </cell>
          <cell r="U575">
            <v>16995000</v>
          </cell>
          <cell r="V575">
            <v>0</v>
          </cell>
        </row>
        <row r="576">
          <cell r="J576">
            <v>2681</v>
          </cell>
          <cell r="K576">
            <v>43329</v>
          </cell>
          <cell r="L576" t="str">
            <v>LAURA JULIANA CUERVO MORALES</v>
          </cell>
          <cell r="M576">
            <v>145</v>
          </cell>
          <cell r="N576" t="str">
            <v>CONTRATO DE PRESTACION DE SERVICIOS PROFESIONALES</v>
          </cell>
          <cell r="O576">
            <v>501</v>
          </cell>
          <cell r="P576">
            <v>43329</v>
          </cell>
          <cell r="Q576" t="str">
            <v>Prestar los servicios profesionales a la Dirección de Mejoramiento de Vivienda, en la proyección de conceptos, revisión de oficios y demás actuaciones administrativas y jurídicas requeridas, en concordancia con los procesos propios de la Dirección.</v>
          </cell>
          <cell r="R576">
            <v>31243333</v>
          </cell>
          <cell r="S576">
            <v>0</v>
          </cell>
          <cell r="T576">
            <v>0</v>
          </cell>
          <cell r="U576">
            <v>31243333</v>
          </cell>
          <cell r="V576">
            <v>0</v>
          </cell>
        </row>
        <row r="577">
          <cell r="J577">
            <v>2684</v>
          </cell>
          <cell r="K577">
            <v>43329</v>
          </cell>
          <cell r="L577" t="str">
            <v>HERNAN ALONSO CORREA MENDEZ</v>
          </cell>
          <cell r="M577">
            <v>145</v>
          </cell>
          <cell r="N577" t="str">
            <v>CONTRATO DE PRESTACION DE SERVICIOS PROFESIONALES</v>
          </cell>
          <cell r="O577">
            <v>498</v>
          </cell>
          <cell r="P577">
            <v>43329</v>
          </cell>
          <cell r="Q577" t="str">
            <v>Prestar los servicios profesionales para apoyar desde el componente jurídico, la ejecución de actividades asociadas a la estructuración de proyectos del subsidio distrital para el mejoramiento de vivienda.</v>
          </cell>
          <cell r="R577">
            <v>16995000</v>
          </cell>
          <cell r="S577">
            <v>0</v>
          </cell>
          <cell r="T577">
            <v>0</v>
          </cell>
          <cell r="U577">
            <v>16995000</v>
          </cell>
          <cell r="V577">
            <v>0</v>
          </cell>
        </row>
        <row r="578">
          <cell r="J578">
            <v>2685</v>
          </cell>
          <cell r="K578">
            <v>43329</v>
          </cell>
          <cell r="L578" t="str">
            <v>RAMIRO EDUARDO PACHON VEGA</v>
          </cell>
          <cell r="M578">
            <v>145</v>
          </cell>
          <cell r="N578" t="str">
            <v>CONTRATO DE PRESTACION DE SERVICIOS PROFESIONALES</v>
          </cell>
          <cell r="O578">
            <v>502</v>
          </cell>
          <cell r="P578">
            <v>43329</v>
          </cell>
          <cell r="Q578" t="str">
            <v>Prestar los servicios profesionales para apoyar la gestión de campo con componente técnico, para la ejecución de actividades  durante la ejecución de todo el proceso de estructuración de proyectos que optan por el subsidio distrital de vivienda en especie.</v>
          </cell>
          <cell r="R578">
            <v>15862000</v>
          </cell>
          <cell r="S578">
            <v>0</v>
          </cell>
          <cell r="T578">
            <v>0</v>
          </cell>
          <cell r="U578">
            <v>15862000</v>
          </cell>
          <cell r="V578">
            <v>0</v>
          </cell>
        </row>
        <row r="579">
          <cell r="J579">
            <v>2725</v>
          </cell>
          <cell r="K579">
            <v>43335</v>
          </cell>
          <cell r="L579" t="str">
            <v>MARCO FERNANDO NUÑEZ JIMENEZ</v>
          </cell>
          <cell r="M579">
            <v>148</v>
          </cell>
          <cell r="N579" t="str">
            <v>CONTRATO DE PRESTACION DE SERVICIOS DE APOYO A LA GESTION</v>
          </cell>
          <cell r="O579">
            <v>497</v>
          </cell>
          <cell r="P579">
            <v>43335</v>
          </cell>
          <cell r="Q579" t="str">
            <v>Prestar los servicios para apoyar en el manejo documental, la ejecución de actividades asociadas a la estructuración de proyectos del subsidio distrital para el mejoramiento de vivienda.</v>
          </cell>
          <cell r="R579">
            <v>8463167</v>
          </cell>
          <cell r="S579">
            <v>0</v>
          </cell>
          <cell r="T579">
            <v>0</v>
          </cell>
          <cell r="U579">
            <v>8463167</v>
          </cell>
          <cell r="V579">
            <v>0</v>
          </cell>
        </row>
        <row r="580">
          <cell r="J580">
            <v>2737</v>
          </cell>
          <cell r="K580">
            <v>43336</v>
          </cell>
          <cell r="L580" t="str">
            <v>LIZETH ZORANY PARDO TORRES</v>
          </cell>
          <cell r="M580">
            <v>145</v>
          </cell>
          <cell r="N580" t="str">
            <v>CONTRATO DE PRESTACION DE SERVICIOS PROFESIONALES</v>
          </cell>
          <cell r="O580">
            <v>530</v>
          </cell>
          <cell r="P580">
            <v>43336</v>
          </cell>
          <cell r="Q580" t="str">
            <v>Prestar los servicios profesionales para apoyar desde el componente de sistematización, la ejecución de actividades asociadas a la estructuración de proyectos del subsidio distrital para el mejoramiento de vivienda.</v>
          </cell>
          <cell r="R580">
            <v>20394000</v>
          </cell>
          <cell r="S580">
            <v>0</v>
          </cell>
          <cell r="T580">
            <v>0</v>
          </cell>
          <cell r="U580">
            <v>20394000</v>
          </cell>
          <cell r="V580">
            <v>0</v>
          </cell>
        </row>
        <row r="581">
          <cell r="J581">
            <v>2744</v>
          </cell>
          <cell r="K581">
            <v>43336</v>
          </cell>
          <cell r="L581" t="str">
            <v>CRISTIAN MAURICIO MORA MONTOYA</v>
          </cell>
          <cell r="M581">
            <v>148</v>
          </cell>
          <cell r="N581" t="str">
            <v>CONTRATO DE PRESTACION DE SERVICIOS DE APOYO A LA GESTION</v>
          </cell>
          <cell r="O581">
            <v>534</v>
          </cell>
          <cell r="P581">
            <v>43336</v>
          </cell>
          <cell r="Q581" t="str">
            <v>Prestar los servicios para apoyar en el manejo documental, la ejecución de actividades asociadas a la estructuración de proyectos del subsidio distrital para el mejoramiento de vivienda.</v>
          </cell>
          <cell r="R581">
            <v>6489000</v>
          </cell>
          <cell r="S581">
            <v>0</v>
          </cell>
          <cell r="T581">
            <v>0</v>
          </cell>
          <cell r="U581">
            <v>6489000</v>
          </cell>
          <cell r="V581">
            <v>0</v>
          </cell>
        </row>
        <row r="582">
          <cell r="J582">
            <v>2765</v>
          </cell>
          <cell r="K582">
            <v>43342</v>
          </cell>
          <cell r="L582" t="str">
            <v>ALBERTO  QUINTERO PARIAS</v>
          </cell>
          <cell r="M582">
            <v>148</v>
          </cell>
          <cell r="N582" t="str">
            <v>CONTRATO DE PRESTACION DE SERVICIOS DE APOYO A LA GESTION</v>
          </cell>
          <cell r="O582">
            <v>524</v>
          </cell>
          <cell r="P582">
            <v>43342</v>
          </cell>
          <cell r="Q582" t="str">
            <v>Prestar servicios asistenciales en la Gestión Documental, captura de datos, inventario y manejo de acrchico físico, en cumplimiento de los procedimientos de la Dirección de Mejoramiento de Vivienda de la CVP.</v>
          </cell>
          <cell r="R582">
            <v>7587667</v>
          </cell>
          <cell r="S582">
            <v>0</v>
          </cell>
          <cell r="T582">
            <v>0</v>
          </cell>
          <cell r="U582">
            <v>7587667</v>
          </cell>
          <cell r="V582">
            <v>0</v>
          </cell>
        </row>
        <row r="583">
          <cell r="J583">
            <v>2766</v>
          </cell>
          <cell r="K583">
            <v>43342</v>
          </cell>
          <cell r="L583" t="str">
            <v>EDGAR ANDRES PASTRAN CHAUX</v>
          </cell>
          <cell r="M583">
            <v>145</v>
          </cell>
          <cell r="N583" t="str">
            <v>CONTRATO DE PRESTACION DE SERVICIOS PROFESIONALES</v>
          </cell>
          <cell r="O583">
            <v>543</v>
          </cell>
          <cell r="P583">
            <v>43342</v>
          </cell>
          <cell r="Q583" t="str">
            <v>Prestación de servicios profesionales para apoyar la estructuración, seguimiento y supervisión de los proyectos asignados por la Dirección de Mejoramiento de Vivienda de la CVP.</v>
          </cell>
          <cell r="R583">
            <v>21825700</v>
          </cell>
          <cell r="S583">
            <v>0</v>
          </cell>
          <cell r="T583">
            <v>0</v>
          </cell>
          <cell r="U583">
            <v>21825700</v>
          </cell>
          <cell r="V583">
            <v>0</v>
          </cell>
        </row>
        <row r="584">
          <cell r="J584">
            <v>2767</v>
          </cell>
          <cell r="K584">
            <v>43343</v>
          </cell>
          <cell r="L584" t="str">
            <v>LILIANA  RAMIREZ CANO</v>
          </cell>
          <cell r="M584">
            <v>148</v>
          </cell>
          <cell r="N584" t="str">
            <v>CONTRATO DE PRESTACION DE SERVICIOS DE APOYO A LA GESTION</v>
          </cell>
          <cell r="O584">
            <v>541</v>
          </cell>
          <cell r="P584">
            <v>43343</v>
          </cell>
          <cell r="Q584" t="str">
            <v>Prestar los servicios técnicos para apoyar desde el componente social, la ejecución de actividades asociadas a la estructuración de proyectos del subsidio distrital para el mejoramiento de vivienda.</v>
          </cell>
          <cell r="R584">
            <v>14416567</v>
          </cell>
          <cell r="S584">
            <v>0</v>
          </cell>
          <cell r="T584">
            <v>0</v>
          </cell>
          <cell r="U584">
            <v>14416567</v>
          </cell>
          <cell r="V584">
            <v>0</v>
          </cell>
        </row>
        <row r="585">
          <cell r="J585">
            <v>2768</v>
          </cell>
          <cell r="K585">
            <v>43343</v>
          </cell>
          <cell r="L585" t="str">
            <v>MARIA ISABEL MEJIA LONDOÑO</v>
          </cell>
          <cell r="M585">
            <v>145</v>
          </cell>
          <cell r="N585" t="str">
            <v>CONTRATO DE PRESTACION DE SERVICIOS PROFESIONALES</v>
          </cell>
          <cell r="O585">
            <v>545</v>
          </cell>
          <cell r="P585">
            <v>43343</v>
          </cell>
          <cell r="Q585" t="str">
            <v>Prestar los servicios profesionales para apoyar desde el componente de sistematización,  la ejecución de actividades asociadas a la estructuración de proyectos del subsidio distrital para el mejoramiento de vivienda.</v>
          </cell>
          <cell r="R585">
            <v>15398500</v>
          </cell>
          <cell r="S585">
            <v>0</v>
          </cell>
          <cell r="T585">
            <v>0</v>
          </cell>
          <cell r="U585">
            <v>15398500</v>
          </cell>
          <cell r="V585">
            <v>0</v>
          </cell>
        </row>
        <row r="586">
          <cell r="J586">
            <v>2770</v>
          </cell>
          <cell r="K586">
            <v>43343</v>
          </cell>
          <cell r="L586" t="str">
            <v>FREDY HERNANDO SANTIAGO ROMERO</v>
          </cell>
          <cell r="M586">
            <v>145</v>
          </cell>
          <cell r="N586" t="str">
            <v>CONTRATO DE PRESTACION DE SERVICIOS PROFESIONALES</v>
          </cell>
          <cell r="O586">
            <v>542</v>
          </cell>
          <cell r="P586">
            <v>43343</v>
          </cell>
          <cell r="Q586" t="str">
            <v>¿Prestar los servicios profesionales para apoyar la gestión de campo con componente técnico, para la ejecución de actividades durante la ejecución de todo el proceso de estructuración de proyectos que optan por el subsidio distrital de vivienda en especie¿</v>
          </cell>
          <cell r="R586">
            <v>26780000</v>
          </cell>
          <cell r="S586">
            <v>0</v>
          </cell>
          <cell r="T586">
            <v>0</v>
          </cell>
          <cell r="U586">
            <v>26780000</v>
          </cell>
          <cell r="V586">
            <v>0</v>
          </cell>
        </row>
        <row r="587">
          <cell r="J587">
            <v>46</v>
          </cell>
          <cell r="K587">
            <v>43116</v>
          </cell>
          <cell r="L587" t="str">
            <v>ALVARO  DAVILA REMOLINA</v>
          </cell>
          <cell r="M587">
            <v>148</v>
          </cell>
          <cell r="N587" t="str">
            <v>CONTRATO DE PRESTACION DE SERVICIOS DE APOYO A LA GESTION</v>
          </cell>
          <cell r="O587">
            <v>51</v>
          </cell>
          <cell r="P587">
            <v>43116</v>
          </cell>
          <cell r="Q587" t="str">
            <v>Prestación de servicios de apoyo a la gestión, en la atención al servicio al ciudadano, teniendo en cuenta los protocolos, procedimientos y lineamientos establecidos por la CVP.</v>
          </cell>
          <cell r="R587">
            <v>34942750</v>
          </cell>
          <cell r="S587">
            <v>0</v>
          </cell>
          <cell r="T587">
            <v>0</v>
          </cell>
          <cell r="U587">
            <v>34942750</v>
          </cell>
          <cell r="V587">
            <v>19648967</v>
          </cell>
        </row>
        <row r="588">
          <cell r="J588">
            <v>82</v>
          </cell>
          <cell r="K588">
            <v>43116</v>
          </cell>
          <cell r="L588" t="str">
            <v>IVAN RODRIGO ROJAS ARBOLEDA</v>
          </cell>
          <cell r="M588">
            <v>145</v>
          </cell>
          <cell r="N588" t="str">
            <v>CONTRATO DE PRESTACION DE SERVICIOS PROFESIONALES</v>
          </cell>
          <cell r="O588">
            <v>68</v>
          </cell>
          <cell r="P588">
            <v>43116</v>
          </cell>
          <cell r="Q588" t="str">
            <v>Prestación de servicios profesionales en la Oficina Asesora de Comunicaciones en la estructuración y seguimiento de las relaciones institucionales, conforme al Decreto 190 de 2010, Decreto 006 de 2009 y Decreto 197 de 2014,  garantizando el fortalecimiento de la entidad con los diversos grupos de interés.</v>
          </cell>
          <cell r="R588">
            <v>82915000</v>
          </cell>
          <cell r="S588">
            <v>0</v>
          </cell>
          <cell r="T588">
            <v>0</v>
          </cell>
          <cell r="U588">
            <v>82915000</v>
          </cell>
          <cell r="V588">
            <v>43019666</v>
          </cell>
        </row>
        <row r="589">
          <cell r="J589">
            <v>94</v>
          </cell>
          <cell r="K589">
            <v>43116</v>
          </cell>
          <cell r="L589" t="str">
            <v>JULIO ANDRES CENDALES MORA</v>
          </cell>
          <cell r="M589">
            <v>145</v>
          </cell>
          <cell r="N589" t="str">
            <v>CONTRATO DE PRESTACION DE SERVICIOS PROFESIONALES</v>
          </cell>
          <cell r="O589">
            <v>90</v>
          </cell>
          <cell r="P589">
            <v>43116</v>
          </cell>
          <cell r="Q589" t="str">
            <v>Prestación de servicios profesionales para la elaboración de Diseño Gráfico,  visualizaciones urbanísticas y arquitectónicas en video (Render), y demás requeridas para la promoción de los proyectos de la Caja de la Vivienda Popular, con el fin de documentar la Estrategia de comunicaciones, bajo la guía de imagen distrital.</v>
          </cell>
          <cell r="R589">
            <v>57922050</v>
          </cell>
          <cell r="S589">
            <v>0</v>
          </cell>
          <cell r="T589">
            <v>0</v>
          </cell>
          <cell r="U589">
            <v>57922050</v>
          </cell>
          <cell r="V589">
            <v>32570660</v>
          </cell>
        </row>
        <row r="590">
          <cell r="J590">
            <v>99</v>
          </cell>
          <cell r="K590">
            <v>43116</v>
          </cell>
          <cell r="L590" t="str">
            <v>JUAN FERNANDO BETANCOURT FRANCO</v>
          </cell>
          <cell r="M590">
            <v>145</v>
          </cell>
          <cell r="N590" t="str">
            <v>CONTRATO DE PRESTACION DE SERVICIOS PROFESIONALES</v>
          </cell>
          <cell r="O590">
            <v>85</v>
          </cell>
          <cell r="P590">
            <v>43116</v>
          </cell>
          <cell r="Q590" t="str">
            <v>Prestación de servicios profesionales en la Oficina Asesora de Comunicaciones en la pre produccion, produccion y post producción de contenidos audivisuales (Audio y Video), realización fotográfica y demás necesidades de caracter visual para multiples plataformas, conforme al plan estratégico de la Caja de la Vivienda Popular.</v>
          </cell>
          <cell r="R590">
            <v>57922050</v>
          </cell>
          <cell r="S590">
            <v>0</v>
          </cell>
          <cell r="T590">
            <v>0</v>
          </cell>
          <cell r="U590">
            <v>57922050</v>
          </cell>
          <cell r="V590">
            <v>32570660</v>
          </cell>
        </row>
        <row r="591">
          <cell r="J591">
            <v>101</v>
          </cell>
          <cell r="K591">
            <v>43116</v>
          </cell>
          <cell r="L591" t="str">
            <v>JUAN PABLO BOTERO ARAGON</v>
          </cell>
          <cell r="M591">
            <v>145</v>
          </cell>
          <cell r="N591" t="str">
            <v>CONTRATO DE PRESTACION DE SERVICIOS PROFESIONALES</v>
          </cell>
          <cell r="O591">
            <v>86</v>
          </cell>
          <cell r="P591">
            <v>43116</v>
          </cell>
          <cell r="Q591" t="str">
            <v>Prestación de servicios profesionales en la Oficina Asesora de Comunicaciones para la  creación  de contenidos de divulgación en medios digitales sobre la gestión de la Caja de la Vivienda Popular, garantizando la  efectividad en los canales de información, redes sociales y otros mecanismos de interacción con la ciudadanía.</v>
          </cell>
          <cell r="R591">
            <v>57922050</v>
          </cell>
          <cell r="S591">
            <v>0</v>
          </cell>
          <cell r="T591">
            <v>0</v>
          </cell>
          <cell r="U591">
            <v>57922050</v>
          </cell>
          <cell r="V591">
            <v>32570660</v>
          </cell>
        </row>
        <row r="592">
          <cell r="J592">
            <v>111</v>
          </cell>
          <cell r="K592">
            <v>43117</v>
          </cell>
          <cell r="L592" t="str">
            <v>DIEGO ALEJANDRO RINCON PEREZ</v>
          </cell>
          <cell r="M592">
            <v>145</v>
          </cell>
          <cell r="N592" t="str">
            <v>CONTRATO DE PRESTACION DE SERVICIOS PROFESIONALES</v>
          </cell>
          <cell r="O592">
            <v>104</v>
          </cell>
          <cell r="P592">
            <v>43117</v>
          </cell>
          <cell r="Q592" t="str">
            <v>Prestación de servicios profesionales para apoyar el fortalecimiento de las plataformas tecnológicas de administración web e intranet de la Caja de la Vivienda Popular, en el desarrollo de componentes que permitan crear soluciones con nuevas funcionalidades, cumpliendo con los estándares establecidos por Gobierno en Línea y la ley 1712 de 2014.</v>
          </cell>
          <cell r="R592">
            <v>39088500</v>
          </cell>
          <cell r="S592">
            <v>0</v>
          </cell>
          <cell r="T592">
            <v>0</v>
          </cell>
          <cell r="U592">
            <v>39088500</v>
          </cell>
          <cell r="V592">
            <v>21980200</v>
          </cell>
        </row>
        <row r="593">
          <cell r="J593">
            <v>219</v>
          </cell>
          <cell r="K593">
            <v>43118</v>
          </cell>
          <cell r="L593" t="str">
            <v>ROBERT  URREGO RAMOS</v>
          </cell>
          <cell r="M593">
            <v>145</v>
          </cell>
          <cell r="N593" t="str">
            <v>CONTRATO DE PRESTACION DE SERVICIOS PROFESIONALES</v>
          </cell>
          <cell r="O593">
            <v>187</v>
          </cell>
          <cell r="P593">
            <v>43118</v>
          </cell>
          <cell r="Q593" t="str">
            <v>Prestación de servicios profesionales en la Oficina Asesora de Comunicaciones en la planeación, creación y presentación de contenidos institucionales para los canales de comunicación interna, conforme al plan estratégico de comunicaciones de la Caja de la Vivienda Popular, cumpliendo con los parámetros de Ley 1712 de 2014 y el manual de imagen de "Bogotá mejor para todos"</v>
          </cell>
          <cell r="R593">
            <v>46968000</v>
          </cell>
          <cell r="S593">
            <v>0</v>
          </cell>
          <cell r="T593">
            <v>0</v>
          </cell>
          <cell r="U593">
            <v>46968000</v>
          </cell>
          <cell r="V593">
            <v>26368000</v>
          </cell>
        </row>
        <row r="594">
          <cell r="J594">
            <v>224</v>
          </cell>
          <cell r="K594">
            <v>43118</v>
          </cell>
          <cell r="L594" t="str">
            <v>JOHANA PATRICIA REYES MARCIALES</v>
          </cell>
          <cell r="M594">
            <v>145</v>
          </cell>
          <cell r="N594" t="str">
            <v>CONTRATO DE PRESTACION DE SERVICIOS PROFESIONALES</v>
          </cell>
          <cell r="O594">
            <v>198</v>
          </cell>
          <cell r="P594">
            <v>43118</v>
          </cell>
          <cell r="Q594" t="str">
            <v>Prestación de servicios profesionales en la Oficina Asesora de Comunicaciones de la Caja de la Vivienda Popular en el seguimiento y puesta en marcha de las estrategias que permitan el cumplimiento de la Ley 1712 de 2014, conforme a los planes de acción y bajo los principios de  divulgación proactiva y rendición de cuentas permanente</v>
          </cell>
          <cell r="R594">
            <v>71070000</v>
          </cell>
          <cell r="S594">
            <v>0</v>
          </cell>
          <cell r="T594">
            <v>0</v>
          </cell>
          <cell r="U594">
            <v>71070000</v>
          </cell>
          <cell r="V594">
            <v>39552000</v>
          </cell>
        </row>
        <row r="595">
          <cell r="J595">
            <v>460</v>
          </cell>
          <cell r="K595">
            <v>43126</v>
          </cell>
          <cell r="L595" t="str">
            <v>EDNA MARGARITA GONZALEZ ARANA</v>
          </cell>
          <cell r="M595">
            <v>145</v>
          </cell>
          <cell r="N595" t="str">
            <v>CONTRATO DE PRESTACION DE SERVICIOS PROFESIONALES</v>
          </cell>
          <cell r="O595">
            <v>387</v>
          </cell>
          <cell r="P595">
            <v>43126</v>
          </cell>
          <cell r="Q595" t="str">
            <v>Prestación de servicios profesionales para el apoyo de  la estrategia de comunicación externa, relaciones públicas y gestión de medios - Free Press de la Caja de la Vivienda Popular, garantizando la efectividad en medios masivos locales, regionales y nacionales.</v>
          </cell>
          <cell r="R595">
            <v>135960000</v>
          </cell>
          <cell r="S595">
            <v>0</v>
          </cell>
          <cell r="T595">
            <v>0</v>
          </cell>
          <cell r="U595">
            <v>135960000</v>
          </cell>
          <cell r="V595">
            <v>76220000</v>
          </cell>
        </row>
        <row r="596">
          <cell r="J596">
            <v>2507</v>
          </cell>
          <cell r="K596">
            <v>43299</v>
          </cell>
          <cell r="L596" t="str">
            <v>JOHNNY ALEXANDER RADA ESTEBAN</v>
          </cell>
          <cell r="M596">
            <v>145</v>
          </cell>
          <cell r="N596" t="str">
            <v>CONTRATO DE PRESTACION DE SERVICIOS PROFESIONALES</v>
          </cell>
          <cell r="O596">
            <v>446</v>
          </cell>
          <cell r="P596">
            <v>43299</v>
          </cell>
          <cell r="Q596" t="str">
            <v>PRESTAR LOS SERVICIOS PROFESIONALES A LA OFICINA ASESORA DE COMUNICACIONES COMO APOYO EN LA CONCEPTUALIZACIÓN Y DESARROLLO DE CAMPAÑAS DE COMUNICACIÓN CONFORME AL PLAN ESTRATÉGICO DE COMUNICACIONES DE LA ENTIDAD.</v>
          </cell>
          <cell r="R596">
            <v>24926000</v>
          </cell>
          <cell r="S596">
            <v>0</v>
          </cell>
          <cell r="T596">
            <v>0</v>
          </cell>
          <cell r="U596">
            <v>24926000</v>
          </cell>
          <cell r="V596">
            <v>1812800</v>
          </cell>
        </row>
        <row r="597">
          <cell r="J597">
            <v>2683</v>
          </cell>
          <cell r="K597">
            <v>43329</v>
          </cell>
          <cell r="L597" t="str">
            <v>MORENO FLOREZ MARIA ANDREA</v>
          </cell>
          <cell r="M597">
            <v>145</v>
          </cell>
          <cell r="N597" t="str">
            <v>CONTRATO DE PRESTACION DE SERVICIOS PROFESIONALES</v>
          </cell>
          <cell r="O597">
            <v>507</v>
          </cell>
          <cell r="P597">
            <v>43329</v>
          </cell>
          <cell r="Q597" t="str">
            <v>Contratar los servicios profesionales para apoyar en el diseño e implementación de estrategias de comunicación de la gestión de la caja de vivienda popular, garantizando el efectivo manejo de información destinada a los medios masivos de comunicación y distintos públicos de interés de la entidad.</v>
          </cell>
          <cell r="R597">
            <v>32445000</v>
          </cell>
          <cell r="S597">
            <v>0</v>
          </cell>
          <cell r="T597">
            <v>0</v>
          </cell>
          <cell r="U597">
            <v>32445000</v>
          </cell>
          <cell r="V597">
            <v>0</v>
          </cell>
        </row>
        <row r="598">
          <cell r="J598">
            <v>1</v>
          </cell>
          <cell r="K598">
            <v>43105</v>
          </cell>
          <cell r="L598" t="str">
            <v>SILENIA  NEIRA TORRES</v>
          </cell>
          <cell r="M598">
            <v>145</v>
          </cell>
          <cell r="N598" t="str">
            <v>CONTRATO DE PRESTACION DE SERVICIOS PROFESIONALES</v>
          </cell>
          <cell r="O598">
            <v>1</v>
          </cell>
          <cell r="P598">
            <v>43105</v>
          </cell>
          <cell r="Q598" t="str">
            <v>Prestación de Servicios profesionales para apoyar a la Caja de Vivienda Popular en la formulación, seguimiento y atención de las herramientas de gestión, con énfasis en los planes de mejoramiento a cargo de la entidad, que se formulan como resultado de los informes generados por los diferentes entes de control y vigilancia.</v>
          </cell>
          <cell r="R598">
            <v>113300000</v>
          </cell>
          <cell r="S598">
            <v>0</v>
          </cell>
          <cell r="T598">
            <v>0</v>
          </cell>
          <cell r="U598">
            <v>113300000</v>
          </cell>
          <cell r="V598">
            <v>70726667</v>
          </cell>
        </row>
        <row r="599">
          <cell r="J599">
            <v>14</v>
          </cell>
          <cell r="K599">
            <v>43112</v>
          </cell>
          <cell r="L599" t="str">
            <v>JEFFERSON  MALAVER GOMEZ</v>
          </cell>
          <cell r="M599">
            <v>145</v>
          </cell>
          <cell r="N599" t="str">
            <v>CONTRATO DE PRESTACION DE SERVICIOS PROFESIONALES</v>
          </cell>
          <cell r="O599">
            <v>8</v>
          </cell>
          <cell r="P599">
            <v>43112</v>
          </cell>
          <cell r="Q599" t="str">
            <v>Prestación de servicios profesionales para apoyar la formulación, seguimiento y monitoreo al cumplimiento de objetivos y metas de los programas, proyectos y planes de acción de gestión que se ejecutan en la entidad.</v>
          </cell>
          <cell r="R599">
            <v>55403700</v>
          </cell>
          <cell r="S599">
            <v>0</v>
          </cell>
          <cell r="T599">
            <v>0</v>
          </cell>
          <cell r="U599">
            <v>55403700</v>
          </cell>
          <cell r="V599">
            <v>32906440</v>
          </cell>
        </row>
        <row r="600">
          <cell r="J600">
            <v>26</v>
          </cell>
          <cell r="K600">
            <v>43115</v>
          </cell>
          <cell r="L600" t="str">
            <v>JULIETH TATIANA SANCHEZ CASTILLO</v>
          </cell>
          <cell r="M600">
            <v>145</v>
          </cell>
          <cell r="N600" t="str">
            <v>CONTRATO DE PRESTACION DE SERVICIOS PROFESIONALES</v>
          </cell>
          <cell r="O600">
            <v>24</v>
          </cell>
          <cell r="P600">
            <v>43115</v>
          </cell>
          <cell r="Q600" t="str">
            <v>Prestación de servicios profesionales para el acompañamiento jurídico en las diferentes etapas de los procesos de contratación que adelante la Caja de la Vivienda Popular.</v>
          </cell>
          <cell r="R600">
            <v>76992500</v>
          </cell>
          <cell r="S600">
            <v>0</v>
          </cell>
          <cell r="T600">
            <v>0</v>
          </cell>
          <cell r="U600">
            <v>76992500</v>
          </cell>
          <cell r="V600">
            <v>43517500</v>
          </cell>
        </row>
        <row r="601">
          <cell r="J601">
            <v>39</v>
          </cell>
          <cell r="K601">
            <v>43116</v>
          </cell>
          <cell r="L601" t="str">
            <v>ORLANDO  BARBOSA SILVA</v>
          </cell>
          <cell r="M601">
            <v>145</v>
          </cell>
          <cell r="N601" t="str">
            <v>CONTRATO DE PRESTACION DE SERVICIOS PROFESIONALES</v>
          </cell>
          <cell r="O601">
            <v>48</v>
          </cell>
          <cell r="P601">
            <v>43116</v>
          </cell>
          <cell r="Q601" t="str">
            <v>Prestación de servicios profesionales para apoyar a la Dirección de Gestión Corporativa y CID en la revisión, estructuración, seguimiento y control de los aspectos financieros y presupuestales a su cargo.</v>
          </cell>
          <cell r="R601">
            <v>82915000</v>
          </cell>
          <cell r="S601">
            <v>0</v>
          </cell>
          <cell r="T601">
            <v>0</v>
          </cell>
          <cell r="U601">
            <v>82915000</v>
          </cell>
          <cell r="V601">
            <v>46624667</v>
          </cell>
        </row>
        <row r="602">
          <cell r="J602">
            <v>50</v>
          </cell>
          <cell r="K602">
            <v>43116</v>
          </cell>
          <cell r="L602" t="str">
            <v>KENNY BIVIANA ROJAS AMUD</v>
          </cell>
          <cell r="M602">
            <v>145</v>
          </cell>
          <cell r="N602" t="str">
            <v>CONTRATO DE PRESTACION DE SERVICIOS PROFESIONALES</v>
          </cell>
          <cell r="O602">
            <v>38</v>
          </cell>
          <cell r="P602">
            <v>43116</v>
          </cell>
          <cell r="Q602" t="str">
            <v>Prestación de servicios profesionales para el acompañamiento jurídico en las diferentes etapas de los procesos de contratación que adelante la Caja de la Vivienda Popular.</v>
          </cell>
          <cell r="R602">
            <v>76992500</v>
          </cell>
          <cell r="S602">
            <v>0</v>
          </cell>
          <cell r="T602">
            <v>0</v>
          </cell>
          <cell r="U602">
            <v>76992500</v>
          </cell>
          <cell r="V602">
            <v>43294333</v>
          </cell>
        </row>
        <row r="603">
          <cell r="J603">
            <v>51</v>
          </cell>
          <cell r="K603">
            <v>43116</v>
          </cell>
          <cell r="L603" t="str">
            <v>LAURA JIMENA RINCON ROMERO</v>
          </cell>
          <cell r="M603">
            <v>145</v>
          </cell>
          <cell r="N603" t="str">
            <v>CONTRATO DE PRESTACION DE SERVICIOS PROFESIONALES</v>
          </cell>
          <cell r="O603">
            <v>43</v>
          </cell>
          <cell r="P603">
            <v>43116</v>
          </cell>
          <cell r="Q603" t="str">
            <v>Prestar servicios profesionales para liderar las acciones que proceden de la planeación, programación, seguimiento y ejecución financiera que contribuyan al mejoramiento de los procesos a cargo de la Dirección de Gestión Corporativa y CID de la Caja de Vivienda Popular.</v>
          </cell>
          <cell r="R603">
            <v>76992500</v>
          </cell>
          <cell r="S603">
            <v>76992500</v>
          </cell>
          <cell r="T603">
            <v>0</v>
          </cell>
          <cell r="U603">
            <v>0</v>
          </cell>
          <cell r="V603">
            <v>0</v>
          </cell>
        </row>
        <row r="604">
          <cell r="J604">
            <v>52</v>
          </cell>
          <cell r="K604">
            <v>43116</v>
          </cell>
          <cell r="L604" t="str">
            <v>GERMAN ALEXANDER SANCHEZ RODRIGUEZ</v>
          </cell>
          <cell r="M604">
            <v>145</v>
          </cell>
          <cell r="N604" t="str">
            <v>CONTRATO DE PRESTACION DE SERVICIOS PROFESIONALES</v>
          </cell>
          <cell r="O604">
            <v>54</v>
          </cell>
          <cell r="P604">
            <v>43116</v>
          </cell>
          <cell r="Q604" t="str">
            <v>Prestación de servicios profesionales para apoyar la gestión documental del archivo de gestión contractual que se encuentra a cargo de la Dirección de Gestión Corporativa y CID de la Caja de Vivienda Popular.</v>
          </cell>
          <cell r="R604">
            <v>40865250</v>
          </cell>
          <cell r="S604">
            <v>0</v>
          </cell>
          <cell r="T604">
            <v>0</v>
          </cell>
          <cell r="U604">
            <v>40865250</v>
          </cell>
          <cell r="V604">
            <v>22979300</v>
          </cell>
        </row>
        <row r="605">
          <cell r="J605">
            <v>53</v>
          </cell>
          <cell r="K605">
            <v>43116</v>
          </cell>
          <cell r="L605" t="str">
            <v>NELSON MIGUEL JAIME OLAYA</v>
          </cell>
          <cell r="M605">
            <v>145</v>
          </cell>
          <cell r="N605" t="str">
            <v>CONTRATO DE PRESTACION DE SERVICIOS PROFESIONALES</v>
          </cell>
          <cell r="O605">
            <v>39</v>
          </cell>
          <cell r="P605">
            <v>43116</v>
          </cell>
          <cell r="Q605" t="str">
            <v>Prestación de servicios profesionales para el acompañamiento jurídico en las diferentes etapas de los procesos de contratación que adelante la Caja de la Vivienda Popular</v>
          </cell>
          <cell r="R605">
            <v>71070000</v>
          </cell>
          <cell r="S605">
            <v>0</v>
          </cell>
          <cell r="T605">
            <v>0</v>
          </cell>
          <cell r="U605">
            <v>71070000</v>
          </cell>
          <cell r="V605">
            <v>39964000</v>
          </cell>
        </row>
        <row r="606">
          <cell r="J606">
            <v>56</v>
          </cell>
          <cell r="K606">
            <v>43116</v>
          </cell>
          <cell r="L606" t="str">
            <v>MARITH ELISA BLANCHAR MARTINEZ</v>
          </cell>
          <cell r="M606">
            <v>145</v>
          </cell>
          <cell r="N606" t="str">
            <v>CONTRATO DE PRESTACION DE SERVICIOS PROFESIONALES</v>
          </cell>
          <cell r="O606">
            <v>44</v>
          </cell>
          <cell r="P606">
            <v>43116</v>
          </cell>
          <cell r="Q606" t="str">
            <v>Prestar servicios profesionales para apoyar el impulso de los procesos disciplinarios que se adelanten en la Caja de la Vivienda Popular y que se encuentran a cargo de la Dirección de Gestión Corporativa y CID en primera instancia.</v>
          </cell>
          <cell r="R606">
            <v>82915000</v>
          </cell>
          <cell r="S606">
            <v>0</v>
          </cell>
          <cell r="T606">
            <v>0</v>
          </cell>
          <cell r="U606">
            <v>82915000</v>
          </cell>
          <cell r="V606">
            <v>46624667</v>
          </cell>
        </row>
        <row r="607">
          <cell r="J607">
            <v>57</v>
          </cell>
          <cell r="K607">
            <v>43116</v>
          </cell>
          <cell r="L607" t="str">
            <v>LAURA JIMENA RINCON ROMERO</v>
          </cell>
          <cell r="M607">
            <v>145</v>
          </cell>
          <cell r="N607" t="str">
            <v>CONTRATO DE PRESTACION DE SERVICIOS PROFESIONALES</v>
          </cell>
          <cell r="O607">
            <v>43</v>
          </cell>
          <cell r="P607">
            <v>43116</v>
          </cell>
          <cell r="Q607" t="str">
            <v>Prestar servicios profesionales para liderar las acciones que proceden de la planeación, programación, seguimiento y ejecución financiera que contribuyan al mejoramiento de los procesos a cargo de la Dirección de Gestión Corporativa y CID de la Caja de Vivienda Popular.</v>
          </cell>
          <cell r="R607">
            <v>76992500</v>
          </cell>
          <cell r="S607">
            <v>0</v>
          </cell>
          <cell r="T607">
            <v>0</v>
          </cell>
          <cell r="U607">
            <v>76992500</v>
          </cell>
          <cell r="V607">
            <v>43294333</v>
          </cell>
        </row>
        <row r="608">
          <cell r="J608">
            <v>58</v>
          </cell>
          <cell r="K608">
            <v>43116</v>
          </cell>
          <cell r="L608" t="str">
            <v>ANGELA ROCIO DIAZ MORALES</v>
          </cell>
          <cell r="M608">
            <v>145</v>
          </cell>
          <cell r="N608" t="str">
            <v>CONTRATO DE PRESTACION DE SERVICIOS PROFESIONALES</v>
          </cell>
          <cell r="O608">
            <v>45</v>
          </cell>
          <cell r="P608">
            <v>43116</v>
          </cell>
          <cell r="Q608" t="str">
            <v>Prestación de servicios profesionales para la implementación de las acciones necesarias en el fortalecimiento de servicio al ciudadano de la CVP, en temas relacionados con la operación de aplicativos y/o sistemas de información, socialización y sensibilización de la normatividad vigente, protocolo de servicio al ciudadano, implementación de procedimientos y posicionamiento de piezas comunicativas de la entidad.</v>
          </cell>
          <cell r="R608">
            <v>40865250</v>
          </cell>
          <cell r="S608">
            <v>0</v>
          </cell>
          <cell r="T608">
            <v>0</v>
          </cell>
          <cell r="U608">
            <v>40865250</v>
          </cell>
          <cell r="V608">
            <v>22505500</v>
          </cell>
        </row>
        <row r="609">
          <cell r="J609">
            <v>72</v>
          </cell>
          <cell r="K609">
            <v>43116</v>
          </cell>
          <cell r="L609" t="str">
            <v>MAGDA CECILIA ALBA DAZA</v>
          </cell>
          <cell r="M609">
            <v>145</v>
          </cell>
          <cell r="N609" t="str">
            <v>CONTRATO DE PRESTACION DE SERVICIOS PROFESIONALES</v>
          </cell>
          <cell r="O609">
            <v>58</v>
          </cell>
          <cell r="P609">
            <v>43116</v>
          </cell>
          <cell r="Q609" t="str">
            <v>Prestación de servicios profesionales para apoyar a la Subdirección Financiera en la ejecución y seguimiento presupuestal de la Caja de la Vivienda Popular.</v>
          </cell>
          <cell r="R609">
            <v>65147500</v>
          </cell>
          <cell r="S609">
            <v>0</v>
          </cell>
          <cell r="T609">
            <v>0</v>
          </cell>
          <cell r="U609">
            <v>65147500</v>
          </cell>
          <cell r="V609">
            <v>36633667</v>
          </cell>
        </row>
        <row r="610">
          <cell r="J610">
            <v>74</v>
          </cell>
          <cell r="K610">
            <v>43116</v>
          </cell>
          <cell r="L610" t="str">
            <v>BIBIANA ANDREA TRUJILLO SANCHEZ</v>
          </cell>
          <cell r="M610">
            <v>145</v>
          </cell>
          <cell r="N610" t="str">
            <v>CONTRATO DE PRESTACION DE SERVICIOS PROFESIONALES</v>
          </cell>
          <cell r="O610">
            <v>60</v>
          </cell>
          <cell r="P610">
            <v>43116</v>
          </cell>
          <cell r="Q610" t="str">
            <v>Prestación de Servicios Profesionales para efectuar la verificación, depuración, registros y ajustes contables de las operaciones financieras derivadas de la gestión de la Entidad, ejerciendo el autocontrol y garantizando la oportunidad y confiabilidad de la información.</v>
          </cell>
          <cell r="R610">
            <v>60409500</v>
          </cell>
          <cell r="S610">
            <v>0</v>
          </cell>
          <cell r="T610">
            <v>0</v>
          </cell>
          <cell r="U610">
            <v>60409500</v>
          </cell>
          <cell r="V610">
            <v>33969400</v>
          </cell>
        </row>
        <row r="611">
          <cell r="J611">
            <v>81</v>
          </cell>
          <cell r="K611">
            <v>43116</v>
          </cell>
          <cell r="L611" t="str">
            <v>RAUL ALEJANDRO MESA VARGAS</v>
          </cell>
          <cell r="M611">
            <v>145</v>
          </cell>
          <cell r="N611" t="str">
            <v>CONTRATO DE PRESTACION DE SERVICIOS PROFESIONALES</v>
          </cell>
          <cell r="O611">
            <v>66</v>
          </cell>
          <cell r="P611">
            <v>43116</v>
          </cell>
          <cell r="Q611" t="str">
            <v>Prestación de servicios profesionales para apoyar la formulación, seguimiento y monitoreo al cumplimiento de objetivos y metas de los programas, proyectos y planes de acción de gestión que se ejecutan en la entidad.</v>
          </cell>
          <cell r="R611">
            <v>45320000</v>
          </cell>
          <cell r="S611">
            <v>0</v>
          </cell>
          <cell r="T611">
            <v>0</v>
          </cell>
          <cell r="U611">
            <v>45320000</v>
          </cell>
          <cell r="V611">
            <v>26642667</v>
          </cell>
        </row>
        <row r="612">
          <cell r="J612">
            <v>93</v>
          </cell>
          <cell r="K612">
            <v>43116</v>
          </cell>
          <cell r="L612" t="str">
            <v>RODRIGO HERNAN RIOS OLIVEROS</v>
          </cell>
          <cell r="M612">
            <v>145</v>
          </cell>
          <cell r="N612" t="str">
            <v>CONTRATO DE PRESTACION DE SERVICIOS PROFESIONALES</v>
          </cell>
          <cell r="O612">
            <v>76</v>
          </cell>
          <cell r="P612">
            <v>43116</v>
          </cell>
          <cell r="Q612" t="str">
            <v>Prestación de servicios profesionales para el acompañamiento a la Dirección de Gestión Corporativa y CID, en la revisión, elaboración, monitoreo y articulación de las diferentes actuaciones jurídicas a su cargo.</v>
          </cell>
          <cell r="R612">
            <v>113300000</v>
          </cell>
          <cell r="S612">
            <v>53216666</v>
          </cell>
          <cell r="T612">
            <v>0</v>
          </cell>
          <cell r="U612">
            <v>60083334</v>
          </cell>
          <cell r="V612">
            <v>60083334</v>
          </cell>
        </row>
        <row r="613">
          <cell r="J613">
            <v>96</v>
          </cell>
          <cell r="K613">
            <v>43116</v>
          </cell>
          <cell r="L613" t="str">
            <v>MARIA ELIZABETH SALINAS BUSTOS</v>
          </cell>
          <cell r="M613">
            <v>145</v>
          </cell>
          <cell r="N613" t="str">
            <v>CONTRATO DE PRESTACION DE SERVICIOS PROFESIONALES</v>
          </cell>
          <cell r="O613">
            <v>89</v>
          </cell>
          <cell r="P613">
            <v>43116</v>
          </cell>
          <cell r="Q613" t="str">
            <v>Prestación de servicios profesionales para realizar el  proceso de convergencia y adapatabilidad del nuevo marco de regulación contable en la Caja de la Vivienda Popular.</v>
          </cell>
          <cell r="R613">
            <v>68927240</v>
          </cell>
          <cell r="S613">
            <v>0</v>
          </cell>
          <cell r="T613">
            <v>0</v>
          </cell>
          <cell r="U613">
            <v>68927240</v>
          </cell>
          <cell r="V613">
            <v>38759085</v>
          </cell>
        </row>
        <row r="614">
          <cell r="J614">
            <v>98</v>
          </cell>
          <cell r="K614">
            <v>43116</v>
          </cell>
          <cell r="L614" t="str">
            <v>RAFAEL  OSORIO CANTILLO</v>
          </cell>
          <cell r="M614">
            <v>145</v>
          </cell>
          <cell r="N614" t="str">
            <v>CONTRATO DE PRESTACION DE SERVICIOS PROFESIONALES</v>
          </cell>
          <cell r="O614">
            <v>88</v>
          </cell>
          <cell r="P614">
            <v>43116</v>
          </cell>
          <cell r="Q614" t="str">
            <v>Prestación de servicios profesionales para apoyar las actividades de contabilidad a cargo de la Subdirección Financiera, aplicando la normatividad vigente y atendiendo los procesos y procedimientos establecidos por la entidad.</v>
          </cell>
          <cell r="R614">
            <v>60409500</v>
          </cell>
          <cell r="S614">
            <v>0</v>
          </cell>
          <cell r="T614">
            <v>0</v>
          </cell>
          <cell r="U614">
            <v>60409500</v>
          </cell>
          <cell r="V614">
            <v>33969400</v>
          </cell>
        </row>
        <row r="615">
          <cell r="J615">
            <v>100</v>
          </cell>
          <cell r="K615">
            <v>43116</v>
          </cell>
          <cell r="L615" t="str">
            <v>NATACHA  ESLAVA VELEZ</v>
          </cell>
          <cell r="M615">
            <v>145</v>
          </cell>
          <cell r="N615" t="str">
            <v>CONTRATO DE PRESTACION DE SERVICIOS PROFESIONALES</v>
          </cell>
          <cell r="O615">
            <v>83</v>
          </cell>
          <cell r="P615">
            <v>43116</v>
          </cell>
          <cell r="Q615" t="str">
            <v>PRESTACIÓN DE SERVICIOS PROFESIONALES PARA APOYAR EL CONTINUO MEJORAMIENTO Y LA OPERACIÓN DEL PROCESO DE GESTIÓN DOCUMENTAL A CARGO DE LA SUBDIRECCIÓN ADMINISTRATIVA.</v>
          </cell>
          <cell r="R615">
            <v>65147500</v>
          </cell>
          <cell r="S615">
            <v>0</v>
          </cell>
          <cell r="T615">
            <v>0</v>
          </cell>
          <cell r="U615">
            <v>65147500</v>
          </cell>
          <cell r="V615">
            <v>35311833</v>
          </cell>
        </row>
        <row r="616">
          <cell r="J616">
            <v>102</v>
          </cell>
          <cell r="K616">
            <v>43116</v>
          </cell>
          <cell r="L616" t="str">
            <v>CLAUDIA MARCELA GARCIA</v>
          </cell>
          <cell r="M616">
            <v>145</v>
          </cell>
          <cell r="N616" t="str">
            <v>CONTRATO DE PRESTACION DE SERVICIOS PROFESIONALES</v>
          </cell>
          <cell r="O616">
            <v>70</v>
          </cell>
          <cell r="P616">
            <v>43116</v>
          </cell>
          <cell r="Q616" t="str">
            <v>Prestación de servicios profesionales para apoyar  los procesos de planeación, implementación, seguimiento, evaluación y mejoramiento  del Sistema Integrado de Gestión, así como el cumplimiento de la Ley de Transparencia y los preceptos de Gobierno en línea.</v>
          </cell>
          <cell r="R616">
            <v>67980000</v>
          </cell>
          <cell r="S616">
            <v>67980000</v>
          </cell>
          <cell r="T616">
            <v>0</v>
          </cell>
          <cell r="U616">
            <v>0</v>
          </cell>
          <cell r="V616">
            <v>0</v>
          </cell>
        </row>
        <row r="617">
          <cell r="J617">
            <v>107</v>
          </cell>
          <cell r="K617">
            <v>43116</v>
          </cell>
          <cell r="L617" t="str">
            <v>CLAUDIA MARCELA GARCIA</v>
          </cell>
          <cell r="M617">
            <v>145</v>
          </cell>
          <cell r="N617" t="str">
            <v>CONTRATO DE PRESTACION DE SERVICIOS PROFESIONALES</v>
          </cell>
          <cell r="O617">
            <v>70</v>
          </cell>
          <cell r="P617">
            <v>43116</v>
          </cell>
          <cell r="Q617" t="str">
            <v>PRESTACIÓN DE SERVICIOS PROFESIONALES PARA APOYAR  LOS PROCESOS DE PLANEACIÓN, IMPLEMENTACIÓN, SEGUIMIENTO, EVALUACIÓN Y MEJORAMIENTO  DEL SISTEMA INTEGRADO DE GESTIÓN, ASÍ COMO EL CUMPLIMIENTO DE LA LEY DE TRANSPARENCIA Y LOS LINEAMIENTOS DE GOBIERNO EN LÍNEA.</v>
          </cell>
          <cell r="R617">
            <v>67980000</v>
          </cell>
          <cell r="S617">
            <v>0</v>
          </cell>
          <cell r="T617">
            <v>0</v>
          </cell>
          <cell r="U617">
            <v>67980000</v>
          </cell>
          <cell r="V617">
            <v>39964000</v>
          </cell>
        </row>
        <row r="618">
          <cell r="J618">
            <v>113</v>
          </cell>
          <cell r="K618">
            <v>43117</v>
          </cell>
          <cell r="L618" t="str">
            <v>JHON FREDY CASTELLANOS TORO</v>
          </cell>
          <cell r="M618">
            <v>145</v>
          </cell>
          <cell r="N618" t="str">
            <v>CONTRATO DE PRESTACION DE SERVICIOS PROFESIONALES</v>
          </cell>
          <cell r="O618">
            <v>106</v>
          </cell>
          <cell r="P618">
            <v>43117</v>
          </cell>
          <cell r="Q618" t="str">
            <v>Prestar los servicios profesionales para el mantenimiento y mejora continua del Sistema Integrado de Gestión de los procesos a cargo de la Subdirección Administrativa, así como el seguimiento financiero a las actividades a su cargo.</v>
          </cell>
          <cell r="R618">
            <v>71070000</v>
          </cell>
          <cell r="S618">
            <v>0</v>
          </cell>
          <cell r="T618">
            <v>0</v>
          </cell>
          <cell r="U618">
            <v>71070000</v>
          </cell>
          <cell r="V618">
            <v>39964000</v>
          </cell>
        </row>
        <row r="619">
          <cell r="J619">
            <v>114</v>
          </cell>
          <cell r="K619">
            <v>43117</v>
          </cell>
          <cell r="L619" t="str">
            <v>SONIA MILENA GIL MONTOYA</v>
          </cell>
          <cell r="M619">
            <v>145</v>
          </cell>
          <cell r="N619" t="str">
            <v>CONTRATO DE PRESTACION DE SERVICIOS PROFESIONALES</v>
          </cell>
          <cell r="O619">
            <v>87</v>
          </cell>
          <cell r="P619">
            <v>43117</v>
          </cell>
          <cell r="Q619" t="str">
            <v>Prestación de servicios profesionales para apoyar los procesos de planeación, implementación, seguimiento, evaluación y mejoramiento de los proyectos de inversión y el registro de la información en los Sistemas de información Distrital, generando procesos de retroalimentación para la toma de decisiones.</v>
          </cell>
          <cell r="R619">
            <v>67980000</v>
          </cell>
          <cell r="S619">
            <v>0</v>
          </cell>
          <cell r="T619">
            <v>0</v>
          </cell>
          <cell r="U619">
            <v>67980000</v>
          </cell>
          <cell r="V619">
            <v>38728000</v>
          </cell>
        </row>
        <row r="620">
          <cell r="J620">
            <v>115</v>
          </cell>
          <cell r="K620">
            <v>43117</v>
          </cell>
          <cell r="L620" t="str">
            <v>GILBERTO ANTONIO SUAREZ FAJARDO</v>
          </cell>
          <cell r="M620">
            <v>145</v>
          </cell>
          <cell r="N620" t="str">
            <v>CONTRATO DE PRESTACION DE SERVICIOS PROFESIONALES</v>
          </cell>
          <cell r="O620">
            <v>93</v>
          </cell>
          <cell r="P620">
            <v>43117</v>
          </cell>
          <cell r="Q620" t="str">
            <v>Prestar servicios profesionales en el seguimiento y ajustes que resulten necesarios dentro del sistema integrado de gestión de la Caja de la Vivienda Popular y sus componentes, que se encuentren a cargo de la Dirección Jurídica.</v>
          </cell>
          <cell r="R620">
            <v>60409500</v>
          </cell>
          <cell r="S620">
            <v>0</v>
          </cell>
          <cell r="T620">
            <v>0</v>
          </cell>
          <cell r="U620">
            <v>60409500</v>
          </cell>
          <cell r="V620">
            <v>33969400</v>
          </cell>
        </row>
        <row r="621">
          <cell r="J621">
            <v>131</v>
          </cell>
          <cell r="K621">
            <v>43117</v>
          </cell>
          <cell r="L621" t="str">
            <v>CARLOS IVAN MUÑOZ ARIAS</v>
          </cell>
          <cell r="M621">
            <v>145</v>
          </cell>
          <cell r="N621" t="str">
            <v>CONTRATO DE PRESTACION DE SERVICIOS PROFESIONALES</v>
          </cell>
          <cell r="O621">
            <v>112</v>
          </cell>
          <cell r="P621">
            <v>43117</v>
          </cell>
          <cell r="Q621" t="str">
            <v>Prestación de servicios profesionalespara apoyar las actividades relacionadas con el proceso de cartera, aplicando la normatividad vigente y los procedimientos establecidos por la Subdirección Financiera</v>
          </cell>
          <cell r="R621">
            <v>60409500</v>
          </cell>
          <cell r="S621">
            <v>0</v>
          </cell>
          <cell r="T621">
            <v>0</v>
          </cell>
          <cell r="U621">
            <v>60409500</v>
          </cell>
          <cell r="V621">
            <v>33794300</v>
          </cell>
        </row>
        <row r="622">
          <cell r="J622">
            <v>237</v>
          </cell>
          <cell r="K622">
            <v>43119</v>
          </cell>
          <cell r="L622" t="str">
            <v>CAROLINA  MONTOYA DUQUE</v>
          </cell>
          <cell r="M622">
            <v>145</v>
          </cell>
          <cell r="N622" t="str">
            <v>CONTRATO DE PRESTACION DE SERVICIOS PROFESIONALES</v>
          </cell>
          <cell r="O622">
            <v>207</v>
          </cell>
          <cell r="P622">
            <v>43119</v>
          </cell>
          <cell r="Q622" t="str">
            <v>Prestación de servicios profesionales para apoyar el desarrollo de auditorias internas, seguimiento y evaluación a los planes establecidos para fortalecer el Sistema de Control Interno y el mejoramiento del Sistema Integrado de Gestión de la Entidad.</v>
          </cell>
          <cell r="R622">
            <v>30220200</v>
          </cell>
          <cell r="S622">
            <v>0</v>
          </cell>
          <cell r="T622">
            <v>0</v>
          </cell>
          <cell r="U622">
            <v>30220200</v>
          </cell>
          <cell r="V622">
            <v>30220200</v>
          </cell>
        </row>
        <row r="623">
          <cell r="J623">
            <v>238</v>
          </cell>
          <cell r="K623">
            <v>43119</v>
          </cell>
          <cell r="M623">
            <v>145</v>
          </cell>
          <cell r="N623" t="str">
            <v>CONTRATO DE PRESTACION DE SERVICIOS PROFESIONALES</v>
          </cell>
          <cell r="O623">
            <v>95</v>
          </cell>
          <cell r="P623">
            <v>43119</v>
          </cell>
          <cell r="Q623" t="str">
            <v>Prestar servicios profesionales a la Dirección Jurídica en el ejercicio de las actividades de conceptualización, revisión de actos administrativos y demás actividades que requieran ser ejecutadas por la Caja de la Vivienda Popular.</v>
          </cell>
          <cell r="R623">
            <v>57922050</v>
          </cell>
          <cell r="S623">
            <v>57922050</v>
          </cell>
          <cell r="T623">
            <v>0</v>
          </cell>
          <cell r="U623">
            <v>0</v>
          </cell>
          <cell r="V623">
            <v>0</v>
          </cell>
        </row>
        <row r="624">
          <cell r="J624">
            <v>248</v>
          </cell>
          <cell r="K624">
            <v>43119</v>
          </cell>
          <cell r="L624" t="str">
            <v>JONNATHAN ANDRES LARA HERRERA</v>
          </cell>
          <cell r="M624">
            <v>145</v>
          </cell>
          <cell r="N624" t="str">
            <v>CONTRATO DE PRESTACION DE SERVICIOS PROFESIONALES</v>
          </cell>
          <cell r="O624">
            <v>213</v>
          </cell>
          <cell r="P624">
            <v>43119</v>
          </cell>
          <cell r="Q624" t="str">
            <v>Prestación de servicios profesionales para realizar el seguimiento y control al cumplimiento del Sistema Integrado de Gestión de la CVP, así como del Plan Operativo de Control Interno.</v>
          </cell>
          <cell r="R624">
            <v>33990000</v>
          </cell>
          <cell r="S624">
            <v>0</v>
          </cell>
          <cell r="T624">
            <v>0</v>
          </cell>
          <cell r="U624">
            <v>33990000</v>
          </cell>
          <cell r="V624">
            <v>33990000</v>
          </cell>
        </row>
        <row r="625">
          <cell r="J625">
            <v>254</v>
          </cell>
          <cell r="K625">
            <v>43119</v>
          </cell>
          <cell r="L625" t="str">
            <v>CLAUDIA YANET D ANTONIO ADAME</v>
          </cell>
          <cell r="M625">
            <v>145</v>
          </cell>
          <cell r="N625" t="str">
            <v>CONTRATO DE PRESTACION DE SERVICIOS PROFESIONALES</v>
          </cell>
          <cell r="O625">
            <v>223</v>
          </cell>
          <cell r="P625">
            <v>43119</v>
          </cell>
          <cell r="Q625" t="str">
            <v>Prestación de servicios profesionales para realizar el seguimiento y evaluación a los procesos, con el fin de fortalecer el Sistema Integrado de Gestión y la sostenibilidad del MECI, apoyando además la ejecución del plan operativo de Control Interno.</v>
          </cell>
          <cell r="R625">
            <v>33990000</v>
          </cell>
          <cell r="S625">
            <v>0</v>
          </cell>
          <cell r="T625">
            <v>0</v>
          </cell>
          <cell r="U625">
            <v>33990000</v>
          </cell>
          <cell r="V625">
            <v>33990000</v>
          </cell>
        </row>
        <row r="626">
          <cell r="J626">
            <v>259</v>
          </cell>
          <cell r="K626">
            <v>43119</v>
          </cell>
          <cell r="L626" t="str">
            <v>SANDRA MILENA HERNANDEZ CUBILLOS</v>
          </cell>
          <cell r="M626">
            <v>145</v>
          </cell>
          <cell r="N626" t="str">
            <v>CONTRATO DE PRESTACION DE SERVICIOS PROFESIONALES</v>
          </cell>
          <cell r="O626">
            <v>233</v>
          </cell>
          <cell r="P626">
            <v>43119</v>
          </cell>
          <cell r="Q626" t="str">
            <v>PRESTAR LOS SERVICIOS PROFESIONALES PARA APOYAR A LA SUBDIRECCIÓN ADMINISTRATIVA EN LOS TEMAS ADMINISTRATIVOS Y DE EJECUCIÓN CONTRACTUAL TENDIENTES AL CUMPLIMIENTO DE LAS METAS ESTABLECIDAS.</v>
          </cell>
          <cell r="R626">
            <v>57922050</v>
          </cell>
          <cell r="S626">
            <v>0</v>
          </cell>
          <cell r="T626">
            <v>0</v>
          </cell>
          <cell r="U626">
            <v>57922050</v>
          </cell>
          <cell r="V626">
            <v>31731210</v>
          </cell>
        </row>
        <row r="627">
          <cell r="J627">
            <v>300</v>
          </cell>
          <cell r="K627">
            <v>43122</v>
          </cell>
          <cell r="L627" t="str">
            <v>JORGE ENRIQUE DURAN HERRERA</v>
          </cell>
          <cell r="M627">
            <v>145</v>
          </cell>
          <cell r="N627" t="str">
            <v>CONTRATO DE PRESTACION DE SERVICIOS PROFESIONALES</v>
          </cell>
          <cell r="O627">
            <v>265</v>
          </cell>
          <cell r="P627">
            <v>43122</v>
          </cell>
          <cell r="Q627" t="str">
            <v>Prestación de servicios profesionales para el acompañamiento jurídico en las diferentes etapas de los procesos de contratación que adelante la Caja de la Vivienda Popular</v>
          </cell>
          <cell r="R627">
            <v>51211600</v>
          </cell>
          <cell r="S627">
            <v>0</v>
          </cell>
          <cell r="T627">
            <v>0</v>
          </cell>
          <cell r="U627">
            <v>51211600</v>
          </cell>
          <cell r="V627">
            <v>28400533</v>
          </cell>
        </row>
        <row r="628">
          <cell r="J628">
            <v>310</v>
          </cell>
          <cell r="K628">
            <v>43122</v>
          </cell>
          <cell r="L628" t="str">
            <v>DARRYN  CALDERON TRUJILLO</v>
          </cell>
          <cell r="M628">
            <v>145</v>
          </cell>
          <cell r="N628" t="str">
            <v>CONTRATO DE PRESTACION DE SERVICIOS PROFESIONALES</v>
          </cell>
          <cell r="O628">
            <v>281</v>
          </cell>
          <cell r="P628">
            <v>43122</v>
          </cell>
          <cell r="Q628" t="str">
            <v>Prestación de servicios profesionales para acompañar a la DGC y CID en la revisión, actualización, y/o mejora de los diferentes procesos que se encuentran a su cargo.</v>
          </cell>
          <cell r="R628">
            <v>82915000</v>
          </cell>
          <cell r="S628">
            <v>0</v>
          </cell>
          <cell r="T628">
            <v>0</v>
          </cell>
          <cell r="U628">
            <v>82915000</v>
          </cell>
          <cell r="V628">
            <v>45182667</v>
          </cell>
        </row>
        <row r="629">
          <cell r="J629">
            <v>331</v>
          </cell>
          <cell r="K629">
            <v>43123</v>
          </cell>
          <cell r="L629" t="str">
            <v>LAURA FERNANDA GOMEZ RAMIREZ</v>
          </cell>
          <cell r="M629">
            <v>145</v>
          </cell>
          <cell r="N629" t="str">
            <v>CONTRATO DE PRESTACION DE SERVICIOS PROFESIONALES</v>
          </cell>
          <cell r="O629">
            <v>282</v>
          </cell>
          <cell r="P629">
            <v>43123</v>
          </cell>
          <cell r="Q629" t="str">
            <v>Prestar servicios profesionales en la Dirección de Mejoramiento de Barrios para el acompañamiento jurídico requerido, sirviendo además de enlace con la Dirección de Gestión Corporativa y CID para el adelantamiento de las diferentes etapas de los procesos de contratación.</v>
          </cell>
          <cell r="R629">
            <v>57500000</v>
          </cell>
          <cell r="S629">
            <v>0</v>
          </cell>
          <cell r="T629">
            <v>0</v>
          </cell>
          <cell r="U629">
            <v>57500000</v>
          </cell>
          <cell r="V629">
            <v>30166666</v>
          </cell>
        </row>
        <row r="630">
          <cell r="J630">
            <v>358</v>
          </cell>
          <cell r="K630">
            <v>43123</v>
          </cell>
          <cell r="L630" t="str">
            <v>BIENES RAICES ECA LTDA</v>
          </cell>
          <cell r="M630">
            <v>17</v>
          </cell>
          <cell r="N630" t="str">
            <v>CONTRATO DE ARRENDAMIENTO</v>
          </cell>
          <cell r="O630">
            <v>291</v>
          </cell>
          <cell r="P630">
            <v>43123</v>
          </cell>
          <cell r="Q630" t="str">
            <v>CONTRATAR EL ARRENDAMIENTO DE BODEGA PARA EL ARCHIVO DE GESTIÓN DOCUMENTAL DE LA CAJA DE LA VIVIENDA POPULAR, SEGÚN ACUERDO NO. 049 DE 2000 DEL ARCHIVO GENERAL DE LA NACIÓN.</v>
          </cell>
          <cell r="R630">
            <v>65884824</v>
          </cell>
          <cell r="S630">
            <v>0</v>
          </cell>
          <cell r="T630">
            <v>0</v>
          </cell>
          <cell r="U630">
            <v>65884824</v>
          </cell>
          <cell r="V630">
            <v>34406519</v>
          </cell>
        </row>
        <row r="631">
          <cell r="J631">
            <v>406</v>
          </cell>
          <cell r="K631">
            <v>43124</v>
          </cell>
          <cell r="L631" t="str">
            <v>LAURA CAMILA FLOREZ CHAVERRA</v>
          </cell>
          <cell r="M631">
            <v>148</v>
          </cell>
          <cell r="N631" t="str">
            <v>CONTRATO DE PRESTACION DE SERVICIOS DE APOYO A LA GESTION</v>
          </cell>
          <cell r="O631">
            <v>290</v>
          </cell>
          <cell r="P631">
            <v>43124</v>
          </cell>
          <cell r="Q631" t="str">
            <v>Prestación de servicios de apoyo a la gestión para el adelantamiento de actividades administrativas y operativas relacionadas con los procesos a cargo de la Dirección de Gestión Corporativa y CID.</v>
          </cell>
          <cell r="R631">
            <v>17252500</v>
          </cell>
          <cell r="S631">
            <v>0</v>
          </cell>
          <cell r="T631">
            <v>0</v>
          </cell>
          <cell r="U631">
            <v>17252500</v>
          </cell>
          <cell r="V631">
            <v>9630500</v>
          </cell>
        </row>
        <row r="632">
          <cell r="J632">
            <v>431</v>
          </cell>
          <cell r="K632">
            <v>43124</v>
          </cell>
          <cell r="L632" t="str">
            <v>JIMMY ALEXANDER MONTAÑO DUQUE</v>
          </cell>
          <cell r="M632">
            <v>145</v>
          </cell>
          <cell r="N632" t="str">
            <v>CONTRATO DE PRESTACION DE SERVICIOS PROFESIONALES</v>
          </cell>
          <cell r="O632">
            <v>372</v>
          </cell>
          <cell r="P632">
            <v>43124</v>
          </cell>
          <cell r="Q632" t="str">
            <v>Prestar los servicios profesionales para apoyar la consolidación, seguimiento, implementación y actualización de los instrumentos archivísticos de la entidad y demás temas inherentes al proceso de Gestión Documental a cargo de la Subdirección Administrativa.</v>
          </cell>
          <cell r="R632">
            <v>26780000</v>
          </cell>
          <cell r="S632">
            <v>0</v>
          </cell>
          <cell r="T632">
            <v>0</v>
          </cell>
          <cell r="U632">
            <v>26780000</v>
          </cell>
          <cell r="V632">
            <v>25544000</v>
          </cell>
        </row>
        <row r="633">
          <cell r="J633">
            <v>440</v>
          </cell>
          <cell r="K633">
            <v>43125</v>
          </cell>
          <cell r="L633" t="str">
            <v>JOAN MANUELWILHAYNER GAITAN FERRER</v>
          </cell>
          <cell r="M633">
            <v>145</v>
          </cell>
          <cell r="N633" t="str">
            <v>CONTRATO DE PRESTACION DE SERVICIOS PROFESIONALES</v>
          </cell>
          <cell r="O633">
            <v>378</v>
          </cell>
          <cell r="P633">
            <v>43125</v>
          </cell>
          <cell r="Q633" t="str">
            <v>Prestar servicios profesionales para apoyar la planeación, seguimiento, proyección y evaluación de los proyectos de inversión y los planes de gestión de la Caja de la Vivienda Popular.</v>
          </cell>
          <cell r="R633">
            <v>37389000</v>
          </cell>
          <cell r="S633">
            <v>0</v>
          </cell>
          <cell r="T633">
            <v>0</v>
          </cell>
          <cell r="U633">
            <v>37389000</v>
          </cell>
          <cell r="V633">
            <v>20960500</v>
          </cell>
        </row>
        <row r="634">
          <cell r="J634">
            <v>441</v>
          </cell>
          <cell r="K634">
            <v>43125</v>
          </cell>
          <cell r="L634" t="str">
            <v>ADRIANA  DURAN CABRA</v>
          </cell>
          <cell r="M634">
            <v>145</v>
          </cell>
          <cell r="N634" t="str">
            <v>CONTRATO DE PRESTACION DE SERVICIOS PROFESIONALES</v>
          </cell>
          <cell r="O634">
            <v>380</v>
          </cell>
          <cell r="P634">
            <v>43125</v>
          </cell>
          <cell r="Q634" t="str">
            <v>Prestación de servicios profesionales para acompañar a la Dirección de Gestión Corporativa y CID en el seguimiento y monitoreo de las diferentes herramientas del Sistema Integrado de Gestión de los procesos que se encuentran a su cargo.</v>
          </cell>
          <cell r="R634">
            <v>71070000</v>
          </cell>
          <cell r="S634">
            <v>0</v>
          </cell>
          <cell r="T634">
            <v>0</v>
          </cell>
          <cell r="U634">
            <v>71070000</v>
          </cell>
          <cell r="V634">
            <v>38316000</v>
          </cell>
        </row>
        <row r="635">
          <cell r="J635">
            <v>452</v>
          </cell>
          <cell r="K635">
            <v>43125</v>
          </cell>
          <cell r="L635" t="str">
            <v>YUDY MARIETH VELEZ CALDERON</v>
          </cell>
          <cell r="M635">
            <v>145</v>
          </cell>
          <cell r="N635" t="str">
            <v>CONTRATO DE PRESTACION DE SERVICIOS PROFESIONALES</v>
          </cell>
          <cell r="O635">
            <v>382</v>
          </cell>
          <cell r="P635">
            <v>43125</v>
          </cell>
          <cell r="Q635" t="str">
            <v>Prestación de servicios profesionales para el acompañamiento jurídico en las diferentes etapas de los procesos de contratación que adelante la Caja de la Vivienda Popular</v>
          </cell>
          <cell r="R635">
            <v>82915000</v>
          </cell>
          <cell r="S635">
            <v>0</v>
          </cell>
          <cell r="T635">
            <v>0</v>
          </cell>
          <cell r="U635">
            <v>82915000</v>
          </cell>
          <cell r="V635">
            <v>44461667</v>
          </cell>
        </row>
        <row r="636">
          <cell r="J636">
            <v>481</v>
          </cell>
          <cell r="K636">
            <v>43126</v>
          </cell>
          <cell r="L636" t="str">
            <v>NICOLAS ANDRES GUZMAN PADILLA</v>
          </cell>
          <cell r="M636">
            <v>145</v>
          </cell>
          <cell r="N636" t="str">
            <v>CONTRATO DE PRESTACION DE SERVICIOS PROFESIONALES</v>
          </cell>
          <cell r="O636">
            <v>403</v>
          </cell>
          <cell r="P636">
            <v>43126</v>
          </cell>
          <cell r="Q636" t="str">
            <v>Prestar servicios profesionales a la Dirección Jurídica en el ejercicio de las actividades de conceptualización, revisión de actos administrativos y demás actividades que requieran ser ejecutadas por la Caja de la Vivienda Popular.</v>
          </cell>
          <cell r="R636">
            <v>52118000</v>
          </cell>
          <cell r="S636">
            <v>0</v>
          </cell>
          <cell r="T636">
            <v>0</v>
          </cell>
          <cell r="U636">
            <v>52118000</v>
          </cell>
          <cell r="V636">
            <v>28098400</v>
          </cell>
        </row>
        <row r="637">
          <cell r="J637">
            <v>506</v>
          </cell>
          <cell r="K637">
            <v>43126</v>
          </cell>
          <cell r="L637" t="str">
            <v>RAFAEL  PINILLA CUEVA</v>
          </cell>
          <cell r="M637">
            <v>145</v>
          </cell>
          <cell r="N637" t="str">
            <v>CONTRATO DE PRESTACION DE SERVICIOS PROFESIONALES</v>
          </cell>
          <cell r="O637">
            <v>416</v>
          </cell>
          <cell r="P637">
            <v>43126</v>
          </cell>
          <cell r="Q637" t="str">
            <v>Prestación de servicios profesionales para el desarrollo de actividades tendientes al manejo de información confiable, oportuna y en los tiempos requeridos, mejorando los procesos de calidad de la Subdirección Financiera de la Caja de la Vivienda Popular.</v>
          </cell>
          <cell r="R637">
            <v>39088500</v>
          </cell>
          <cell r="S637">
            <v>0</v>
          </cell>
          <cell r="T637">
            <v>0</v>
          </cell>
          <cell r="U637">
            <v>39088500</v>
          </cell>
          <cell r="V637">
            <v>20733900</v>
          </cell>
        </row>
        <row r="638">
          <cell r="J638">
            <v>1656</v>
          </cell>
          <cell r="K638">
            <v>43185</v>
          </cell>
          <cell r="L638" t="str">
            <v>HORACIO  DUQUE DUQUE</v>
          </cell>
          <cell r="M638">
            <v>17</v>
          </cell>
          <cell r="N638" t="str">
            <v>CONTRATO DE ARRENDAMIENTO</v>
          </cell>
          <cell r="O638">
            <v>564</v>
          </cell>
          <cell r="P638">
            <v>43185</v>
          </cell>
          <cell r="Q638" t="str">
            <v>Adición y prorroga al contrato 564 de 2017 cuyo objeto es "El arrendador entrega al arrendatario a título de arrendamiento el inmueble ubicado en la calle 57 n° 6-35 local 2-01 de la ciudad de Bogotá para ser destinado al desarrollo de las actividades profesionales y misionales del proyecto vereditas que será atendido por la caja de vivienda popular"</v>
          </cell>
          <cell r="R638">
            <v>31143000</v>
          </cell>
          <cell r="S638">
            <v>0</v>
          </cell>
          <cell r="T638">
            <v>0</v>
          </cell>
          <cell r="U638">
            <v>31143000</v>
          </cell>
          <cell r="V638">
            <v>31143000</v>
          </cell>
        </row>
        <row r="639">
          <cell r="J639">
            <v>2405</v>
          </cell>
          <cell r="K639">
            <v>43280</v>
          </cell>
          <cell r="L639" t="str">
            <v>EDGAR DAVID MOTTA REVOLLO</v>
          </cell>
          <cell r="M639">
            <v>145</v>
          </cell>
          <cell r="N639" t="str">
            <v>CONTRATO DE PRESTACION DE SERVICIOS PROFESIONALES</v>
          </cell>
          <cell r="O639">
            <v>437</v>
          </cell>
          <cell r="P639">
            <v>43280</v>
          </cell>
          <cell r="Q639" t="str">
            <v>PRESTACIÓN DE SERVICIOS PROFESIONALES EN EL DESARROLLO DE ACTIVIDADES JURÍDICAS Y ADMINISTRATIVAS TRANSVERSALES RELACIONADAS CON LOS DIFERENTES PROYECTOS DE LA ENTIDAD, PARA SU CORRESPONDIENTE REPORTE ANTE LA DIRECCIÓN GENERAL DE LA CAJA DE LA VIVIENDA POPULAR.</v>
          </cell>
          <cell r="R639">
            <v>54000000</v>
          </cell>
          <cell r="S639">
            <v>0</v>
          </cell>
          <cell r="T639">
            <v>0</v>
          </cell>
          <cell r="U639">
            <v>54000000</v>
          </cell>
          <cell r="V639">
            <v>8400000</v>
          </cell>
        </row>
        <row r="640">
          <cell r="J640">
            <v>2435</v>
          </cell>
          <cell r="K640">
            <v>43286</v>
          </cell>
          <cell r="L640" t="str">
            <v>JUAN JOSE CORREDOR CABUYA</v>
          </cell>
          <cell r="M640">
            <v>145</v>
          </cell>
          <cell r="N640" t="str">
            <v>CONTRATO DE PRESTACION DE SERVICIOS PROFESIONALES</v>
          </cell>
          <cell r="O640">
            <v>439</v>
          </cell>
          <cell r="P640">
            <v>43286</v>
          </cell>
          <cell r="Q640" t="str">
            <v>Prestación de servicios profesionales para acompañar desde el punto de vista jurídico y administrativo el seguimiento, control y monitoreo de los proyectos de inversión misionales de la Caja de la Vivienda Popular, generando las herramientas de reporte y articulación correspondientes.</v>
          </cell>
          <cell r="R640">
            <v>48890667</v>
          </cell>
          <cell r="S640">
            <v>0</v>
          </cell>
          <cell r="T640">
            <v>0</v>
          </cell>
          <cell r="U640">
            <v>48890667</v>
          </cell>
          <cell r="V640">
            <v>7141333</v>
          </cell>
        </row>
        <row r="641">
          <cell r="J641">
            <v>2447</v>
          </cell>
          <cell r="K641">
            <v>43286</v>
          </cell>
          <cell r="L641" t="str">
            <v>SERVICIOS POSTALES NACIONALES S A</v>
          </cell>
          <cell r="M641">
            <v>12</v>
          </cell>
          <cell r="N641" t="str">
            <v>CONTRATO DE PRESTACION DE SERVICIOS</v>
          </cell>
          <cell r="O641">
            <v>440</v>
          </cell>
          <cell r="P641">
            <v>43286</v>
          </cell>
          <cell r="Q641" t="str">
            <v>Prestación del servicio de mensajería expresa y motorizada para la recolección, transporte y entrega de la correspondencia de la Caja de la Vivienda Popular.</v>
          </cell>
          <cell r="R641">
            <v>22992271</v>
          </cell>
          <cell r="S641">
            <v>0</v>
          </cell>
          <cell r="T641">
            <v>0</v>
          </cell>
          <cell r="U641">
            <v>22992271</v>
          </cell>
          <cell r="V641">
            <v>0</v>
          </cell>
        </row>
        <row r="642">
          <cell r="J642">
            <v>2456</v>
          </cell>
          <cell r="K642">
            <v>43290</v>
          </cell>
          <cell r="L642" t="str">
            <v>LIESET KATHERINE REYES ACHIPIZ</v>
          </cell>
          <cell r="M642">
            <v>145</v>
          </cell>
          <cell r="N642" t="str">
            <v>CONTRATO DE PRESTACION DE SERVICIOS PROFESIONALES</v>
          </cell>
          <cell r="O642">
            <v>441</v>
          </cell>
          <cell r="P642">
            <v>43290</v>
          </cell>
          <cell r="Q642" t="str">
            <v>Prestación de servicios profesionales para el acompañamiento jurídico en las diferentes etapas de los procesos de contratación que adelante la Caja de la Vivienda Popular.</v>
          </cell>
          <cell r="R642">
            <v>31167800</v>
          </cell>
          <cell r="S642">
            <v>0</v>
          </cell>
          <cell r="T642">
            <v>0</v>
          </cell>
          <cell r="U642">
            <v>31167800</v>
          </cell>
          <cell r="V642">
            <v>3852200</v>
          </cell>
        </row>
        <row r="643">
          <cell r="J643">
            <v>2486</v>
          </cell>
          <cell r="K643">
            <v>43292</v>
          </cell>
          <cell r="L643" t="str">
            <v>ANDREA JOHANNA GUTIERREZ MARTINEZ</v>
          </cell>
          <cell r="M643">
            <v>148</v>
          </cell>
          <cell r="N643" t="str">
            <v>CONTRATO DE PRESTACION DE SERVICIOS DE APOYO A LA GESTION</v>
          </cell>
          <cell r="O643">
            <v>444</v>
          </cell>
          <cell r="P643">
            <v>43292</v>
          </cell>
          <cell r="Q643" t="str">
            <v>Prestación de servicios de apoyo a la gestión en la Dirección de Gestión Corporativa y CID, para apoyar operativamente las actividades relacionadas con la aplicación de los instrumentos archivísticos de la entidad.</v>
          </cell>
          <cell r="R643">
            <v>10039067</v>
          </cell>
          <cell r="S643">
            <v>0</v>
          </cell>
          <cell r="T643">
            <v>0</v>
          </cell>
          <cell r="U643">
            <v>10039067</v>
          </cell>
          <cell r="V643">
            <v>1108967</v>
          </cell>
        </row>
        <row r="644">
          <cell r="J644">
            <v>2500</v>
          </cell>
          <cell r="K644">
            <v>43298</v>
          </cell>
          <cell r="L644" t="str">
            <v>GUSTAVO ANDRES POLANIA CALDERON</v>
          </cell>
          <cell r="M644">
            <v>145</v>
          </cell>
          <cell r="N644" t="str">
            <v>CONTRATO DE PRESTACION DE SERVICIOS PROFESIONALES</v>
          </cell>
          <cell r="O644">
            <v>445</v>
          </cell>
          <cell r="P644">
            <v>43298</v>
          </cell>
          <cell r="Q644" t="str">
            <v>Prestar servicios profesionales para apoyar la planeación, seguimiento y evaluación de los subsistemas del Sistema Integrado de Gestión de la Caja de la Vivienda Popular.</v>
          </cell>
          <cell r="R644">
            <v>28877080</v>
          </cell>
          <cell r="S644">
            <v>0</v>
          </cell>
          <cell r="T644">
            <v>0</v>
          </cell>
          <cell r="U644">
            <v>28877080</v>
          </cell>
          <cell r="V644">
            <v>2350460</v>
          </cell>
        </row>
        <row r="645">
          <cell r="J645">
            <v>2540</v>
          </cell>
          <cell r="K645">
            <v>43305</v>
          </cell>
          <cell r="L645" t="str">
            <v>MAURICIO ALFONSO CALDERON ACERO</v>
          </cell>
          <cell r="M645">
            <v>145</v>
          </cell>
          <cell r="N645" t="str">
            <v>CONTRATO DE PRESTACION DE SERVICIOS PROFESIONALES</v>
          </cell>
          <cell r="O645">
            <v>460</v>
          </cell>
          <cell r="P645">
            <v>43305</v>
          </cell>
          <cell r="Q645" t="str">
            <v>Prestación de servicios profesionales como enlace jurídico para la atención de los requerimientos y trámites que adelante la Dirección General de la Caja de la Vivienda Popular ante los diferentes órganos de control.</v>
          </cell>
          <cell r="R645">
            <v>49266000</v>
          </cell>
          <cell r="S645">
            <v>0</v>
          </cell>
          <cell r="T645">
            <v>0</v>
          </cell>
          <cell r="U645">
            <v>49266000</v>
          </cell>
          <cell r="V645">
            <v>2499000</v>
          </cell>
        </row>
        <row r="646">
          <cell r="J646">
            <v>2552</v>
          </cell>
          <cell r="K646">
            <v>43313</v>
          </cell>
          <cell r="L646" t="str">
            <v>DIEGO GERMAN MANJARREZ SANCHEZ</v>
          </cell>
          <cell r="M646">
            <v>145</v>
          </cell>
          <cell r="N646" t="str">
            <v>CONTRATO DE PRESTACION DE SERVICIOS PROFESIONALES</v>
          </cell>
          <cell r="O646">
            <v>471</v>
          </cell>
          <cell r="P646">
            <v>43313</v>
          </cell>
          <cell r="Q646" t="str">
            <v>Prestación de servicios profesionales en derecho a la Dirección Jurídica en desarrollo de las actividades de conceptualización jurídica, seguimiento a acciones constitucionales y demás actuaciones administrativas requeridas en la ejecución de las actividades propias de la Entidad.</v>
          </cell>
          <cell r="R646">
            <v>42573333</v>
          </cell>
          <cell r="S646">
            <v>0</v>
          </cell>
          <cell r="T646">
            <v>0</v>
          </cell>
          <cell r="U646">
            <v>42573333</v>
          </cell>
          <cell r="V646">
            <v>0</v>
          </cell>
        </row>
        <row r="647">
          <cell r="J647">
            <v>2614</v>
          </cell>
          <cell r="K647">
            <v>43320</v>
          </cell>
          <cell r="L647" t="str">
            <v>JIMMY ALEXANDER MONTAÑO DUQUE</v>
          </cell>
          <cell r="M647">
            <v>145</v>
          </cell>
          <cell r="N647" t="str">
            <v>CONTRATO DE PRESTACION DE SERVICIOS PROFESIONALES</v>
          </cell>
          <cell r="O647">
            <v>372</v>
          </cell>
          <cell r="P647">
            <v>43320</v>
          </cell>
          <cell r="Q647" t="str">
            <v>ADICIÓN Y PRORROGA AL CONTRATO 372 DE 2018 CUYO OBJETO ES "PRESTAR LOS SERVICIOS PROFESIONALES PARA APOYAR LA CONSOLIDACIÓN, SEGUIMIENTO, IMPLEMENTACIÓN Y ACTUALIZACIÓN DE LOS INSTRUMENTOS ARCHIVÍSTICOS DE LA ENTIDAD Y DEMÁS TEMAS INHERENTES AL PROCESO DE GESTIÓN DOCUMENTAL A CARGO DE LA SUBDIRECCIÓN ADMINISTRATIVA.."</v>
          </cell>
          <cell r="R647">
            <v>8240000</v>
          </cell>
          <cell r="S647">
            <v>0</v>
          </cell>
          <cell r="T647">
            <v>0</v>
          </cell>
          <cell r="U647">
            <v>8240000</v>
          </cell>
          <cell r="V647">
            <v>0</v>
          </cell>
        </row>
        <row r="648">
          <cell r="J648">
            <v>2659</v>
          </cell>
          <cell r="K648">
            <v>43327</v>
          </cell>
          <cell r="L648" t="str">
            <v>MARIA ELENA  MEJIA QUINTANILLA</v>
          </cell>
          <cell r="M648">
            <v>148</v>
          </cell>
          <cell r="N648" t="str">
            <v>CONTRATO DE PRESTACION DE SERVICIOS DE APOYO A LA GESTION</v>
          </cell>
          <cell r="O648">
            <v>488</v>
          </cell>
          <cell r="P648">
            <v>43327</v>
          </cell>
          <cell r="Q648" t="str">
            <v>Prestación de servicios de apoyo a la gestión en la Dirección de Gestión Corporativa y CID, para apoyar operativamente las actividades realacionadas con la aplicación de los instrumentos archivísticos de la entidad.</v>
          </cell>
          <cell r="R648">
            <v>8346433</v>
          </cell>
          <cell r="S648">
            <v>0</v>
          </cell>
          <cell r="T648">
            <v>0</v>
          </cell>
          <cell r="U648">
            <v>8346433</v>
          </cell>
          <cell r="V648">
            <v>0</v>
          </cell>
        </row>
        <row r="649">
          <cell r="J649">
            <v>2674</v>
          </cell>
          <cell r="K649">
            <v>43329</v>
          </cell>
          <cell r="L649" t="str">
            <v>HERNAN DARIO PARRA RODRIGUEZ</v>
          </cell>
          <cell r="M649">
            <v>145</v>
          </cell>
          <cell r="N649" t="str">
            <v>CONTRATO DE PRESTACION DE SERVICIOS PROFESIONALES</v>
          </cell>
          <cell r="O649">
            <v>504</v>
          </cell>
          <cell r="P649">
            <v>43329</v>
          </cell>
          <cell r="Q649" t="str">
            <v>Prestación de servicios profesionales para el compañamiento administrativo en la elaboración, seguimiento y control de los temas a cargo de la Subdirección Administrativa.</v>
          </cell>
          <cell r="R649">
            <v>12360000</v>
          </cell>
          <cell r="S649">
            <v>0</v>
          </cell>
          <cell r="T649">
            <v>0</v>
          </cell>
          <cell r="U649">
            <v>12360000</v>
          </cell>
          <cell r="V649">
            <v>0</v>
          </cell>
        </row>
        <row r="650">
          <cell r="J650">
            <v>2741</v>
          </cell>
          <cell r="K650">
            <v>43336</v>
          </cell>
          <cell r="L650" t="str">
            <v>DAVID RICARDO OCHOA YEPES</v>
          </cell>
          <cell r="M650">
            <v>145</v>
          </cell>
          <cell r="N650" t="str">
            <v>CONTRATO DE PRESTACION DE SERVICIOS PROFESIONALES</v>
          </cell>
          <cell r="O650">
            <v>538</v>
          </cell>
          <cell r="P650">
            <v>43336</v>
          </cell>
          <cell r="Q650" t="str">
            <v>Prestación de servicios profesionales para apoyar técnicamente a la Dirección General de la Caja de la Vivienda Popular en la articulación de los diferentes proyectos y programas de obras públicas, infraestructura pública, intervención barrial y proyectos de vivienda nueva, que se desarrollen en cada una de las áreas misionales con ocasión al cumplimiento de las metas y misionalidad propuestas a las mismas.</v>
          </cell>
          <cell r="R650">
            <v>38400000</v>
          </cell>
          <cell r="S650">
            <v>0</v>
          </cell>
          <cell r="T650">
            <v>0</v>
          </cell>
          <cell r="U650">
            <v>38400000</v>
          </cell>
          <cell r="V650">
            <v>0</v>
          </cell>
        </row>
        <row r="651">
          <cell r="J651">
            <v>2748</v>
          </cell>
          <cell r="K651">
            <v>43336</v>
          </cell>
          <cell r="L651" t="str">
            <v>MARIA EMMA OROZCO ESPINOSA</v>
          </cell>
          <cell r="M651">
            <v>145</v>
          </cell>
          <cell r="N651" t="str">
            <v>CONTRATO DE PRESTACION DE SERVICIOS PROFESIONALES</v>
          </cell>
          <cell r="O651">
            <v>535</v>
          </cell>
          <cell r="P651">
            <v>43336</v>
          </cell>
          <cell r="Q651" t="str">
            <v>Prestar los servicios profesionales para ejercer la representación judicial y extrajudicial en materia policiva, en defensa de los intereses de la Caja de la Vivienda Popular y demás actividades de la Dirección Jurídica.</v>
          </cell>
          <cell r="R651">
            <v>39000000</v>
          </cell>
          <cell r="S651">
            <v>0</v>
          </cell>
          <cell r="T651">
            <v>0</v>
          </cell>
          <cell r="U651">
            <v>39000000</v>
          </cell>
          <cell r="V651">
            <v>0</v>
          </cell>
        </row>
        <row r="652">
          <cell r="J652">
            <v>2749</v>
          </cell>
          <cell r="K652">
            <v>43336</v>
          </cell>
          <cell r="L652" t="str">
            <v>VICTOR EMILIO ROA TOVAR</v>
          </cell>
          <cell r="M652">
            <v>145</v>
          </cell>
          <cell r="N652" t="str">
            <v>CONTRATO DE PRESTACION DE SERVICIOS PROFESIONALES</v>
          </cell>
          <cell r="O652">
            <v>536</v>
          </cell>
          <cell r="P652">
            <v>43336</v>
          </cell>
          <cell r="Q652" t="str">
            <v>PRESTAR SUS SERVICIOS PROFESIONALES EN LOS PROCEDIMIENTOS A CARGO DE LA DIRECCIÓN JURÍDICA PARA EL CUMPLIMIENTO DE SUS OBJETIVOS.</v>
          </cell>
          <cell r="R652">
            <v>27810000</v>
          </cell>
          <cell r="S652">
            <v>0</v>
          </cell>
          <cell r="T652">
            <v>0</v>
          </cell>
          <cell r="U652">
            <v>27810000</v>
          </cell>
          <cell r="V652">
            <v>0</v>
          </cell>
        </row>
        <row r="653">
          <cell r="J653">
            <v>2755</v>
          </cell>
          <cell r="K653">
            <v>43339</v>
          </cell>
          <cell r="L653" t="str">
            <v>NELSON JOSE VILLARRAGA QUIJANO</v>
          </cell>
          <cell r="M653">
            <v>145</v>
          </cell>
          <cell r="N653" t="str">
            <v>CONTRATO DE PRESTACION DE SERVICIOS PROFESIONALES</v>
          </cell>
          <cell r="O653">
            <v>539</v>
          </cell>
          <cell r="P653">
            <v>43339</v>
          </cell>
          <cell r="Q653" t="str">
            <v>Prestar servicios profesionales para ejercer la representación judicial y extrajudicial en materia penal, en defensa de los intereses de la Caja de la Vivienda Popular y demás actividades de la Dirección Jurídica.</v>
          </cell>
          <cell r="R653">
            <v>27810000</v>
          </cell>
          <cell r="S653">
            <v>0</v>
          </cell>
          <cell r="T653">
            <v>0</v>
          </cell>
          <cell r="U653">
            <v>27810000</v>
          </cell>
          <cell r="V653">
            <v>0</v>
          </cell>
        </row>
        <row r="654">
          <cell r="J654">
            <v>54</v>
          </cell>
          <cell r="K654">
            <v>43116</v>
          </cell>
          <cell r="L654" t="str">
            <v>HERNAN MAURICIO RINCON BEDOYA</v>
          </cell>
          <cell r="M654">
            <v>145</v>
          </cell>
          <cell r="N654" t="str">
            <v>CONTRATO DE PRESTACION DE SERVICIOS PROFESIONALES</v>
          </cell>
          <cell r="O654">
            <v>41</v>
          </cell>
          <cell r="P654">
            <v>43116</v>
          </cell>
          <cell r="Q654" t="str">
            <v>Prestar los servicios profesionales en el proceso de desarrollo del software utilizado por la entidad, implementando herramientas para optimizar los tiempos, recursos y suministros de información oportuna y veraz a las distintas dependencias, como apoyo a la Oficina TIC de la Caja de la Vivienda Popular.</v>
          </cell>
          <cell r="R654">
            <v>76992500</v>
          </cell>
          <cell r="S654">
            <v>0</v>
          </cell>
          <cell r="T654">
            <v>0</v>
          </cell>
          <cell r="U654">
            <v>76992500</v>
          </cell>
          <cell r="V654">
            <v>43294333</v>
          </cell>
        </row>
        <row r="655">
          <cell r="J655">
            <v>166</v>
          </cell>
          <cell r="K655">
            <v>43118</v>
          </cell>
          <cell r="L655" t="str">
            <v>JORGE HUMBERTO PINILLA RAMIREZ</v>
          </cell>
          <cell r="M655">
            <v>145</v>
          </cell>
          <cell r="N655" t="str">
            <v>CONTRATO DE PRESTACION DE SERVICIOS PROFESIONALES</v>
          </cell>
          <cell r="O655">
            <v>124</v>
          </cell>
          <cell r="P655">
            <v>43118</v>
          </cell>
          <cell r="Q655" t="str">
            <v>Prestar los servicios profesionales para la construcción y soporte sobre procesos de sistemas de información de la Caja de la Vivienda Popular</v>
          </cell>
          <cell r="R655">
            <v>82915000</v>
          </cell>
          <cell r="S655">
            <v>0</v>
          </cell>
          <cell r="T655">
            <v>0</v>
          </cell>
          <cell r="U655">
            <v>82915000</v>
          </cell>
          <cell r="V655">
            <v>46384333</v>
          </cell>
        </row>
        <row r="656">
          <cell r="J656">
            <v>172</v>
          </cell>
          <cell r="K656">
            <v>43118</v>
          </cell>
          <cell r="L656" t="str">
            <v>JAIRO  REMOLINA PEÑALOSA</v>
          </cell>
          <cell r="M656">
            <v>145</v>
          </cell>
          <cell r="N656" t="str">
            <v>CONTRATO DE PRESTACION DE SERVICIOS PROFESIONALES</v>
          </cell>
          <cell r="O656">
            <v>139</v>
          </cell>
          <cell r="P656">
            <v>43118</v>
          </cell>
          <cell r="Q656" t="str">
            <v>PRESTAR LOS SERVICIOS PROFESIONALES EN LA EJECUCIÓN DE ACTIVIDADES DE APOYO EN PROCESOS CONTRACTUALES, GESTIÓN DE SOLUCIONES Y TRÁMITES EN GENERAL QUE SE ENCUENTRAN A CARGO DE LA OFICINA TIC PARA LA CAJA DE LA VIVIENDA POPULAR.</v>
          </cell>
          <cell r="R656">
            <v>39088500</v>
          </cell>
          <cell r="S656">
            <v>0</v>
          </cell>
          <cell r="T656">
            <v>0</v>
          </cell>
          <cell r="U656">
            <v>39088500</v>
          </cell>
          <cell r="V656">
            <v>21866900</v>
          </cell>
        </row>
        <row r="657">
          <cell r="J657">
            <v>221</v>
          </cell>
          <cell r="K657">
            <v>43118</v>
          </cell>
          <cell r="L657" t="str">
            <v>NEPHI ESTEBAN OLIVEROS DEDERLE</v>
          </cell>
          <cell r="M657">
            <v>148</v>
          </cell>
          <cell r="N657" t="str">
            <v>CONTRATO DE PRESTACION DE SERVICIOS DE APOYO A LA GESTION</v>
          </cell>
          <cell r="O657">
            <v>195</v>
          </cell>
          <cell r="P657">
            <v>43118</v>
          </cell>
          <cell r="Q657" t="str">
            <v>Prestar los servicios de apoyo técnico para la administración de servidores de aplicación, servidores de información misional y de gestión de la entidad, así como soporte en las redes de comunicación para la Caja de la Vivienda Popular.</v>
          </cell>
          <cell r="R657">
            <v>34156173</v>
          </cell>
          <cell r="S657">
            <v>0</v>
          </cell>
          <cell r="T657">
            <v>0</v>
          </cell>
          <cell r="U657">
            <v>34156173</v>
          </cell>
          <cell r="V657">
            <v>21292160</v>
          </cell>
        </row>
        <row r="658">
          <cell r="J658">
            <v>251</v>
          </cell>
          <cell r="K658">
            <v>43119</v>
          </cell>
          <cell r="L658" t="str">
            <v>CESAR IVAN QUINTERO GARZON</v>
          </cell>
          <cell r="M658">
            <v>148</v>
          </cell>
          <cell r="N658" t="str">
            <v>CONTRATO DE PRESTACION DE SERVICIOS DE APOYO A LA GESTION</v>
          </cell>
          <cell r="O658">
            <v>204</v>
          </cell>
          <cell r="P658">
            <v>43119</v>
          </cell>
          <cell r="Q658" t="str">
            <v>Prestar los servicios de apoyo técnico para el soporte y mantenimiento tanto preventivo como correctivo de hardware, software y redes, así como soporte técnico presencial de requerimientos tecnológicos para la Caja de la Vivienda Popular.</v>
          </cell>
          <cell r="R658">
            <v>36595900</v>
          </cell>
          <cell r="S658">
            <v>0</v>
          </cell>
          <cell r="T658">
            <v>0</v>
          </cell>
          <cell r="U658">
            <v>36595900</v>
          </cell>
          <cell r="V658">
            <v>21292160</v>
          </cell>
        </row>
        <row r="659">
          <cell r="J659">
            <v>333</v>
          </cell>
          <cell r="K659">
            <v>43123</v>
          </cell>
          <cell r="L659" t="str">
            <v>OSCAR JAVIER ORDUZ GALVIS</v>
          </cell>
          <cell r="M659">
            <v>145</v>
          </cell>
          <cell r="N659" t="str">
            <v>CONTRATO DE PRESTACION DE SERVICIOS PROFESIONALES</v>
          </cell>
          <cell r="O659">
            <v>283</v>
          </cell>
          <cell r="P659">
            <v>43123</v>
          </cell>
          <cell r="Q659" t="str">
            <v>Prestar los servicios profesionales en la ejecución de actividades de apoyo en la administración de los servicios tecnológicos y  en la implementación del proceso de gestión de TIC en el sistema integrado de gestión, para la oficina TIC de la caja de la vivienda popular.</v>
          </cell>
          <cell r="R659">
            <v>51966933</v>
          </cell>
          <cell r="S659">
            <v>0</v>
          </cell>
          <cell r="T659">
            <v>0</v>
          </cell>
          <cell r="U659">
            <v>51966933</v>
          </cell>
          <cell r="V659">
            <v>28400533</v>
          </cell>
        </row>
        <row r="660">
          <cell r="J660">
            <v>468</v>
          </cell>
          <cell r="K660">
            <v>43126</v>
          </cell>
          <cell r="L660" t="str">
            <v>LUZ MARINA CHARRY LARA</v>
          </cell>
          <cell r="M660">
            <v>145</v>
          </cell>
          <cell r="N660" t="str">
            <v>CONTRATO DE PRESTACION DE SERVICIOS PROFESIONALES</v>
          </cell>
          <cell r="O660">
            <v>395</v>
          </cell>
          <cell r="P660">
            <v>43126</v>
          </cell>
          <cell r="Q660" t="str">
            <v>Prestar los servicios profesionales para realizar el soporte, mantenimiento y desarrollo de los aplicativos LIMAY, PAC, OPGET, PREDIS Y CORDIS de Si-Capital para la Caja de la Vivienda Popular.</v>
          </cell>
          <cell r="R660">
            <v>59709100</v>
          </cell>
          <cell r="S660">
            <v>0</v>
          </cell>
          <cell r="T660">
            <v>0</v>
          </cell>
          <cell r="U660">
            <v>59709100</v>
          </cell>
          <cell r="V660">
            <v>32393500</v>
          </cell>
        </row>
        <row r="661">
          <cell r="J661">
            <v>486</v>
          </cell>
          <cell r="K661">
            <v>43126</v>
          </cell>
          <cell r="L661" t="str">
            <v>IVAN DARIO CORTES WILCHES</v>
          </cell>
          <cell r="M661">
            <v>145</v>
          </cell>
          <cell r="N661" t="str">
            <v>CONTRATO DE PRESTACION DE SERVICIOS PROFESIONALES</v>
          </cell>
          <cell r="O661">
            <v>408</v>
          </cell>
          <cell r="P661">
            <v>43126</v>
          </cell>
          <cell r="Q661" t="str">
            <v>Prestar los servicios profesionales especializados para la oficina de las Tecnologías de la Información y las Comunicaciones de la Caja de la Vivienda Popular, para realizar el acompañamiento, seguimiento, monitoreo y control a la actualización, soporte y mantenimiento de un sistema ERP, permitiendo con ello la integración y unificación de procesos y procedimientos desarrollados por las diferentes áreas de la Entidad.</v>
          </cell>
          <cell r="R661">
            <v>177905000</v>
          </cell>
          <cell r="S661">
            <v>0</v>
          </cell>
          <cell r="T661">
            <v>0</v>
          </cell>
          <cell r="U661">
            <v>177905000</v>
          </cell>
          <cell r="V661">
            <v>95398334</v>
          </cell>
        </row>
        <row r="662">
          <cell r="J662">
            <v>489</v>
          </cell>
          <cell r="K662">
            <v>43126</v>
          </cell>
          <cell r="L662" t="str">
            <v>LUIS ALEXANDER JIMENEZ ALVARADO</v>
          </cell>
          <cell r="M662">
            <v>145</v>
          </cell>
          <cell r="N662" t="str">
            <v>CONTRATO DE PRESTACION DE SERVICIOS PROFESIONALES</v>
          </cell>
          <cell r="O662">
            <v>418</v>
          </cell>
          <cell r="P662">
            <v>43126</v>
          </cell>
          <cell r="Q662" t="str">
            <v>Prestar los servicios profesionales especializados de apoyo en actividades de Administración de bases de datos institucionales y de gestión de la información misional de la entidad, para la Oficina TIC de la Caja de la Vivienda Popular</v>
          </cell>
          <cell r="R662">
            <v>39799200</v>
          </cell>
          <cell r="S662">
            <v>0</v>
          </cell>
          <cell r="T662">
            <v>0</v>
          </cell>
          <cell r="U662">
            <v>39799200</v>
          </cell>
          <cell r="V662">
            <v>21439450</v>
          </cell>
        </row>
        <row r="663">
          <cell r="J663">
            <v>490</v>
          </cell>
          <cell r="K663">
            <v>43126</v>
          </cell>
          <cell r="L663" t="str">
            <v>ESTHER LIGIA VILLARRAGA CIFUENTES</v>
          </cell>
          <cell r="M663">
            <v>145</v>
          </cell>
          <cell r="N663" t="str">
            <v>CONTRATO DE PRESTACION DE SERVICIOS PROFESIONALES</v>
          </cell>
          <cell r="O663">
            <v>419</v>
          </cell>
          <cell r="P663">
            <v>43126</v>
          </cell>
          <cell r="Q663" t="str">
            <v>Prestar los servicios profesionales para realizar el soporte, mantenimiento y desarrollo de los aplicativos PERNO de Si-Capital y Desprendibles de Pago para la Caja de la Vivienda Popular</v>
          </cell>
          <cell r="R663">
            <v>36256000</v>
          </cell>
          <cell r="S663">
            <v>0</v>
          </cell>
          <cell r="T663">
            <v>0</v>
          </cell>
          <cell r="U663">
            <v>36256000</v>
          </cell>
          <cell r="V663">
            <v>27192000</v>
          </cell>
        </row>
        <row r="664">
          <cell r="J664">
            <v>495</v>
          </cell>
          <cell r="K664">
            <v>43126</v>
          </cell>
          <cell r="L664" t="str">
            <v>WILSON  MOLANO FERNANDEZ</v>
          </cell>
          <cell r="M664">
            <v>145</v>
          </cell>
          <cell r="N664" t="str">
            <v>CONTRATO DE PRESTACION DE SERVICIOS PROFESIONALES</v>
          </cell>
          <cell r="O664">
            <v>424</v>
          </cell>
          <cell r="P664">
            <v>43126</v>
          </cell>
          <cell r="Q664" t="str">
            <v>Prestar los servicios especializados para la coordinación técnica, identificación, depuración, actualización y unificación de la información de los sistemas misionales de la entidad, así como la definición de lineamientos de arquitectura de software para la Caja de la Vivienda Popular</v>
          </cell>
          <cell r="R664">
            <v>80511667</v>
          </cell>
          <cell r="S664">
            <v>0</v>
          </cell>
          <cell r="T664">
            <v>0</v>
          </cell>
          <cell r="U664">
            <v>80511667</v>
          </cell>
          <cell r="V664">
            <v>43740667</v>
          </cell>
        </row>
        <row r="665">
          <cell r="J665">
            <v>2546</v>
          </cell>
          <cell r="K665">
            <v>43308</v>
          </cell>
          <cell r="L665" t="str">
            <v>LUIS GABRIEL BAREÑO ROMERO</v>
          </cell>
          <cell r="M665">
            <v>148</v>
          </cell>
          <cell r="N665" t="str">
            <v>CONTRATO DE PRESTACION DE SERVICIOS DE APOYO A LA GESTION</v>
          </cell>
          <cell r="O665">
            <v>469</v>
          </cell>
          <cell r="P665">
            <v>43308</v>
          </cell>
          <cell r="Q665" t="str">
            <v>Prestar los servicios de apoyo técnico para la gestión de la oficina tic, en la solución de requerimientos de servicios tecnológicos y soporte técnico presencial para la Caja de la Vivienda Popular.</v>
          </cell>
          <cell r="R665">
            <v>16634500</v>
          </cell>
          <cell r="S665">
            <v>0</v>
          </cell>
          <cell r="T665">
            <v>0</v>
          </cell>
          <cell r="U665">
            <v>16634500</v>
          </cell>
          <cell r="V665">
            <v>0</v>
          </cell>
        </row>
        <row r="666">
          <cell r="J666">
            <v>2529</v>
          </cell>
          <cell r="K666">
            <v>43305</v>
          </cell>
          <cell r="L666" t="str">
            <v>FIDEICOMISOS SERVITRUST GNB SUDAMERIS S.A.</v>
          </cell>
          <cell r="M666">
            <v>39</v>
          </cell>
          <cell r="N666" t="str">
            <v>ACTAS</v>
          </cell>
          <cell r="O666">
            <v>1</v>
          </cell>
          <cell r="P666">
            <v>43305</v>
          </cell>
          <cell r="Q666" t="str">
            <v>SUFRAGAR LOS GASTOS QUE SE INCURRAN  EN LA ADICIÓN DEL CONTRATO DE FIDUCIA MERCANTIL SUSCRITO CON FIDUCIARIA TEQUENDAMA S.A. HOY FIDUCIARIA GNB SUDAMERIS S.A, PATRIMONIO AUTÓNOMO ATAHUALPA II EN LIQUIDACIÓN, DE ACUERDO CON LO APROBADO EN EL ACTA DE JUNTA ORDINARIA NO. 1/2018 DEL 28 DE JUNIO DE 2018. CONSTITUCION MEDIANTE ESCRITURA PUBLICA N° 1353 DEL 11/08/1993, ID 2-1-9880.</v>
          </cell>
          <cell r="R666">
            <v>14280000</v>
          </cell>
          <cell r="S666">
            <v>0</v>
          </cell>
          <cell r="T666">
            <v>0</v>
          </cell>
          <cell r="U666">
            <v>14280000</v>
          </cell>
          <cell r="V666">
            <v>0</v>
          </cell>
        </row>
        <row r="667">
          <cell r="J667">
            <v>1484</v>
          </cell>
          <cell r="K667">
            <v>43160</v>
          </cell>
          <cell r="L667" t="str">
            <v>UNION TEMPORAL BIOLIMPIEZA</v>
          </cell>
          <cell r="M667">
            <v>4</v>
          </cell>
          <cell r="N667" t="str">
            <v>ORDEN DE COMPRA</v>
          </cell>
          <cell r="O667">
            <v>429</v>
          </cell>
          <cell r="P667">
            <v>43160</v>
          </cell>
          <cell r="Q667" t="str">
            <v>PRESTACIÓN DEL SERVICIO INTEGRAL DE ASEO Y CAFETERIA PARA LA CAJA DE LA VIVIENDA POPULAR</v>
          </cell>
          <cell r="R667">
            <v>157537280</v>
          </cell>
          <cell r="S667">
            <v>0</v>
          </cell>
          <cell r="T667">
            <v>0</v>
          </cell>
          <cell r="U667">
            <v>157537280</v>
          </cell>
          <cell r="V667">
            <v>84492358</v>
          </cell>
        </row>
        <row r="668">
          <cell r="J668">
            <v>1468</v>
          </cell>
          <cell r="K668">
            <v>43154</v>
          </cell>
          <cell r="L668" t="str">
            <v>PC COM S A</v>
          </cell>
          <cell r="M668">
            <v>4</v>
          </cell>
          <cell r="N668" t="str">
            <v>ORDEN DE COMPRA</v>
          </cell>
          <cell r="O668">
            <v>327</v>
          </cell>
          <cell r="P668">
            <v>43154</v>
          </cell>
          <cell r="Q668" t="str">
            <v>ADICIÓN AL CONTRATO 327 DE 2017, CUYO OBJETO ES: CONTRATAR EL ARRENDAMIENTO DE EQUIPOS TECNOLÓGICOS Y PERIFÉRICOS CON DESTINO A LAS DIFERENTES DEPENDENCIAS DE LA CAJA DE LA VIVIENDA POPULAR.</v>
          </cell>
          <cell r="R668">
            <v>62302353</v>
          </cell>
          <cell r="S668">
            <v>0</v>
          </cell>
          <cell r="T668">
            <v>0</v>
          </cell>
          <cell r="U668">
            <v>62302353</v>
          </cell>
          <cell r="V668">
            <v>62302353</v>
          </cell>
        </row>
        <row r="669">
          <cell r="J669">
            <v>1658</v>
          </cell>
          <cell r="K669">
            <v>43185</v>
          </cell>
          <cell r="L669" t="str">
            <v>COMPUTEL SYSTEM SAS</v>
          </cell>
          <cell r="M669">
            <v>4</v>
          </cell>
          <cell r="N669" t="str">
            <v>ORDEN DE COMPRA</v>
          </cell>
          <cell r="O669">
            <v>430</v>
          </cell>
          <cell r="P669">
            <v>43185</v>
          </cell>
          <cell r="Q669" t="str">
            <v>Arrendar Equipos Tecnológicos y Periféricos - ETP, de acuerdo a las especificaciones técnicas del Anexo Técnico establecidos conforme a las necesidades de la Caja de la Vivienda Popular.</v>
          </cell>
          <cell r="R669">
            <v>480518525</v>
          </cell>
          <cell r="S669">
            <v>0</v>
          </cell>
          <cell r="T669">
            <v>0</v>
          </cell>
          <cell r="U669">
            <v>480518525</v>
          </cell>
          <cell r="V669">
            <v>212167570</v>
          </cell>
        </row>
        <row r="670">
          <cell r="J670">
            <v>1802</v>
          </cell>
          <cell r="K670">
            <v>43203</v>
          </cell>
          <cell r="L670" t="str">
            <v>COLOMBIANA DE SOFTWARE Y HARDWARE COLSOF S A</v>
          </cell>
          <cell r="M670">
            <v>4</v>
          </cell>
          <cell r="N670" t="str">
            <v>ORDEN DE COMPRA</v>
          </cell>
          <cell r="O670">
            <v>433</v>
          </cell>
          <cell r="P670">
            <v>43203</v>
          </cell>
          <cell r="Q670" t="str">
            <v>Adquirir a Titulo de compra-venta, Equipos de Escritorios, de acuerdo a las especificaciones técnicas del Anexo Técnico establecidos conforme a las necesidades de la Caja de la Vivienda Popular.</v>
          </cell>
          <cell r="R670">
            <v>678072000</v>
          </cell>
          <cell r="S670">
            <v>0</v>
          </cell>
          <cell r="T670">
            <v>0</v>
          </cell>
          <cell r="U670">
            <v>678072000</v>
          </cell>
          <cell r="V670">
            <v>678072000</v>
          </cell>
        </row>
        <row r="671">
          <cell r="J671">
            <v>1960</v>
          </cell>
          <cell r="K671">
            <v>43250</v>
          </cell>
          <cell r="L671" t="str">
            <v>UT SOFT  IG</v>
          </cell>
          <cell r="M671">
            <v>4</v>
          </cell>
          <cell r="N671" t="str">
            <v>ORDEN DE COMPRA</v>
          </cell>
          <cell r="O671">
            <v>434</v>
          </cell>
          <cell r="P671">
            <v>43250</v>
          </cell>
          <cell r="Q671" t="str">
            <v>Adquirir el licenciamiento de Microsoft Office Profesional para uso de la Caja de la Vivienda Popular.</v>
          </cell>
          <cell r="R671">
            <v>317799910</v>
          </cell>
          <cell r="S671">
            <v>0</v>
          </cell>
          <cell r="T671">
            <v>0</v>
          </cell>
          <cell r="U671">
            <v>317799910</v>
          </cell>
          <cell r="V671">
            <v>317799910</v>
          </cell>
        </row>
        <row r="672">
          <cell r="J672">
            <v>1991</v>
          </cell>
          <cell r="K672">
            <v>43252</v>
          </cell>
          <cell r="L672" t="str">
            <v>EFORCERS S.A.</v>
          </cell>
          <cell r="M672">
            <v>100</v>
          </cell>
          <cell r="N672" t="str">
            <v>OFERTA DE COMPRA</v>
          </cell>
          <cell r="O672">
            <v>435</v>
          </cell>
          <cell r="P672">
            <v>43252</v>
          </cell>
          <cell r="Q672" t="str">
            <v>Adquisición de buzones de correo electrónico y herramientas de colaboración sobre la plataforma Google por medio del Licenciamiento G Suite para la Caja de la Vivienda Popular.</v>
          </cell>
          <cell r="R672">
            <v>198665476</v>
          </cell>
          <cell r="S672">
            <v>0</v>
          </cell>
          <cell r="T672">
            <v>0</v>
          </cell>
          <cell r="U672">
            <v>198665476</v>
          </cell>
          <cell r="V672">
            <v>198665476</v>
          </cell>
        </row>
        <row r="673">
          <cell r="J673">
            <v>2551</v>
          </cell>
          <cell r="K673">
            <v>43312</v>
          </cell>
          <cell r="L673" t="str">
            <v>UT   CCE   TECNOLOGICO</v>
          </cell>
          <cell r="M673">
            <v>4</v>
          </cell>
          <cell r="N673" t="str">
            <v>ORDEN DE COMPRA</v>
          </cell>
          <cell r="O673">
            <v>474</v>
          </cell>
          <cell r="P673">
            <v>43312</v>
          </cell>
          <cell r="Q673" t="str">
            <v>Adquirir a Título de compra-venta, computadores portátiles para la Caja de la Vivienda Popular, de acuerdo a características y cantidades descritas en el documento Anexo Técnico.</v>
          </cell>
          <cell r="R673">
            <v>36135918</v>
          </cell>
          <cell r="S673">
            <v>0</v>
          </cell>
          <cell r="T673">
            <v>0</v>
          </cell>
          <cell r="U673">
            <v>36135918</v>
          </cell>
          <cell r="V673">
            <v>0</v>
          </cell>
        </row>
        <row r="674">
          <cell r="J674">
            <v>364</v>
          </cell>
          <cell r="K674">
            <v>43124</v>
          </cell>
          <cell r="L674" t="str">
            <v>CAJA DE VIVIENDA POPULAR</v>
          </cell>
          <cell r="M674">
            <v>1</v>
          </cell>
          <cell r="N674" t="str">
            <v>RELACION DE AUTORIZACION</v>
          </cell>
          <cell r="O674">
            <v>4</v>
          </cell>
          <cell r="P674">
            <v>43124</v>
          </cell>
          <cell r="Q674" t="str">
            <v>PAGO DE LA NOMINA DEL MES DE ENERO DE 2018 DE PLANTA FIJA Y CONVENCIONADOS</v>
          </cell>
          <cell r="R674">
            <v>187375616</v>
          </cell>
          <cell r="S674">
            <v>0</v>
          </cell>
          <cell r="T674">
            <v>0</v>
          </cell>
          <cell r="U674">
            <v>187375616</v>
          </cell>
          <cell r="V674">
            <v>187375616</v>
          </cell>
        </row>
        <row r="675">
          <cell r="J675">
            <v>1384</v>
          </cell>
          <cell r="K675">
            <v>43151</v>
          </cell>
          <cell r="L675" t="str">
            <v>CAJA DE VIVIENDA POPULAR</v>
          </cell>
          <cell r="M675">
            <v>1</v>
          </cell>
          <cell r="N675" t="str">
            <v>RELACION DE AUTORIZACION</v>
          </cell>
          <cell r="O675">
            <v>16</v>
          </cell>
          <cell r="P675">
            <v>43151</v>
          </cell>
          <cell r="Q675" t="str">
            <v>PAGO DE LA NOMINA DEL MES DE FEBRERO DE 2018 DE PLANTA FIJA Y CONVENCIONADOS</v>
          </cell>
          <cell r="R675">
            <v>206598856</v>
          </cell>
          <cell r="S675">
            <v>0</v>
          </cell>
          <cell r="T675">
            <v>0</v>
          </cell>
          <cell r="U675">
            <v>206598856</v>
          </cell>
          <cell r="V675">
            <v>206598856</v>
          </cell>
        </row>
        <row r="676">
          <cell r="J676">
            <v>1603</v>
          </cell>
          <cell r="K676">
            <v>43180</v>
          </cell>
          <cell r="L676" t="str">
            <v>CAJA DE VIVIENDA POPULAR</v>
          </cell>
          <cell r="M676">
            <v>1</v>
          </cell>
          <cell r="N676" t="str">
            <v>RELACION DE AUTORIZACION</v>
          </cell>
          <cell r="O676">
            <v>24</v>
          </cell>
          <cell r="P676">
            <v>43180</v>
          </cell>
          <cell r="Q676" t="str">
            <v>PAGO DE LA NOMINA DEL MES DE MARZO DE 2018 DE PLANTA FIJA Y CONVENCIONADOS</v>
          </cell>
          <cell r="R676">
            <v>228012870</v>
          </cell>
          <cell r="S676">
            <v>228012870</v>
          </cell>
          <cell r="T676">
            <v>0</v>
          </cell>
          <cell r="U676">
            <v>0</v>
          </cell>
          <cell r="V676">
            <v>0</v>
          </cell>
        </row>
        <row r="677">
          <cell r="J677">
            <v>1615</v>
          </cell>
          <cell r="K677">
            <v>43181</v>
          </cell>
          <cell r="L677" t="str">
            <v>CAJA DE VIVIENDA POPULAR</v>
          </cell>
          <cell r="M677">
            <v>1</v>
          </cell>
          <cell r="N677" t="str">
            <v>RELACION DE AUTORIZACION</v>
          </cell>
          <cell r="O677">
            <v>24</v>
          </cell>
          <cell r="P677">
            <v>43181</v>
          </cell>
          <cell r="Q677" t="str">
            <v>PAGO DE LA NOMINA DEL MES DE MARZO DE 2018 DE PLANTA FIJA Y CONVENCIONADOS</v>
          </cell>
          <cell r="R677">
            <v>228278473</v>
          </cell>
          <cell r="S677">
            <v>0</v>
          </cell>
          <cell r="T677">
            <v>0</v>
          </cell>
          <cell r="U677">
            <v>228278473</v>
          </cell>
          <cell r="V677">
            <v>228278473</v>
          </cell>
        </row>
        <row r="678">
          <cell r="J678">
            <v>1830</v>
          </cell>
          <cell r="K678">
            <v>43213</v>
          </cell>
          <cell r="L678" t="str">
            <v>CAJA DE VIVIENDA POPULAR</v>
          </cell>
          <cell r="M678">
            <v>1</v>
          </cell>
          <cell r="N678" t="str">
            <v>RELACION DE AUTORIZACION</v>
          </cell>
          <cell r="O678">
            <v>32</v>
          </cell>
          <cell r="P678">
            <v>43213</v>
          </cell>
          <cell r="Q678" t="str">
            <v>PAGO SERVICIOS ASOCIADOS A LA NOMINA DEL MES DE ABRIL DE 2018 DE PLANTA FIJA Y CONVENCIONADOS</v>
          </cell>
          <cell r="R678">
            <v>243990935</v>
          </cell>
          <cell r="S678">
            <v>0</v>
          </cell>
          <cell r="T678">
            <v>0</v>
          </cell>
          <cell r="U678">
            <v>243990935</v>
          </cell>
          <cell r="V678">
            <v>243990935</v>
          </cell>
        </row>
        <row r="679">
          <cell r="J679">
            <v>1947</v>
          </cell>
          <cell r="K679">
            <v>43243</v>
          </cell>
          <cell r="L679" t="str">
            <v>CAJA DE VIVIENDA POPULAR</v>
          </cell>
          <cell r="M679">
            <v>1</v>
          </cell>
          <cell r="N679" t="str">
            <v>RELACION DE AUTORIZACION</v>
          </cell>
          <cell r="O679">
            <v>36</v>
          </cell>
          <cell r="P679">
            <v>43243</v>
          </cell>
          <cell r="Q679" t="str">
            <v>PAGO DE LA NOMINA DEL MES DE MAYO DE 2018 DE PLANTA FIJA Y CONVENCIONADOS</v>
          </cell>
          <cell r="R679">
            <v>231186672</v>
          </cell>
          <cell r="S679">
            <v>0</v>
          </cell>
          <cell r="T679">
            <v>0</v>
          </cell>
          <cell r="U679">
            <v>231186672</v>
          </cell>
          <cell r="V679">
            <v>231186672</v>
          </cell>
        </row>
        <row r="680">
          <cell r="J680">
            <v>2053</v>
          </cell>
          <cell r="K680">
            <v>43271</v>
          </cell>
          <cell r="L680" t="str">
            <v>CAJA DE VIVIENDA POPULAR</v>
          </cell>
          <cell r="M680">
            <v>1</v>
          </cell>
          <cell r="N680" t="str">
            <v>RELACION DE AUTORIZACION</v>
          </cell>
          <cell r="O680">
            <v>45</v>
          </cell>
          <cell r="P680">
            <v>43271</v>
          </cell>
          <cell r="Q680" t="str">
            <v>PAGO DE LA NOMINA DEL MES DE JUNIO DE 2018 DE PLANTA FIJA Y CONVENCIONADOS</v>
          </cell>
          <cell r="R680">
            <v>218477295</v>
          </cell>
          <cell r="S680">
            <v>0</v>
          </cell>
          <cell r="T680">
            <v>0</v>
          </cell>
          <cell r="U680">
            <v>218477295</v>
          </cell>
          <cell r="V680">
            <v>218477295</v>
          </cell>
        </row>
        <row r="681">
          <cell r="J681">
            <v>2520</v>
          </cell>
          <cell r="K681">
            <v>43305</v>
          </cell>
          <cell r="L681" t="str">
            <v>CAJA DE VIVIENDA POPULAR</v>
          </cell>
          <cell r="M681">
            <v>1</v>
          </cell>
          <cell r="N681" t="str">
            <v>RELACION DE AUTORIZACION</v>
          </cell>
          <cell r="O681">
            <v>51</v>
          </cell>
          <cell r="P681">
            <v>43305</v>
          </cell>
          <cell r="Q681" t="str">
            <v>PAGO DE LA NOMINA DEL MES DE JULIO DE 2018 DE LA PLANTA FIJA Y CONVENCIONADOS</v>
          </cell>
          <cell r="R681">
            <v>210724823</v>
          </cell>
          <cell r="S681">
            <v>0</v>
          </cell>
          <cell r="T681">
            <v>0</v>
          </cell>
          <cell r="U681">
            <v>210724823</v>
          </cell>
          <cell r="V681">
            <v>210724823</v>
          </cell>
        </row>
        <row r="682">
          <cell r="J682">
            <v>2729</v>
          </cell>
          <cell r="K682">
            <v>43336</v>
          </cell>
          <cell r="L682" t="str">
            <v>CAJA DE VIVIENDA POPULAR</v>
          </cell>
          <cell r="M682">
            <v>1</v>
          </cell>
          <cell r="N682" t="str">
            <v>RELACION DE AUTORIZACION</v>
          </cell>
          <cell r="O682">
            <v>57</v>
          </cell>
          <cell r="P682">
            <v>43335</v>
          </cell>
          <cell r="Q682" t="str">
            <v>PAGO DE LA NOMINA DEL MES DE AGOSTO DE 2018 PLANTA FIJA Y CONVECIONADOS</v>
          </cell>
          <cell r="R682">
            <v>230037518</v>
          </cell>
          <cell r="S682">
            <v>0</v>
          </cell>
          <cell r="T682">
            <v>0</v>
          </cell>
          <cell r="U682">
            <v>230037518</v>
          </cell>
          <cell r="V682">
            <v>230037518</v>
          </cell>
        </row>
        <row r="683">
          <cell r="J683">
            <v>364</v>
          </cell>
          <cell r="K683">
            <v>43124</v>
          </cell>
          <cell r="L683" t="str">
            <v>CAJA DE VIVIENDA POPULAR</v>
          </cell>
          <cell r="M683">
            <v>1</v>
          </cell>
          <cell r="N683" t="str">
            <v>RELACION DE AUTORIZACION</v>
          </cell>
          <cell r="O683">
            <v>4</v>
          </cell>
          <cell r="P683">
            <v>43124</v>
          </cell>
          <cell r="Q683" t="str">
            <v>PAGO DE LA NOMINA DEL MES DE ENERO DE 2018 DE PLANTA FIJA Y CONVENCIONADOS</v>
          </cell>
          <cell r="R683">
            <v>31335457</v>
          </cell>
          <cell r="S683">
            <v>0</v>
          </cell>
          <cell r="T683">
            <v>0</v>
          </cell>
          <cell r="U683">
            <v>31335457</v>
          </cell>
          <cell r="V683">
            <v>31335457</v>
          </cell>
        </row>
        <row r="684">
          <cell r="J684">
            <v>1384</v>
          </cell>
          <cell r="K684">
            <v>43151</v>
          </cell>
          <cell r="L684" t="str">
            <v>CAJA DE VIVIENDA POPULAR</v>
          </cell>
          <cell r="M684">
            <v>1</v>
          </cell>
          <cell r="N684" t="str">
            <v>RELACION DE AUTORIZACION</v>
          </cell>
          <cell r="O684">
            <v>16</v>
          </cell>
          <cell r="P684">
            <v>43151</v>
          </cell>
          <cell r="Q684" t="str">
            <v>PAGO DE LA NOMINA DEL MES DE FEBRERO DE 2018 DE PLANTA FIJA Y CONVENCIONADOS</v>
          </cell>
          <cell r="R684">
            <v>30786173</v>
          </cell>
          <cell r="S684">
            <v>0</v>
          </cell>
          <cell r="T684">
            <v>0</v>
          </cell>
          <cell r="U684">
            <v>30786173</v>
          </cell>
          <cell r="V684">
            <v>30786173</v>
          </cell>
        </row>
        <row r="685">
          <cell r="J685">
            <v>1603</v>
          </cell>
          <cell r="K685">
            <v>43180</v>
          </cell>
          <cell r="L685" t="str">
            <v>CAJA DE VIVIENDA POPULAR</v>
          </cell>
          <cell r="M685">
            <v>1</v>
          </cell>
          <cell r="N685" t="str">
            <v>RELACION DE AUTORIZACION</v>
          </cell>
          <cell r="O685">
            <v>24</v>
          </cell>
          <cell r="P685">
            <v>43180</v>
          </cell>
          <cell r="Q685" t="str">
            <v>PAGO DE LA NOMINA DEL MES DE MARZO DE 2018 DE PLANTA FIJA Y CONVENCIONADOS</v>
          </cell>
          <cell r="R685">
            <v>35552432</v>
          </cell>
          <cell r="S685">
            <v>35552432</v>
          </cell>
          <cell r="T685">
            <v>0</v>
          </cell>
          <cell r="U685">
            <v>0</v>
          </cell>
          <cell r="V685">
            <v>0</v>
          </cell>
        </row>
        <row r="686">
          <cell r="J686">
            <v>1615</v>
          </cell>
          <cell r="K686">
            <v>43181</v>
          </cell>
          <cell r="L686" t="str">
            <v>CAJA DE VIVIENDA POPULAR</v>
          </cell>
          <cell r="M686">
            <v>1</v>
          </cell>
          <cell r="N686" t="str">
            <v>RELACION DE AUTORIZACION</v>
          </cell>
          <cell r="O686">
            <v>24</v>
          </cell>
          <cell r="P686">
            <v>43181</v>
          </cell>
          <cell r="Q686" t="str">
            <v>PAGO DE LA NOMINA DEL MES DE MARZO DE 2018 DE PLANTA FIJA Y CONVENCIONADOS</v>
          </cell>
          <cell r="R686">
            <v>35442602</v>
          </cell>
          <cell r="S686">
            <v>0</v>
          </cell>
          <cell r="T686">
            <v>0</v>
          </cell>
          <cell r="U686">
            <v>35442602</v>
          </cell>
          <cell r="V686">
            <v>35442602</v>
          </cell>
        </row>
        <row r="687">
          <cell r="J687">
            <v>1830</v>
          </cell>
          <cell r="K687">
            <v>43213</v>
          </cell>
          <cell r="L687" t="str">
            <v>CAJA DE VIVIENDA POPULAR</v>
          </cell>
          <cell r="M687">
            <v>1</v>
          </cell>
          <cell r="N687" t="str">
            <v>RELACION DE AUTORIZACION</v>
          </cell>
          <cell r="O687">
            <v>32</v>
          </cell>
          <cell r="P687">
            <v>43213</v>
          </cell>
          <cell r="Q687" t="str">
            <v>PAGO SERVICIOS ASOCIADOS A LA NOMINA DEL MES DE ABRIL DE 2018 DE PLANTA FIJA Y CONVENCIONADOS</v>
          </cell>
          <cell r="R687">
            <v>34396580</v>
          </cell>
          <cell r="S687">
            <v>0</v>
          </cell>
          <cell r="T687">
            <v>0</v>
          </cell>
          <cell r="U687">
            <v>34396580</v>
          </cell>
          <cell r="V687">
            <v>34396580</v>
          </cell>
        </row>
        <row r="688">
          <cell r="J688">
            <v>1947</v>
          </cell>
          <cell r="K688">
            <v>43243</v>
          </cell>
          <cell r="L688" t="str">
            <v>CAJA DE VIVIENDA POPULAR</v>
          </cell>
          <cell r="M688">
            <v>1</v>
          </cell>
          <cell r="N688" t="str">
            <v>RELACION DE AUTORIZACION</v>
          </cell>
          <cell r="O688">
            <v>36</v>
          </cell>
          <cell r="P688">
            <v>43243</v>
          </cell>
          <cell r="Q688" t="str">
            <v>PAGO DE LA NOMINA DEL MES DE MAYO DE 2018 DE PLANTA FIJA Y CONVENCIONADOS</v>
          </cell>
          <cell r="R688">
            <v>33129369</v>
          </cell>
          <cell r="S688">
            <v>0</v>
          </cell>
          <cell r="T688">
            <v>0</v>
          </cell>
          <cell r="U688">
            <v>33129369</v>
          </cell>
          <cell r="V688">
            <v>33129369</v>
          </cell>
        </row>
        <row r="689">
          <cell r="J689">
            <v>2053</v>
          </cell>
          <cell r="K689">
            <v>43271</v>
          </cell>
          <cell r="L689" t="str">
            <v>CAJA DE VIVIENDA POPULAR</v>
          </cell>
          <cell r="M689">
            <v>1</v>
          </cell>
          <cell r="N689" t="str">
            <v>RELACION DE AUTORIZACION</v>
          </cell>
          <cell r="O689">
            <v>45</v>
          </cell>
          <cell r="P689">
            <v>43271</v>
          </cell>
          <cell r="Q689" t="str">
            <v>PAGO DE LA NOMINA DEL MES DE JUNIO DE 2018 DE PLANTA FIJA Y CONVENCIONADOS</v>
          </cell>
          <cell r="R689">
            <v>35009866</v>
          </cell>
          <cell r="S689">
            <v>0</v>
          </cell>
          <cell r="T689">
            <v>0</v>
          </cell>
          <cell r="U689">
            <v>35009866</v>
          </cell>
          <cell r="V689">
            <v>35009866</v>
          </cell>
        </row>
        <row r="690">
          <cell r="J690">
            <v>2520</v>
          </cell>
          <cell r="K690">
            <v>43305</v>
          </cell>
          <cell r="L690" t="str">
            <v>CAJA DE VIVIENDA POPULAR</v>
          </cell>
          <cell r="M690">
            <v>1</v>
          </cell>
          <cell r="N690" t="str">
            <v>RELACION DE AUTORIZACION</v>
          </cell>
          <cell r="O690">
            <v>51</v>
          </cell>
          <cell r="P690">
            <v>43305</v>
          </cell>
          <cell r="Q690" t="str">
            <v>PAGO DE LA NOMINA DEL MES DE JULIO DE 2018 DE LA PLANTA FIJA Y CONVENCIONADOS</v>
          </cell>
          <cell r="R690">
            <v>30736009</v>
          </cell>
          <cell r="S690">
            <v>0</v>
          </cell>
          <cell r="T690">
            <v>0</v>
          </cell>
          <cell r="U690">
            <v>30736009</v>
          </cell>
          <cell r="V690">
            <v>30736009</v>
          </cell>
        </row>
        <row r="691">
          <cell r="J691">
            <v>2729</v>
          </cell>
          <cell r="K691">
            <v>43336</v>
          </cell>
          <cell r="L691" t="str">
            <v>CAJA DE VIVIENDA POPULAR</v>
          </cell>
          <cell r="M691">
            <v>1</v>
          </cell>
          <cell r="N691" t="str">
            <v>RELACION DE AUTORIZACION</v>
          </cell>
          <cell r="O691">
            <v>57</v>
          </cell>
          <cell r="P691">
            <v>43335</v>
          </cell>
          <cell r="Q691" t="str">
            <v>PAGO DE LA NOMINA DEL MES DE AGOSTO DE 2018 PLANTA FIJA Y CONVECIONADOS</v>
          </cell>
          <cell r="R691">
            <v>30811507</v>
          </cell>
          <cell r="S691">
            <v>0</v>
          </cell>
          <cell r="T691">
            <v>0</v>
          </cell>
          <cell r="U691">
            <v>30811507</v>
          </cell>
          <cell r="V691">
            <v>30811507</v>
          </cell>
        </row>
        <row r="692">
          <cell r="J692">
            <v>364</v>
          </cell>
          <cell r="K692">
            <v>43124</v>
          </cell>
          <cell r="L692" t="str">
            <v>CAJA DE VIVIENDA POPULAR</v>
          </cell>
          <cell r="M692">
            <v>1</v>
          </cell>
          <cell r="N692" t="str">
            <v>RELACION DE AUTORIZACION</v>
          </cell>
          <cell r="O692">
            <v>4</v>
          </cell>
          <cell r="P692">
            <v>43124</v>
          </cell>
          <cell r="Q692" t="str">
            <v>PAGO DE LA NOMINA DEL MES DE ENERO DE 2018 DE PLANTA FIJA Y CONVENCIONADOS</v>
          </cell>
          <cell r="R692">
            <v>844048</v>
          </cell>
          <cell r="S692">
            <v>0</v>
          </cell>
          <cell r="T692">
            <v>0</v>
          </cell>
          <cell r="U692">
            <v>844048</v>
          </cell>
          <cell r="V692">
            <v>844048</v>
          </cell>
        </row>
        <row r="693">
          <cell r="J693">
            <v>1384</v>
          </cell>
          <cell r="K693">
            <v>43151</v>
          </cell>
          <cell r="L693" t="str">
            <v>CAJA DE VIVIENDA POPULAR</v>
          </cell>
          <cell r="M693">
            <v>1</v>
          </cell>
          <cell r="N693" t="str">
            <v>RELACION DE AUTORIZACION</v>
          </cell>
          <cell r="O693">
            <v>16</v>
          </cell>
          <cell r="P693">
            <v>43151</v>
          </cell>
          <cell r="Q693" t="str">
            <v>PAGO DE LA NOMINA DEL MES DE FEBRERO DE 2018 DE PLANTA FIJA Y CONVENCIONADOS</v>
          </cell>
          <cell r="R693">
            <v>835105</v>
          </cell>
          <cell r="S693">
            <v>0</v>
          </cell>
          <cell r="T693">
            <v>0</v>
          </cell>
          <cell r="U693">
            <v>835105</v>
          </cell>
          <cell r="V693">
            <v>835105</v>
          </cell>
        </row>
        <row r="694">
          <cell r="J694">
            <v>1603</v>
          </cell>
          <cell r="K694">
            <v>43180</v>
          </cell>
          <cell r="L694" t="str">
            <v>CAJA DE VIVIENDA POPULAR</v>
          </cell>
          <cell r="M694">
            <v>1</v>
          </cell>
          <cell r="N694" t="str">
            <v>RELACION DE AUTORIZACION</v>
          </cell>
          <cell r="O694">
            <v>24</v>
          </cell>
          <cell r="P694">
            <v>43180</v>
          </cell>
          <cell r="Q694" t="str">
            <v>PAGO DE LA NOMINA DEL MES DE MARZO DE 2018 DE PLANTA FIJA Y CONVENCIONADOS</v>
          </cell>
          <cell r="R694">
            <v>916651</v>
          </cell>
          <cell r="S694">
            <v>916651</v>
          </cell>
          <cell r="T694">
            <v>0</v>
          </cell>
          <cell r="U694">
            <v>0</v>
          </cell>
          <cell r="V694">
            <v>0</v>
          </cell>
        </row>
        <row r="695">
          <cell r="J695">
            <v>1615</v>
          </cell>
          <cell r="K695">
            <v>43181</v>
          </cell>
          <cell r="L695" t="str">
            <v>CAJA DE VIVIENDA POPULAR</v>
          </cell>
          <cell r="M695">
            <v>1</v>
          </cell>
          <cell r="N695" t="str">
            <v>RELACION DE AUTORIZACION</v>
          </cell>
          <cell r="O695">
            <v>24</v>
          </cell>
          <cell r="P695">
            <v>43181</v>
          </cell>
          <cell r="Q695" t="str">
            <v>PAGO DE LA NOMINA DEL MES DE MARZO DE 2018 DE PLANTA FIJA Y CONVENCIONADOS</v>
          </cell>
          <cell r="R695">
            <v>916651</v>
          </cell>
          <cell r="S695">
            <v>0</v>
          </cell>
          <cell r="T695">
            <v>0</v>
          </cell>
          <cell r="U695">
            <v>916651</v>
          </cell>
          <cell r="V695">
            <v>916651</v>
          </cell>
        </row>
        <row r="696">
          <cell r="J696">
            <v>1830</v>
          </cell>
          <cell r="K696">
            <v>43213</v>
          </cell>
          <cell r="L696" t="str">
            <v>CAJA DE VIVIENDA POPULAR</v>
          </cell>
          <cell r="M696">
            <v>1</v>
          </cell>
          <cell r="N696" t="str">
            <v>RELACION DE AUTORIZACION</v>
          </cell>
          <cell r="O696">
            <v>32</v>
          </cell>
          <cell r="P696">
            <v>43213</v>
          </cell>
          <cell r="Q696" t="str">
            <v>PAGO SERVICIOS ASOCIADOS A LA NOMINA DEL MES DE ABRIL DE 2018 DE PLANTA FIJA Y CONVENCIONADOS</v>
          </cell>
          <cell r="R696">
            <v>743484</v>
          </cell>
          <cell r="S696">
            <v>0</v>
          </cell>
          <cell r="T696">
            <v>0</v>
          </cell>
          <cell r="U696">
            <v>743484</v>
          </cell>
          <cell r="V696">
            <v>743484</v>
          </cell>
        </row>
        <row r="697">
          <cell r="J697">
            <v>1947</v>
          </cell>
          <cell r="K697">
            <v>43243</v>
          </cell>
          <cell r="L697" t="str">
            <v>CAJA DE VIVIENDA POPULAR</v>
          </cell>
          <cell r="M697">
            <v>1</v>
          </cell>
          <cell r="N697" t="str">
            <v>RELACION DE AUTORIZACION</v>
          </cell>
          <cell r="O697">
            <v>36</v>
          </cell>
          <cell r="P697">
            <v>43243</v>
          </cell>
          <cell r="Q697" t="str">
            <v>PAGO DE LA NOMINA DEL MES DE MAYO DE 2018 DE PLANTA FIJA Y CONVENCIONADOS</v>
          </cell>
          <cell r="R697">
            <v>904619</v>
          </cell>
          <cell r="S697">
            <v>0</v>
          </cell>
          <cell r="T697">
            <v>0</v>
          </cell>
          <cell r="U697">
            <v>904619</v>
          </cell>
          <cell r="V697">
            <v>904619</v>
          </cell>
        </row>
        <row r="698">
          <cell r="J698">
            <v>2053</v>
          </cell>
          <cell r="K698">
            <v>43271</v>
          </cell>
          <cell r="L698" t="str">
            <v>CAJA DE VIVIENDA POPULAR</v>
          </cell>
          <cell r="M698">
            <v>1</v>
          </cell>
          <cell r="N698" t="str">
            <v>RELACION DE AUTORIZACION</v>
          </cell>
          <cell r="O698">
            <v>45</v>
          </cell>
          <cell r="P698">
            <v>43271</v>
          </cell>
          <cell r="Q698" t="str">
            <v>PAGO DE LA NOMINA DEL MES DE JUNIO DE 2018 DE PLANTA FIJA Y CONVENCIONADOS</v>
          </cell>
          <cell r="R698">
            <v>900849</v>
          </cell>
          <cell r="S698">
            <v>0</v>
          </cell>
          <cell r="T698">
            <v>0</v>
          </cell>
          <cell r="U698">
            <v>900849</v>
          </cell>
          <cell r="V698">
            <v>900849</v>
          </cell>
        </row>
        <row r="699">
          <cell r="J699">
            <v>2520</v>
          </cell>
          <cell r="K699">
            <v>43305</v>
          </cell>
          <cell r="L699" t="str">
            <v>CAJA DE VIVIENDA POPULAR</v>
          </cell>
          <cell r="M699">
            <v>1</v>
          </cell>
          <cell r="N699" t="str">
            <v>RELACION DE AUTORIZACION</v>
          </cell>
          <cell r="O699">
            <v>51</v>
          </cell>
          <cell r="P699">
            <v>43305</v>
          </cell>
          <cell r="Q699" t="str">
            <v>PAGO DE LA NOMINA DEL MES DE JULIO DE 2018 DE LA PLANTA FIJA Y CONVENCIONADOS</v>
          </cell>
          <cell r="R699">
            <v>889541</v>
          </cell>
          <cell r="S699">
            <v>0</v>
          </cell>
          <cell r="T699">
            <v>0</v>
          </cell>
          <cell r="U699">
            <v>889541</v>
          </cell>
          <cell r="V699">
            <v>889541</v>
          </cell>
        </row>
        <row r="700">
          <cell r="J700">
            <v>2729</v>
          </cell>
          <cell r="K700">
            <v>43336</v>
          </cell>
          <cell r="L700" t="str">
            <v>CAJA DE VIVIENDA POPULAR</v>
          </cell>
          <cell r="M700">
            <v>1</v>
          </cell>
          <cell r="N700" t="str">
            <v>RELACION DE AUTORIZACION</v>
          </cell>
          <cell r="O700">
            <v>57</v>
          </cell>
          <cell r="P700">
            <v>43335</v>
          </cell>
          <cell r="Q700" t="str">
            <v>PAGO DE LA NOMINA DEL MES DE AGOSTO DE 2018 PLANTA FIJA Y CONVECIONADOS</v>
          </cell>
          <cell r="R700">
            <v>696368</v>
          </cell>
          <cell r="S700">
            <v>0</v>
          </cell>
          <cell r="T700">
            <v>0</v>
          </cell>
          <cell r="U700">
            <v>696368</v>
          </cell>
          <cell r="V700">
            <v>696368</v>
          </cell>
        </row>
        <row r="701">
          <cell r="J701">
            <v>364</v>
          </cell>
          <cell r="K701">
            <v>43124</v>
          </cell>
          <cell r="L701" t="str">
            <v>CAJA DE VIVIENDA POPULAR</v>
          </cell>
          <cell r="M701">
            <v>1</v>
          </cell>
          <cell r="N701" t="str">
            <v>RELACION DE AUTORIZACION</v>
          </cell>
          <cell r="O701">
            <v>4</v>
          </cell>
          <cell r="P701">
            <v>43124</v>
          </cell>
          <cell r="Q701" t="str">
            <v>PAGO DE LA NOMINA DEL MES DE ENERO DE 2018 DE PLANTA FIJA Y CONVENCIONADOS</v>
          </cell>
          <cell r="R701">
            <v>1361390</v>
          </cell>
          <cell r="S701">
            <v>0</v>
          </cell>
          <cell r="T701">
            <v>0</v>
          </cell>
          <cell r="U701">
            <v>1361390</v>
          </cell>
          <cell r="V701">
            <v>1361390</v>
          </cell>
        </row>
        <row r="702">
          <cell r="J702">
            <v>1384</v>
          </cell>
          <cell r="K702">
            <v>43151</v>
          </cell>
          <cell r="L702" t="str">
            <v>CAJA DE VIVIENDA POPULAR</v>
          </cell>
          <cell r="M702">
            <v>1</v>
          </cell>
          <cell r="N702" t="str">
            <v>RELACION DE AUTORIZACION</v>
          </cell>
          <cell r="O702">
            <v>16</v>
          </cell>
          <cell r="P702">
            <v>43151</v>
          </cell>
          <cell r="Q702" t="str">
            <v>PAGO DE LA NOMINA DEL MES DE FEBRERO DE 2018 DE PLANTA FIJA Y CONVENCIONADOS</v>
          </cell>
          <cell r="R702">
            <v>1817147</v>
          </cell>
          <cell r="S702">
            <v>0</v>
          </cell>
          <cell r="T702">
            <v>0</v>
          </cell>
          <cell r="U702">
            <v>1817147</v>
          </cell>
          <cell r="V702">
            <v>1817147</v>
          </cell>
        </row>
        <row r="703">
          <cell r="J703">
            <v>1603</v>
          </cell>
          <cell r="K703">
            <v>43180</v>
          </cell>
          <cell r="L703" t="str">
            <v>CAJA DE VIVIENDA POPULAR</v>
          </cell>
          <cell r="M703">
            <v>1</v>
          </cell>
          <cell r="N703" t="str">
            <v>RELACION DE AUTORIZACION</v>
          </cell>
          <cell r="O703">
            <v>24</v>
          </cell>
          <cell r="P703">
            <v>43180</v>
          </cell>
          <cell r="Q703" t="str">
            <v>PAGO DE LA NOMINA DEL MES DE MARZO DE 2018 DE PLANTA FIJA Y CONVENCIONADOS</v>
          </cell>
          <cell r="R703">
            <v>1972987</v>
          </cell>
          <cell r="S703">
            <v>1972987</v>
          </cell>
          <cell r="T703">
            <v>0</v>
          </cell>
          <cell r="U703">
            <v>0</v>
          </cell>
          <cell r="V703">
            <v>0</v>
          </cell>
        </row>
        <row r="704">
          <cell r="J704">
            <v>1615</v>
          </cell>
          <cell r="K704">
            <v>43181</v>
          </cell>
          <cell r="L704" t="str">
            <v>CAJA DE VIVIENDA POPULAR</v>
          </cell>
          <cell r="M704">
            <v>1</v>
          </cell>
          <cell r="N704" t="str">
            <v>RELACION DE AUTORIZACION</v>
          </cell>
          <cell r="O704">
            <v>24</v>
          </cell>
          <cell r="P704">
            <v>43181</v>
          </cell>
          <cell r="Q704" t="str">
            <v>PAGO DE LA NOMINA DEL MES DE MARZO DE 2018 DE PLANTA FIJA Y CONVENCIONADOS</v>
          </cell>
          <cell r="R704">
            <v>1972987</v>
          </cell>
          <cell r="S704">
            <v>0</v>
          </cell>
          <cell r="T704">
            <v>0</v>
          </cell>
          <cell r="U704">
            <v>1972987</v>
          </cell>
          <cell r="V704">
            <v>1972987</v>
          </cell>
        </row>
        <row r="705">
          <cell r="J705">
            <v>1830</v>
          </cell>
          <cell r="K705">
            <v>43213</v>
          </cell>
          <cell r="L705" t="str">
            <v>CAJA DE VIVIENDA POPULAR</v>
          </cell>
          <cell r="M705">
            <v>1</v>
          </cell>
          <cell r="N705" t="str">
            <v>RELACION DE AUTORIZACION</v>
          </cell>
          <cell r="O705">
            <v>32</v>
          </cell>
          <cell r="P705">
            <v>43213</v>
          </cell>
          <cell r="Q705" t="str">
            <v>PAGO SERVICIOS ASOCIADOS A LA NOMINA DEL MES DE ABRIL DE 2018 DE PLANTA FIJA Y CONVENCIONADOS</v>
          </cell>
          <cell r="R705">
            <v>1752459</v>
          </cell>
          <cell r="S705">
            <v>0</v>
          </cell>
          <cell r="T705">
            <v>0</v>
          </cell>
          <cell r="U705">
            <v>1752459</v>
          </cell>
          <cell r="V705">
            <v>1752459</v>
          </cell>
        </row>
        <row r="706">
          <cell r="J706">
            <v>1947</v>
          </cell>
          <cell r="K706">
            <v>43243</v>
          </cell>
          <cell r="L706" t="str">
            <v>CAJA DE VIVIENDA POPULAR</v>
          </cell>
          <cell r="M706">
            <v>1</v>
          </cell>
          <cell r="N706" t="str">
            <v>RELACION DE AUTORIZACION</v>
          </cell>
          <cell r="O706">
            <v>36</v>
          </cell>
          <cell r="P706">
            <v>43243</v>
          </cell>
          <cell r="Q706" t="str">
            <v>PAGO DE LA NOMINA DEL MES DE MAYO DE 2018 DE PLANTA FIJA Y CONVENCIONADOS</v>
          </cell>
          <cell r="R706">
            <v>1761282</v>
          </cell>
          <cell r="S706">
            <v>0</v>
          </cell>
          <cell r="T706">
            <v>0</v>
          </cell>
          <cell r="U706">
            <v>1761282</v>
          </cell>
          <cell r="V706">
            <v>1761282</v>
          </cell>
        </row>
        <row r="707">
          <cell r="J707">
            <v>2053</v>
          </cell>
          <cell r="K707">
            <v>43271</v>
          </cell>
          <cell r="L707" t="str">
            <v>CAJA DE VIVIENDA POPULAR</v>
          </cell>
          <cell r="M707">
            <v>1</v>
          </cell>
          <cell r="N707" t="str">
            <v>RELACION DE AUTORIZACION</v>
          </cell>
          <cell r="O707">
            <v>45</v>
          </cell>
          <cell r="P707">
            <v>43271</v>
          </cell>
          <cell r="Q707" t="str">
            <v>PAGO DE LA NOMINA DEL MES DE JUNIO DE 2018 DE PLANTA FIJA Y CONVENCIONADOS</v>
          </cell>
          <cell r="R707">
            <v>1746579</v>
          </cell>
          <cell r="S707">
            <v>0</v>
          </cell>
          <cell r="T707">
            <v>0</v>
          </cell>
          <cell r="U707">
            <v>1746579</v>
          </cell>
          <cell r="V707">
            <v>1746579</v>
          </cell>
        </row>
        <row r="708">
          <cell r="J708">
            <v>2520</v>
          </cell>
          <cell r="K708">
            <v>43305</v>
          </cell>
          <cell r="L708" t="str">
            <v>CAJA DE VIVIENDA POPULAR</v>
          </cell>
          <cell r="M708">
            <v>1</v>
          </cell>
          <cell r="N708" t="str">
            <v>RELACION DE AUTORIZACION</v>
          </cell>
          <cell r="O708">
            <v>51</v>
          </cell>
          <cell r="P708">
            <v>43305</v>
          </cell>
          <cell r="Q708" t="str">
            <v>PAGO DE LA NOMINA DEL MES DE JULIO DE 2018 DE LA PLANTA FIJA Y CONVENCIONADOS</v>
          </cell>
          <cell r="R708">
            <v>1784805</v>
          </cell>
          <cell r="S708">
            <v>0</v>
          </cell>
          <cell r="T708">
            <v>0</v>
          </cell>
          <cell r="U708">
            <v>1784805</v>
          </cell>
          <cell r="V708">
            <v>1784805</v>
          </cell>
        </row>
        <row r="709">
          <cell r="J709">
            <v>2729</v>
          </cell>
          <cell r="K709">
            <v>43336</v>
          </cell>
          <cell r="L709" t="str">
            <v>CAJA DE VIVIENDA POPULAR</v>
          </cell>
          <cell r="M709">
            <v>1</v>
          </cell>
          <cell r="N709" t="str">
            <v>RELACION DE AUTORIZACION</v>
          </cell>
          <cell r="O709">
            <v>57</v>
          </cell>
          <cell r="P709">
            <v>43335</v>
          </cell>
          <cell r="Q709" t="str">
            <v>PAGO DE LA NOMINA DEL MES DE AGOSTO DE 2018 PLANTA FIJA Y CONVECIONADOS</v>
          </cell>
          <cell r="R709">
            <v>1825968</v>
          </cell>
          <cell r="S709">
            <v>0</v>
          </cell>
          <cell r="T709">
            <v>0</v>
          </cell>
          <cell r="U709">
            <v>1825968</v>
          </cell>
          <cell r="V709">
            <v>1825968</v>
          </cell>
        </row>
        <row r="710">
          <cell r="J710">
            <v>364</v>
          </cell>
          <cell r="K710">
            <v>43124</v>
          </cell>
          <cell r="L710" t="str">
            <v>CAJA DE VIVIENDA POPULAR</v>
          </cell>
          <cell r="M710">
            <v>1</v>
          </cell>
          <cell r="N710" t="str">
            <v>RELACION DE AUTORIZACION</v>
          </cell>
          <cell r="O710">
            <v>4</v>
          </cell>
          <cell r="P710">
            <v>43124</v>
          </cell>
          <cell r="Q710" t="str">
            <v>PAGO DE LA NOMINA DEL MES DE ENERO DE 2018 DE PLANTA FIJA Y CONVENCIONADOS</v>
          </cell>
          <cell r="R710">
            <v>2288178</v>
          </cell>
          <cell r="S710">
            <v>0</v>
          </cell>
          <cell r="T710">
            <v>0</v>
          </cell>
          <cell r="U710">
            <v>2288178</v>
          </cell>
          <cell r="V710">
            <v>2288178</v>
          </cell>
        </row>
        <row r="711">
          <cell r="J711">
            <v>1384</v>
          </cell>
          <cell r="K711">
            <v>43151</v>
          </cell>
          <cell r="L711" t="str">
            <v>CAJA DE VIVIENDA POPULAR</v>
          </cell>
          <cell r="M711">
            <v>1</v>
          </cell>
          <cell r="N711" t="str">
            <v>RELACION DE AUTORIZACION</v>
          </cell>
          <cell r="O711">
            <v>16</v>
          </cell>
          <cell r="P711">
            <v>43151</v>
          </cell>
          <cell r="Q711" t="str">
            <v>PAGO DE LA NOMINA DEL MES DE FEBRERO DE 2018 DE PLANTA FIJA Y CONVENCIONADOS</v>
          </cell>
          <cell r="R711">
            <v>3227632</v>
          </cell>
          <cell r="S711">
            <v>0</v>
          </cell>
          <cell r="T711">
            <v>0</v>
          </cell>
          <cell r="U711">
            <v>3227632</v>
          </cell>
          <cell r="V711">
            <v>3227632</v>
          </cell>
        </row>
        <row r="712">
          <cell r="J712">
            <v>1603</v>
          </cell>
          <cell r="K712">
            <v>43180</v>
          </cell>
          <cell r="L712" t="str">
            <v>CAJA DE VIVIENDA POPULAR</v>
          </cell>
          <cell r="M712">
            <v>1</v>
          </cell>
          <cell r="N712" t="str">
            <v>RELACION DE AUTORIZACION</v>
          </cell>
          <cell r="O712">
            <v>24</v>
          </cell>
          <cell r="P712">
            <v>43180</v>
          </cell>
          <cell r="Q712" t="str">
            <v>PAGO DE LA NOMINA DEL MES DE MARZO DE 2018 DE PLANTA FIJA Y CONVENCIONADOS</v>
          </cell>
          <cell r="R712">
            <v>3484915</v>
          </cell>
          <cell r="S712">
            <v>3484915</v>
          </cell>
          <cell r="T712">
            <v>0</v>
          </cell>
          <cell r="U712">
            <v>0</v>
          </cell>
          <cell r="V712">
            <v>0</v>
          </cell>
        </row>
        <row r="713">
          <cell r="J713">
            <v>1615</v>
          </cell>
          <cell r="K713">
            <v>43181</v>
          </cell>
          <cell r="L713" t="str">
            <v>CAJA DE VIVIENDA POPULAR</v>
          </cell>
          <cell r="M713">
            <v>1</v>
          </cell>
          <cell r="N713" t="str">
            <v>RELACION DE AUTORIZACION</v>
          </cell>
          <cell r="O713">
            <v>24</v>
          </cell>
          <cell r="P713">
            <v>43181</v>
          </cell>
          <cell r="Q713" t="str">
            <v>PAGO DE LA NOMINA DEL MES DE MARZO DE 2018 DE PLANTA FIJA Y CONVENCIONADOS</v>
          </cell>
          <cell r="R713">
            <v>3484915</v>
          </cell>
          <cell r="S713">
            <v>0</v>
          </cell>
          <cell r="T713">
            <v>0</v>
          </cell>
          <cell r="U713">
            <v>3484915</v>
          </cell>
          <cell r="V713">
            <v>3484915</v>
          </cell>
        </row>
        <row r="714">
          <cell r="J714">
            <v>1830</v>
          </cell>
          <cell r="K714">
            <v>43213</v>
          </cell>
          <cell r="L714" t="str">
            <v>CAJA DE VIVIENDA POPULAR</v>
          </cell>
          <cell r="M714">
            <v>1</v>
          </cell>
          <cell r="N714" t="str">
            <v>RELACION DE AUTORIZACION</v>
          </cell>
          <cell r="O714">
            <v>32</v>
          </cell>
          <cell r="P714">
            <v>43213</v>
          </cell>
          <cell r="Q714" t="str">
            <v>PAGO SERVICIOS ASOCIADOS A LA NOMINA DEL MES DE ABRIL DE 2018 DE PLANTA FIJA Y CONVENCIONADOS</v>
          </cell>
          <cell r="R714">
            <v>2716790</v>
          </cell>
          <cell r="S714">
            <v>0</v>
          </cell>
          <cell r="T714">
            <v>0</v>
          </cell>
          <cell r="U714">
            <v>2716790</v>
          </cell>
          <cell r="V714">
            <v>2716790</v>
          </cell>
        </row>
        <row r="715">
          <cell r="J715">
            <v>1947</v>
          </cell>
          <cell r="K715">
            <v>43243</v>
          </cell>
          <cell r="L715" t="str">
            <v>CAJA DE VIVIENDA POPULAR</v>
          </cell>
          <cell r="M715">
            <v>1</v>
          </cell>
          <cell r="N715" t="str">
            <v>RELACION DE AUTORIZACION</v>
          </cell>
          <cell r="O715">
            <v>36</v>
          </cell>
          <cell r="P715">
            <v>43243</v>
          </cell>
          <cell r="Q715" t="str">
            <v>PAGO DE LA NOMINA DEL MES DE MAYO DE 2018 DE PLANTA FIJA Y CONVENCIONADOS</v>
          </cell>
          <cell r="R715">
            <v>2741812</v>
          </cell>
          <cell r="S715">
            <v>0</v>
          </cell>
          <cell r="T715">
            <v>0</v>
          </cell>
          <cell r="U715">
            <v>2741812</v>
          </cell>
          <cell r="V715">
            <v>2741812</v>
          </cell>
        </row>
        <row r="716">
          <cell r="J716">
            <v>2053</v>
          </cell>
          <cell r="K716">
            <v>43271</v>
          </cell>
          <cell r="L716" t="str">
            <v>CAJA DE VIVIENDA POPULAR</v>
          </cell>
          <cell r="M716">
            <v>1</v>
          </cell>
          <cell r="N716" t="str">
            <v>RELACION DE AUTORIZACION</v>
          </cell>
          <cell r="O716">
            <v>45</v>
          </cell>
          <cell r="P716">
            <v>43271</v>
          </cell>
          <cell r="Q716" t="str">
            <v>PAGO DE LA NOMINA DEL MES DE JUNIO DE 2018 DE PLANTA FIJA Y CONVENCIONADOS</v>
          </cell>
          <cell r="R716">
            <v>2554611</v>
          </cell>
          <cell r="S716">
            <v>0</v>
          </cell>
          <cell r="T716">
            <v>0</v>
          </cell>
          <cell r="U716">
            <v>2554611</v>
          </cell>
          <cell r="V716">
            <v>2554611</v>
          </cell>
        </row>
        <row r="717">
          <cell r="J717">
            <v>2520</v>
          </cell>
          <cell r="K717">
            <v>43305</v>
          </cell>
          <cell r="L717" t="str">
            <v>CAJA DE VIVIENDA POPULAR</v>
          </cell>
          <cell r="M717">
            <v>1</v>
          </cell>
          <cell r="N717" t="str">
            <v>RELACION DE AUTORIZACION</v>
          </cell>
          <cell r="O717">
            <v>51</v>
          </cell>
          <cell r="P717">
            <v>43305</v>
          </cell>
          <cell r="Q717" t="str">
            <v>PAGO DE LA NOMINA DEL MES DE JULIO DE 2018 DE LA PLANTA FIJA Y CONVENCIONADOS</v>
          </cell>
          <cell r="R717">
            <v>2607713</v>
          </cell>
          <cell r="S717">
            <v>0</v>
          </cell>
          <cell r="T717">
            <v>0</v>
          </cell>
          <cell r="U717">
            <v>2607713</v>
          </cell>
          <cell r="V717">
            <v>2607713</v>
          </cell>
        </row>
        <row r="718">
          <cell r="J718">
            <v>2729</v>
          </cell>
          <cell r="K718">
            <v>43336</v>
          </cell>
          <cell r="L718" t="str">
            <v>CAJA DE VIVIENDA POPULAR</v>
          </cell>
          <cell r="M718">
            <v>1</v>
          </cell>
          <cell r="N718" t="str">
            <v>RELACION DE AUTORIZACION</v>
          </cell>
          <cell r="O718">
            <v>57</v>
          </cell>
          <cell r="P718">
            <v>43335</v>
          </cell>
          <cell r="Q718" t="str">
            <v>PAGO DE LA NOMINA DEL MES DE AGOSTO DE 2018 PLANTA FIJA Y CONVECIONADOS</v>
          </cell>
          <cell r="R718">
            <v>3382805</v>
          </cell>
          <cell r="S718">
            <v>0</v>
          </cell>
          <cell r="T718">
            <v>0</v>
          </cell>
          <cell r="U718">
            <v>3382805</v>
          </cell>
          <cell r="V718">
            <v>3382805</v>
          </cell>
        </row>
        <row r="719">
          <cell r="J719">
            <v>364</v>
          </cell>
          <cell r="K719">
            <v>43124</v>
          </cell>
          <cell r="L719" t="str">
            <v>CAJA DE VIVIENDA POPULAR</v>
          </cell>
          <cell r="M719">
            <v>1</v>
          </cell>
          <cell r="N719" t="str">
            <v>RELACION DE AUTORIZACION</v>
          </cell>
          <cell r="O719">
            <v>4</v>
          </cell>
          <cell r="P719">
            <v>43124</v>
          </cell>
          <cell r="Q719" t="str">
            <v>PAGO DE LA NOMINA DEL MES DE ENERO DE 2018 DE PLANTA FIJA Y CONVENCIONADOS</v>
          </cell>
          <cell r="R719">
            <v>1719388</v>
          </cell>
          <cell r="S719">
            <v>0</v>
          </cell>
          <cell r="T719">
            <v>0</v>
          </cell>
          <cell r="U719">
            <v>1719388</v>
          </cell>
          <cell r="V719">
            <v>1719388</v>
          </cell>
        </row>
        <row r="720">
          <cell r="J720">
            <v>1384</v>
          </cell>
          <cell r="K720">
            <v>43151</v>
          </cell>
          <cell r="L720" t="str">
            <v>CAJA DE VIVIENDA POPULAR</v>
          </cell>
          <cell r="M720">
            <v>1</v>
          </cell>
          <cell r="N720" t="str">
            <v>RELACION DE AUTORIZACION</v>
          </cell>
          <cell r="O720">
            <v>16</v>
          </cell>
          <cell r="P720">
            <v>43151</v>
          </cell>
          <cell r="Q720" t="str">
            <v>PAGO DE LA NOMINA DEL MES DE FEBRERO DE 2018 DE PLANTA FIJA Y CONVENCIONADOS</v>
          </cell>
          <cell r="R720">
            <v>11334502</v>
          </cell>
          <cell r="S720">
            <v>0</v>
          </cell>
          <cell r="T720">
            <v>0</v>
          </cell>
          <cell r="U720">
            <v>11334502</v>
          </cell>
          <cell r="V720">
            <v>11334502</v>
          </cell>
        </row>
        <row r="721">
          <cell r="J721">
            <v>1603</v>
          </cell>
          <cell r="K721">
            <v>43180</v>
          </cell>
          <cell r="L721" t="str">
            <v>CAJA DE VIVIENDA POPULAR</v>
          </cell>
          <cell r="M721">
            <v>1</v>
          </cell>
          <cell r="N721" t="str">
            <v>RELACION DE AUTORIZACION</v>
          </cell>
          <cell r="O721">
            <v>24</v>
          </cell>
          <cell r="P721">
            <v>43180</v>
          </cell>
          <cell r="Q721" t="str">
            <v>PAGO DE LA NOMINA DEL MES DE MARZO DE 2018 DE PLANTA FIJA Y CONVENCIONADOS</v>
          </cell>
          <cell r="R721">
            <v>14254976</v>
          </cell>
          <cell r="S721">
            <v>14254976</v>
          </cell>
          <cell r="T721">
            <v>0</v>
          </cell>
          <cell r="U721">
            <v>0</v>
          </cell>
          <cell r="V721">
            <v>0</v>
          </cell>
        </row>
        <row r="722">
          <cell r="J722">
            <v>1615</v>
          </cell>
          <cell r="K722">
            <v>43181</v>
          </cell>
          <cell r="L722" t="str">
            <v>CAJA DE VIVIENDA POPULAR</v>
          </cell>
          <cell r="M722">
            <v>1</v>
          </cell>
          <cell r="N722" t="str">
            <v>RELACION DE AUTORIZACION</v>
          </cell>
          <cell r="O722">
            <v>24</v>
          </cell>
          <cell r="P722">
            <v>43181</v>
          </cell>
          <cell r="Q722" t="str">
            <v>PAGO DE LA NOMINA DEL MES DE MARZO DE 2018 DE PLANTA FIJA Y CONVENCIONADOS</v>
          </cell>
          <cell r="R722">
            <v>14254976</v>
          </cell>
          <cell r="S722">
            <v>0</v>
          </cell>
          <cell r="T722">
            <v>0</v>
          </cell>
          <cell r="U722">
            <v>14254976</v>
          </cell>
          <cell r="V722">
            <v>14254976</v>
          </cell>
        </row>
        <row r="723">
          <cell r="J723">
            <v>1830</v>
          </cell>
          <cell r="K723">
            <v>43213</v>
          </cell>
          <cell r="L723" t="str">
            <v>CAJA DE VIVIENDA POPULAR</v>
          </cell>
          <cell r="M723">
            <v>1</v>
          </cell>
          <cell r="N723" t="str">
            <v>RELACION DE AUTORIZACION</v>
          </cell>
          <cell r="O723">
            <v>32</v>
          </cell>
          <cell r="P723">
            <v>43213</v>
          </cell>
          <cell r="Q723" t="str">
            <v>PAGO SERVICIOS ASOCIADOS A LA NOMINA DEL MES DE ABRIL DE 2018 DE PLANTA FIJA Y CONVENCIONADOS</v>
          </cell>
          <cell r="R723">
            <v>6927597</v>
          </cell>
          <cell r="S723">
            <v>0</v>
          </cell>
          <cell r="T723">
            <v>0</v>
          </cell>
          <cell r="U723">
            <v>6927597</v>
          </cell>
          <cell r="V723">
            <v>6927597</v>
          </cell>
        </row>
        <row r="724">
          <cell r="J724">
            <v>1947</v>
          </cell>
          <cell r="K724">
            <v>43243</v>
          </cell>
          <cell r="L724" t="str">
            <v>CAJA DE VIVIENDA POPULAR</v>
          </cell>
          <cell r="M724">
            <v>1</v>
          </cell>
          <cell r="N724" t="str">
            <v>RELACION DE AUTORIZACION</v>
          </cell>
          <cell r="O724">
            <v>36</v>
          </cell>
          <cell r="P724">
            <v>43243</v>
          </cell>
          <cell r="Q724" t="str">
            <v>PAGO DE LA NOMINA DEL MES DE MAYO DE 2018 DE PLANTA FIJA Y CONVENCIONADOS</v>
          </cell>
          <cell r="R724">
            <v>3393386</v>
          </cell>
          <cell r="S724">
            <v>0</v>
          </cell>
          <cell r="T724">
            <v>0</v>
          </cell>
          <cell r="U724">
            <v>3393386</v>
          </cell>
          <cell r="V724">
            <v>3393386</v>
          </cell>
        </row>
        <row r="725">
          <cell r="J725">
            <v>2053</v>
          </cell>
          <cell r="K725">
            <v>43271</v>
          </cell>
          <cell r="L725" t="str">
            <v>CAJA DE VIVIENDA POPULAR</v>
          </cell>
          <cell r="M725">
            <v>1</v>
          </cell>
          <cell r="N725" t="str">
            <v>RELACION DE AUTORIZACION</v>
          </cell>
          <cell r="O725">
            <v>45</v>
          </cell>
          <cell r="P725">
            <v>43271</v>
          </cell>
          <cell r="Q725" t="str">
            <v>PAGO DE LA NOMINA DEL MES DE JUNIO DE 2018 DE PLANTA FIJA Y CONVENCIONADOS</v>
          </cell>
          <cell r="R725">
            <v>4371106</v>
          </cell>
          <cell r="S725">
            <v>0</v>
          </cell>
          <cell r="T725">
            <v>0</v>
          </cell>
          <cell r="U725">
            <v>4371106</v>
          </cell>
          <cell r="V725">
            <v>4371106</v>
          </cell>
        </row>
        <row r="726">
          <cell r="J726">
            <v>2520</v>
          </cell>
          <cell r="K726">
            <v>43305</v>
          </cell>
          <cell r="L726" t="str">
            <v>CAJA DE VIVIENDA POPULAR</v>
          </cell>
          <cell r="M726">
            <v>1</v>
          </cell>
          <cell r="N726" t="str">
            <v>RELACION DE AUTORIZACION</v>
          </cell>
          <cell r="O726">
            <v>51</v>
          </cell>
          <cell r="P726">
            <v>43305</v>
          </cell>
          <cell r="Q726" t="str">
            <v>PAGO DE LA NOMINA DEL MES DE JULIO DE 2018 DE LA PLANTA FIJA Y CONVENCIONADOS</v>
          </cell>
          <cell r="R726">
            <v>8620929</v>
          </cell>
          <cell r="S726">
            <v>0</v>
          </cell>
          <cell r="T726">
            <v>0</v>
          </cell>
          <cell r="U726">
            <v>8620929</v>
          </cell>
          <cell r="V726">
            <v>8620929</v>
          </cell>
        </row>
        <row r="727">
          <cell r="J727">
            <v>2729</v>
          </cell>
          <cell r="K727">
            <v>43336</v>
          </cell>
          <cell r="L727" t="str">
            <v>CAJA DE VIVIENDA POPULAR</v>
          </cell>
          <cell r="M727">
            <v>1</v>
          </cell>
          <cell r="N727" t="str">
            <v>RELACION DE AUTORIZACION</v>
          </cell>
          <cell r="O727">
            <v>57</v>
          </cell>
          <cell r="P727">
            <v>43335</v>
          </cell>
          <cell r="Q727" t="str">
            <v>PAGO DE LA NOMINA DEL MES DE AGOSTO DE 2018 PLANTA FIJA Y CONVECIONADOS</v>
          </cell>
          <cell r="R727">
            <v>13006913</v>
          </cell>
          <cell r="S727">
            <v>0</v>
          </cell>
          <cell r="T727">
            <v>0</v>
          </cell>
          <cell r="U727">
            <v>13006913</v>
          </cell>
          <cell r="V727">
            <v>13006913</v>
          </cell>
        </row>
        <row r="728">
          <cell r="J728">
            <v>1977</v>
          </cell>
          <cell r="K728">
            <v>43252</v>
          </cell>
          <cell r="L728" t="str">
            <v>CAJA DE VIVIENDA POPULAR</v>
          </cell>
          <cell r="M728">
            <v>1</v>
          </cell>
          <cell r="N728" t="str">
            <v>RELACION DE AUTORIZACION</v>
          </cell>
          <cell r="O728">
            <v>39</v>
          </cell>
          <cell r="P728">
            <v>43252</v>
          </cell>
          <cell r="Q728" t="str">
            <v>PAGO DE LA PRIMA DE SERVICIOS Y SEMESTRAL 2018 DE PLANTA FIJA Y CONVENCIONADOS</v>
          </cell>
          <cell r="R728">
            <v>34318975</v>
          </cell>
          <cell r="S728">
            <v>0</v>
          </cell>
          <cell r="T728">
            <v>0</v>
          </cell>
          <cell r="U728">
            <v>34318975</v>
          </cell>
          <cell r="V728">
            <v>34318975</v>
          </cell>
        </row>
        <row r="729">
          <cell r="J729">
            <v>2520</v>
          </cell>
          <cell r="K729">
            <v>43305</v>
          </cell>
          <cell r="L729" t="str">
            <v>CAJA DE VIVIENDA POPULAR</v>
          </cell>
          <cell r="M729">
            <v>1</v>
          </cell>
          <cell r="N729" t="str">
            <v>RELACION DE AUTORIZACION</v>
          </cell>
          <cell r="O729">
            <v>51</v>
          </cell>
          <cell r="P729">
            <v>43305</v>
          </cell>
          <cell r="Q729" t="str">
            <v>PAGO DE LA NOMINA DEL MES DE JULIO DE 2018 DE LA PLANTA FIJA Y CONVENCIONADOS</v>
          </cell>
          <cell r="R729">
            <v>2717717</v>
          </cell>
          <cell r="S729">
            <v>0</v>
          </cell>
          <cell r="T729">
            <v>0</v>
          </cell>
          <cell r="U729">
            <v>2717717</v>
          </cell>
          <cell r="V729">
            <v>2717717</v>
          </cell>
        </row>
        <row r="730">
          <cell r="J730">
            <v>2729</v>
          </cell>
          <cell r="K730">
            <v>43336</v>
          </cell>
          <cell r="L730" t="str">
            <v>CAJA DE VIVIENDA POPULAR</v>
          </cell>
          <cell r="M730">
            <v>1</v>
          </cell>
          <cell r="N730" t="str">
            <v>RELACION DE AUTORIZACION</v>
          </cell>
          <cell r="O730">
            <v>57</v>
          </cell>
          <cell r="P730">
            <v>43335</v>
          </cell>
          <cell r="Q730" t="str">
            <v>PAGO DE LA NOMINA DEL MES DE AGOSTO DE 2018 PLANTA FIJA Y CONVECIONADOS</v>
          </cell>
          <cell r="R730">
            <v>1438296</v>
          </cell>
          <cell r="S730">
            <v>0</v>
          </cell>
          <cell r="T730">
            <v>0</v>
          </cell>
          <cell r="U730">
            <v>1438296</v>
          </cell>
          <cell r="V730">
            <v>1438296</v>
          </cell>
        </row>
        <row r="731">
          <cell r="J731">
            <v>1977</v>
          </cell>
          <cell r="K731">
            <v>43252</v>
          </cell>
          <cell r="L731" t="str">
            <v>CAJA DE VIVIENDA POPULAR</v>
          </cell>
          <cell r="M731">
            <v>1</v>
          </cell>
          <cell r="N731" t="str">
            <v>RELACION DE AUTORIZACION</v>
          </cell>
          <cell r="O731">
            <v>39</v>
          </cell>
          <cell r="P731">
            <v>43252</v>
          </cell>
          <cell r="Q731" t="str">
            <v>PAGO DE LA PRIMA DE SERVICIOS Y SEMESTRAL 2018 DE PLANTA FIJA Y CONVENCIONADOS</v>
          </cell>
          <cell r="R731">
            <v>372926566</v>
          </cell>
          <cell r="S731">
            <v>0</v>
          </cell>
          <cell r="T731">
            <v>0</v>
          </cell>
          <cell r="U731">
            <v>372926566</v>
          </cell>
          <cell r="V731">
            <v>372926566</v>
          </cell>
        </row>
        <row r="732">
          <cell r="J732">
            <v>2520</v>
          </cell>
          <cell r="K732">
            <v>43305</v>
          </cell>
          <cell r="L732" t="str">
            <v>CAJA DE VIVIENDA POPULAR</v>
          </cell>
          <cell r="M732">
            <v>1</v>
          </cell>
          <cell r="N732" t="str">
            <v>RELACION DE AUTORIZACION</v>
          </cell>
          <cell r="O732">
            <v>51</v>
          </cell>
          <cell r="P732">
            <v>43305</v>
          </cell>
          <cell r="Q732" t="str">
            <v>PAGO DE LA NOMINA DEL MES DE JULIO DE 2018 DE LA PLANTA FIJA Y CONVENCIONADOS</v>
          </cell>
          <cell r="R732">
            <v>460667</v>
          </cell>
          <cell r="S732">
            <v>0</v>
          </cell>
          <cell r="T732">
            <v>0</v>
          </cell>
          <cell r="U732">
            <v>460667</v>
          </cell>
          <cell r="V732">
            <v>460667</v>
          </cell>
        </row>
        <row r="733">
          <cell r="J733">
            <v>364</v>
          </cell>
          <cell r="K733">
            <v>43124</v>
          </cell>
          <cell r="L733" t="str">
            <v>CAJA DE VIVIENDA POPULAR</v>
          </cell>
          <cell r="M733">
            <v>1</v>
          </cell>
          <cell r="N733" t="str">
            <v>RELACION DE AUTORIZACION</v>
          </cell>
          <cell r="O733">
            <v>4</v>
          </cell>
          <cell r="P733">
            <v>43124</v>
          </cell>
          <cell r="Q733" t="str">
            <v>PAGO DE LA NOMINA DEL MES DE ENERO DE 2018 DE PLANTA FIJA Y CONVENCIONADOS</v>
          </cell>
          <cell r="R733">
            <v>2671684</v>
          </cell>
          <cell r="S733">
            <v>0</v>
          </cell>
          <cell r="T733">
            <v>0</v>
          </cell>
          <cell r="U733">
            <v>2671684</v>
          </cell>
          <cell r="V733">
            <v>2671684</v>
          </cell>
        </row>
        <row r="734">
          <cell r="J734">
            <v>1384</v>
          </cell>
          <cell r="K734">
            <v>43151</v>
          </cell>
          <cell r="L734" t="str">
            <v>CAJA DE VIVIENDA POPULAR</v>
          </cell>
          <cell r="M734">
            <v>1</v>
          </cell>
          <cell r="N734" t="str">
            <v>RELACION DE AUTORIZACION</v>
          </cell>
          <cell r="O734">
            <v>16</v>
          </cell>
          <cell r="P734">
            <v>43151</v>
          </cell>
          <cell r="Q734" t="str">
            <v>PAGO DE LA NOMINA DEL MES DE FEBRERO DE 2018 DE PLANTA FIJA Y CONVENCIONADOS</v>
          </cell>
          <cell r="R734">
            <v>4794918</v>
          </cell>
          <cell r="S734">
            <v>0</v>
          </cell>
          <cell r="T734">
            <v>0</v>
          </cell>
          <cell r="U734">
            <v>4794918</v>
          </cell>
          <cell r="V734">
            <v>4794918</v>
          </cell>
        </row>
        <row r="735">
          <cell r="J735">
            <v>1603</v>
          </cell>
          <cell r="K735">
            <v>43180</v>
          </cell>
          <cell r="L735" t="str">
            <v>CAJA DE VIVIENDA POPULAR</v>
          </cell>
          <cell r="M735">
            <v>1</v>
          </cell>
          <cell r="N735" t="str">
            <v>RELACION DE AUTORIZACION</v>
          </cell>
          <cell r="O735">
            <v>24</v>
          </cell>
          <cell r="P735">
            <v>43180</v>
          </cell>
          <cell r="Q735" t="str">
            <v>PAGO DE LA NOMINA DEL MES DE MARZO DE 2018 DE PLANTA FIJA Y CONVENCIONADOS</v>
          </cell>
          <cell r="R735">
            <v>1306101</v>
          </cell>
          <cell r="S735">
            <v>1306101</v>
          </cell>
          <cell r="T735">
            <v>0</v>
          </cell>
          <cell r="U735">
            <v>0</v>
          </cell>
          <cell r="V735">
            <v>0</v>
          </cell>
        </row>
        <row r="736">
          <cell r="J736">
            <v>1615</v>
          </cell>
          <cell r="K736">
            <v>43181</v>
          </cell>
          <cell r="L736" t="str">
            <v>CAJA DE VIVIENDA POPULAR</v>
          </cell>
          <cell r="M736">
            <v>1</v>
          </cell>
          <cell r="N736" t="str">
            <v>RELACION DE AUTORIZACION</v>
          </cell>
          <cell r="O736">
            <v>24</v>
          </cell>
          <cell r="P736">
            <v>43181</v>
          </cell>
          <cell r="Q736" t="str">
            <v>PAGO DE LA NOMINA DEL MES DE MARZO DE 2018 DE PLANTA FIJA Y CONVENCIONADOS</v>
          </cell>
          <cell r="R736">
            <v>1306101</v>
          </cell>
          <cell r="S736">
            <v>0</v>
          </cell>
          <cell r="T736">
            <v>0</v>
          </cell>
          <cell r="U736">
            <v>1306101</v>
          </cell>
          <cell r="V736">
            <v>1306101</v>
          </cell>
        </row>
        <row r="737">
          <cell r="J737">
            <v>1830</v>
          </cell>
          <cell r="K737">
            <v>43213</v>
          </cell>
          <cell r="L737" t="str">
            <v>CAJA DE VIVIENDA POPULAR</v>
          </cell>
          <cell r="M737">
            <v>1</v>
          </cell>
          <cell r="N737" t="str">
            <v>RELACION DE AUTORIZACION</v>
          </cell>
          <cell r="O737">
            <v>32</v>
          </cell>
          <cell r="P737">
            <v>43213</v>
          </cell>
          <cell r="Q737" t="str">
            <v>PAGO SERVICIOS ASOCIADOS A LA NOMINA DEL MES DE ABRIL DE 2018 DE PLANTA FIJA Y CONVENCIONADOS</v>
          </cell>
          <cell r="R737">
            <v>18763293</v>
          </cell>
          <cell r="S737">
            <v>0</v>
          </cell>
          <cell r="T737">
            <v>0</v>
          </cell>
          <cell r="U737">
            <v>18763293</v>
          </cell>
          <cell r="V737">
            <v>18763293</v>
          </cell>
        </row>
        <row r="738">
          <cell r="J738">
            <v>1947</v>
          </cell>
          <cell r="K738">
            <v>43243</v>
          </cell>
          <cell r="L738" t="str">
            <v>CAJA DE VIVIENDA POPULAR</v>
          </cell>
          <cell r="M738">
            <v>1</v>
          </cell>
          <cell r="N738" t="str">
            <v>RELACION DE AUTORIZACION</v>
          </cell>
          <cell r="O738">
            <v>36</v>
          </cell>
          <cell r="P738">
            <v>43243</v>
          </cell>
          <cell r="Q738" t="str">
            <v>PAGO DE LA NOMINA DEL MES DE MAYO DE 2018 DE PLANTA FIJA Y CONVENCIONADOS</v>
          </cell>
          <cell r="R738">
            <v>14055471</v>
          </cell>
          <cell r="S738">
            <v>0</v>
          </cell>
          <cell r="T738">
            <v>0</v>
          </cell>
          <cell r="U738">
            <v>14055471</v>
          </cell>
          <cell r="V738">
            <v>14055471</v>
          </cell>
        </row>
        <row r="739">
          <cell r="J739">
            <v>2053</v>
          </cell>
          <cell r="K739">
            <v>43271</v>
          </cell>
          <cell r="L739" t="str">
            <v>CAJA DE VIVIENDA POPULAR</v>
          </cell>
          <cell r="M739">
            <v>1</v>
          </cell>
          <cell r="N739" t="str">
            <v>RELACION DE AUTORIZACION</v>
          </cell>
          <cell r="O739">
            <v>45</v>
          </cell>
          <cell r="P739">
            <v>43271</v>
          </cell>
          <cell r="Q739" t="str">
            <v>PAGO DE LA NOMINA DEL MES DE JUNIO DE 2018 DE PLANTA FIJA Y CONVENCIONADOS</v>
          </cell>
          <cell r="R739">
            <v>7835117</v>
          </cell>
          <cell r="S739">
            <v>0</v>
          </cell>
          <cell r="T739">
            <v>0</v>
          </cell>
          <cell r="U739">
            <v>7835117</v>
          </cell>
          <cell r="V739">
            <v>7835117</v>
          </cell>
        </row>
        <row r="740">
          <cell r="J740">
            <v>2520</v>
          </cell>
          <cell r="K740">
            <v>43305</v>
          </cell>
          <cell r="L740" t="str">
            <v>CAJA DE VIVIENDA POPULAR</v>
          </cell>
          <cell r="M740">
            <v>1</v>
          </cell>
          <cell r="N740" t="str">
            <v>RELACION DE AUTORIZACION</v>
          </cell>
          <cell r="O740">
            <v>51</v>
          </cell>
          <cell r="P740">
            <v>43305</v>
          </cell>
          <cell r="Q740" t="str">
            <v>PAGO DE LA NOMINA DEL MES DE JULIO DE 2018 DE LA PLANTA FIJA Y CONVENCIONADOS</v>
          </cell>
          <cell r="R740">
            <v>8722895</v>
          </cell>
          <cell r="S740">
            <v>0</v>
          </cell>
          <cell r="T740">
            <v>0</v>
          </cell>
          <cell r="U740">
            <v>8722895</v>
          </cell>
          <cell r="V740">
            <v>8722895</v>
          </cell>
        </row>
        <row r="741">
          <cell r="J741">
            <v>2729</v>
          </cell>
          <cell r="K741">
            <v>43336</v>
          </cell>
          <cell r="L741" t="str">
            <v>CAJA DE VIVIENDA POPULAR</v>
          </cell>
          <cell r="M741">
            <v>1</v>
          </cell>
          <cell r="N741" t="str">
            <v>RELACION DE AUTORIZACION</v>
          </cell>
          <cell r="O741">
            <v>57</v>
          </cell>
          <cell r="P741">
            <v>43335</v>
          </cell>
          <cell r="Q741" t="str">
            <v>PAGO DE LA NOMINA DEL MES DE AGOSTO DE 2018 PLANTA FIJA Y CONVECIONADOS</v>
          </cell>
          <cell r="R741">
            <v>16696152</v>
          </cell>
          <cell r="S741">
            <v>0</v>
          </cell>
          <cell r="T741">
            <v>0</v>
          </cell>
          <cell r="U741">
            <v>16696152</v>
          </cell>
          <cell r="V741">
            <v>16696152</v>
          </cell>
        </row>
        <row r="742">
          <cell r="J742">
            <v>364</v>
          </cell>
          <cell r="K742">
            <v>43124</v>
          </cell>
          <cell r="L742" t="str">
            <v>CAJA DE VIVIENDA POPULAR</v>
          </cell>
          <cell r="M742">
            <v>1</v>
          </cell>
          <cell r="N742" t="str">
            <v>RELACION DE AUTORIZACION</v>
          </cell>
          <cell r="O742">
            <v>4</v>
          </cell>
          <cell r="P742">
            <v>43124</v>
          </cell>
          <cell r="Q742" t="str">
            <v>PAGO DE LA NOMINA DEL MES DE ENERO DE 2018 DE PLANTA FIJA Y CONVENCIONADOS</v>
          </cell>
          <cell r="R742">
            <v>60390946</v>
          </cell>
          <cell r="S742">
            <v>0</v>
          </cell>
          <cell r="T742">
            <v>0</v>
          </cell>
          <cell r="U742">
            <v>60390946</v>
          </cell>
          <cell r="V742">
            <v>60390946</v>
          </cell>
        </row>
        <row r="743">
          <cell r="J743">
            <v>1384</v>
          </cell>
          <cell r="K743">
            <v>43151</v>
          </cell>
          <cell r="L743" t="str">
            <v>CAJA DE VIVIENDA POPULAR</v>
          </cell>
          <cell r="M743">
            <v>1</v>
          </cell>
          <cell r="N743" t="str">
            <v>RELACION DE AUTORIZACION</v>
          </cell>
          <cell r="O743">
            <v>16</v>
          </cell>
          <cell r="P743">
            <v>43151</v>
          </cell>
          <cell r="Q743" t="str">
            <v>PAGO DE LA NOMINA DEL MES DE FEBRERO DE 2018 DE PLANTA FIJA Y CONVENCIONADOS</v>
          </cell>
          <cell r="R743">
            <v>61116751</v>
          </cell>
          <cell r="S743">
            <v>0</v>
          </cell>
          <cell r="T743">
            <v>0</v>
          </cell>
          <cell r="U743">
            <v>61116751</v>
          </cell>
          <cell r="V743">
            <v>61116751</v>
          </cell>
        </row>
        <row r="744">
          <cell r="J744">
            <v>1603</v>
          </cell>
          <cell r="K744">
            <v>43180</v>
          </cell>
          <cell r="L744" t="str">
            <v>CAJA DE VIVIENDA POPULAR</v>
          </cell>
          <cell r="M744">
            <v>1</v>
          </cell>
          <cell r="N744" t="str">
            <v>RELACION DE AUTORIZACION</v>
          </cell>
          <cell r="O744">
            <v>24</v>
          </cell>
          <cell r="P744">
            <v>43180</v>
          </cell>
          <cell r="Q744" t="str">
            <v>PAGO DE LA NOMINA DEL MES DE MARZO DE 2018 DE PLANTA FIJA Y CONVENCIONADOS</v>
          </cell>
          <cell r="R744">
            <v>69875520</v>
          </cell>
          <cell r="S744">
            <v>69875520</v>
          </cell>
          <cell r="T744">
            <v>0</v>
          </cell>
          <cell r="U744">
            <v>0</v>
          </cell>
          <cell r="V744">
            <v>0</v>
          </cell>
        </row>
        <row r="745">
          <cell r="J745">
            <v>1615</v>
          </cell>
          <cell r="K745">
            <v>43181</v>
          </cell>
          <cell r="L745" t="str">
            <v>CAJA DE VIVIENDA POPULAR</v>
          </cell>
          <cell r="M745">
            <v>1</v>
          </cell>
          <cell r="N745" t="str">
            <v>RELACION DE AUTORIZACION</v>
          </cell>
          <cell r="O745">
            <v>24</v>
          </cell>
          <cell r="P745">
            <v>43181</v>
          </cell>
          <cell r="Q745" t="str">
            <v>PAGO DE LA NOMINA DEL MES DE MARZO DE 2018 DE PLANTA FIJA Y CONVENCIONADOS</v>
          </cell>
          <cell r="R745">
            <v>69970778</v>
          </cell>
          <cell r="S745">
            <v>0</v>
          </cell>
          <cell r="T745">
            <v>0</v>
          </cell>
          <cell r="U745">
            <v>69970778</v>
          </cell>
          <cell r="V745">
            <v>69970778</v>
          </cell>
        </row>
        <row r="746">
          <cell r="J746">
            <v>1830</v>
          </cell>
          <cell r="K746">
            <v>43213</v>
          </cell>
          <cell r="L746" t="str">
            <v>CAJA DE VIVIENDA POPULAR</v>
          </cell>
          <cell r="M746">
            <v>1</v>
          </cell>
          <cell r="N746" t="str">
            <v>RELACION DE AUTORIZACION</v>
          </cell>
          <cell r="O746">
            <v>32</v>
          </cell>
          <cell r="P746">
            <v>43213</v>
          </cell>
          <cell r="Q746" t="str">
            <v>PAGO SERVICIOS ASOCIADOS A LA NOMINA DEL MES DE ABRIL DE 2018 DE PLANTA FIJA Y CONVENCIONADOS</v>
          </cell>
          <cell r="R746">
            <v>67276699</v>
          </cell>
          <cell r="S746">
            <v>0</v>
          </cell>
          <cell r="T746">
            <v>0</v>
          </cell>
          <cell r="U746">
            <v>67276699</v>
          </cell>
          <cell r="V746">
            <v>67276699</v>
          </cell>
        </row>
        <row r="747">
          <cell r="J747">
            <v>1947</v>
          </cell>
          <cell r="K747">
            <v>43243</v>
          </cell>
          <cell r="L747" t="str">
            <v>CAJA DE VIVIENDA POPULAR</v>
          </cell>
          <cell r="M747">
            <v>1</v>
          </cell>
          <cell r="N747" t="str">
            <v>RELACION DE AUTORIZACION</v>
          </cell>
          <cell r="O747">
            <v>36</v>
          </cell>
          <cell r="P747">
            <v>43243</v>
          </cell>
          <cell r="Q747" t="str">
            <v>PAGO DE LA NOMINA DEL MES DE MAYO DE 2018 DE PLANTA FIJA Y CONVENCIONADOS</v>
          </cell>
          <cell r="R747">
            <v>64442102</v>
          </cell>
          <cell r="S747">
            <v>0</v>
          </cell>
          <cell r="T747">
            <v>0</v>
          </cell>
          <cell r="U747">
            <v>64442102</v>
          </cell>
          <cell r="V747">
            <v>64442102</v>
          </cell>
        </row>
        <row r="748">
          <cell r="J748">
            <v>2053</v>
          </cell>
          <cell r="K748">
            <v>43271</v>
          </cell>
          <cell r="L748" t="str">
            <v>CAJA DE VIVIENDA POPULAR</v>
          </cell>
          <cell r="M748">
            <v>1</v>
          </cell>
          <cell r="N748" t="str">
            <v>RELACION DE AUTORIZACION</v>
          </cell>
          <cell r="O748">
            <v>45</v>
          </cell>
          <cell r="P748">
            <v>43271</v>
          </cell>
          <cell r="Q748" t="str">
            <v>PAGO DE LA NOMINA DEL MES DE JUNIO DE 2018 DE PLANTA FIJA Y CONVENCIONADOS</v>
          </cell>
          <cell r="R748">
            <v>64265843</v>
          </cell>
          <cell r="S748">
            <v>0</v>
          </cell>
          <cell r="T748">
            <v>0</v>
          </cell>
          <cell r="U748">
            <v>64265843</v>
          </cell>
          <cell r="V748">
            <v>64265843</v>
          </cell>
        </row>
        <row r="749">
          <cell r="J749">
            <v>2520</v>
          </cell>
          <cell r="K749">
            <v>43305</v>
          </cell>
          <cell r="L749" t="str">
            <v>CAJA DE VIVIENDA POPULAR</v>
          </cell>
          <cell r="M749">
            <v>1</v>
          </cell>
          <cell r="N749" t="str">
            <v>RELACION DE AUTORIZACION</v>
          </cell>
          <cell r="O749">
            <v>51</v>
          </cell>
          <cell r="P749">
            <v>43305</v>
          </cell>
          <cell r="Q749" t="str">
            <v>PAGO DE LA NOMINA DEL MES DE JULIO DE 2018 DE LA PLANTA FIJA Y CONVENCIONADOS</v>
          </cell>
          <cell r="R749">
            <v>60530347</v>
          </cell>
          <cell r="S749">
            <v>0</v>
          </cell>
          <cell r="T749">
            <v>0</v>
          </cell>
          <cell r="U749">
            <v>60530347</v>
          </cell>
          <cell r="V749">
            <v>60530347</v>
          </cell>
        </row>
        <row r="750">
          <cell r="J750">
            <v>2729</v>
          </cell>
          <cell r="K750">
            <v>43336</v>
          </cell>
          <cell r="L750" t="str">
            <v>CAJA DE VIVIENDA POPULAR</v>
          </cell>
          <cell r="M750">
            <v>1</v>
          </cell>
          <cell r="N750" t="str">
            <v>RELACION DE AUTORIZACION</v>
          </cell>
          <cell r="O750">
            <v>57</v>
          </cell>
          <cell r="P750">
            <v>43335</v>
          </cell>
          <cell r="Q750" t="str">
            <v>PAGO DE LA NOMINA DEL MES DE AGOSTO DE 2018 PLANTA FIJA Y CONVECIONADOS</v>
          </cell>
          <cell r="R750">
            <v>62985795</v>
          </cell>
          <cell r="S750">
            <v>0</v>
          </cell>
          <cell r="T750">
            <v>0</v>
          </cell>
          <cell r="U750">
            <v>62985795</v>
          </cell>
          <cell r="V750">
            <v>62985795</v>
          </cell>
        </row>
        <row r="751">
          <cell r="J751">
            <v>364</v>
          </cell>
          <cell r="K751">
            <v>43124</v>
          </cell>
          <cell r="L751" t="str">
            <v>CAJA DE VIVIENDA POPULAR</v>
          </cell>
          <cell r="M751">
            <v>1</v>
          </cell>
          <cell r="N751" t="str">
            <v>RELACION DE AUTORIZACION</v>
          </cell>
          <cell r="O751">
            <v>4</v>
          </cell>
          <cell r="P751">
            <v>43124</v>
          </cell>
          <cell r="Q751" t="str">
            <v>PAGO DE LA NOMINA DEL MES DE ENERO DE 2018 DE PLANTA FIJA Y CONVENCIONADOS</v>
          </cell>
          <cell r="R751">
            <v>3781853</v>
          </cell>
          <cell r="S751">
            <v>0</v>
          </cell>
          <cell r="T751">
            <v>0</v>
          </cell>
          <cell r="U751">
            <v>3781853</v>
          </cell>
          <cell r="V751">
            <v>3781853</v>
          </cell>
        </row>
        <row r="752">
          <cell r="J752">
            <v>1384</v>
          </cell>
          <cell r="K752">
            <v>43151</v>
          </cell>
          <cell r="L752" t="str">
            <v>CAJA DE VIVIENDA POPULAR</v>
          </cell>
          <cell r="M752">
            <v>1</v>
          </cell>
          <cell r="N752" t="str">
            <v>RELACION DE AUTORIZACION</v>
          </cell>
          <cell r="O752">
            <v>16</v>
          </cell>
          <cell r="P752">
            <v>43151</v>
          </cell>
          <cell r="Q752" t="str">
            <v>PAGO DE LA NOMINA DEL MES DE FEBRERO DE 2018 DE PLANTA FIJA Y CONVENCIONADOS</v>
          </cell>
          <cell r="R752">
            <v>4823290</v>
          </cell>
          <cell r="S752">
            <v>0</v>
          </cell>
          <cell r="T752">
            <v>0</v>
          </cell>
          <cell r="U752">
            <v>4823290</v>
          </cell>
          <cell r="V752">
            <v>4823290</v>
          </cell>
        </row>
        <row r="753">
          <cell r="J753">
            <v>1603</v>
          </cell>
          <cell r="K753">
            <v>43180</v>
          </cell>
          <cell r="L753" t="str">
            <v>CAJA DE VIVIENDA POPULAR</v>
          </cell>
          <cell r="M753">
            <v>1</v>
          </cell>
          <cell r="N753" t="str">
            <v>RELACION DE AUTORIZACION</v>
          </cell>
          <cell r="O753">
            <v>24</v>
          </cell>
          <cell r="P753">
            <v>43180</v>
          </cell>
          <cell r="Q753" t="str">
            <v>PAGO DE LA NOMINA DEL MES DE MARZO DE 2018 DE PLANTA FIJA Y CONVENCIONADOS</v>
          </cell>
          <cell r="R753">
            <v>5443576</v>
          </cell>
          <cell r="S753">
            <v>5443576</v>
          </cell>
          <cell r="T753">
            <v>0</v>
          </cell>
          <cell r="U753">
            <v>0</v>
          </cell>
          <cell r="V753">
            <v>0</v>
          </cell>
        </row>
        <row r="754">
          <cell r="J754">
            <v>1615</v>
          </cell>
          <cell r="K754">
            <v>43181</v>
          </cell>
          <cell r="L754" t="str">
            <v>CAJA DE VIVIENDA POPULAR</v>
          </cell>
          <cell r="M754">
            <v>1</v>
          </cell>
          <cell r="N754" t="str">
            <v>RELACION DE AUTORIZACION</v>
          </cell>
          <cell r="O754">
            <v>24</v>
          </cell>
          <cell r="P754">
            <v>43181</v>
          </cell>
          <cell r="Q754" t="str">
            <v>PAGO DE LA NOMINA DEL MES DE MARZO DE 2018 DE PLANTA FIJA Y CONVENCIONADOS</v>
          </cell>
          <cell r="R754">
            <v>5443576</v>
          </cell>
          <cell r="S754">
            <v>0</v>
          </cell>
          <cell r="T754">
            <v>0</v>
          </cell>
          <cell r="U754">
            <v>5443576</v>
          </cell>
          <cell r="V754">
            <v>5443576</v>
          </cell>
        </row>
        <row r="755">
          <cell r="J755">
            <v>1830</v>
          </cell>
          <cell r="K755">
            <v>43213</v>
          </cell>
          <cell r="L755" t="str">
            <v>CAJA DE VIVIENDA POPULAR</v>
          </cell>
          <cell r="M755">
            <v>1</v>
          </cell>
          <cell r="N755" t="str">
            <v>RELACION DE AUTORIZACION</v>
          </cell>
          <cell r="O755">
            <v>32</v>
          </cell>
          <cell r="P755">
            <v>43213</v>
          </cell>
          <cell r="Q755" t="str">
            <v>PAGO SERVICIOS ASOCIADOS A LA NOMINA DEL MES DE ABRIL DE 2018 DE PLANTA FIJA Y CONVENCIONADOS</v>
          </cell>
          <cell r="R755">
            <v>5160716</v>
          </cell>
          <cell r="S755">
            <v>0</v>
          </cell>
          <cell r="T755">
            <v>0</v>
          </cell>
          <cell r="U755">
            <v>5160716</v>
          </cell>
          <cell r="V755">
            <v>5160716</v>
          </cell>
        </row>
        <row r="756">
          <cell r="J756">
            <v>1947</v>
          </cell>
          <cell r="K756">
            <v>43243</v>
          </cell>
          <cell r="L756" t="str">
            <v>CAJA DE VIVIENDA POPULAR</v>
          </cell>
          <cell r="M756">
            <v>1</v>
          </cell>
          <cell r="N756" t="str">
            <v>RELACION DE AUTORIZACION</v>
          </cell>
          <cell r="O756">
            <v>36</v>
          </cell>
          <cell r="P756">
            <v>43243</v>
          </cell>
          <cell r="Q756" t="str">
            <v>PAGO DE LA NOMINA DEL MES DE MAYO DE 2018 DE PLANTA FIJA Y CONVENCIONADOS</v>
          </cell>
          <cell r="R756">
            <v>4899221</v>
          </cell>
          <cell r="S756">
            <v>0</v>
          </cell>
          <cell r="T756">
            <v>0</v>
          </cell>
          <cell r="U756">
            <v>4899221</v>
          </cell>
          <cell r="V756">
            <v>4899221</v>
          </cell>
        </row>
        <row r="757">
          <cell r="J757">
            <v>2053</v>
          </cell>
          <cell r="K757">
            <v>43271</v>
          </cell>
          <cell r="L757" t="str">
            <v>CAJA DE VIVIENDA POPULAR</v>
          </cell>
          <cell r="M757">
            <v>1</v>
          </cell>
          <cell r="N757" t="str">
            <v>RELACION DE AUTORIZACION</v>
          </cell>
          <cell r="O757">
            <v>45</v>
          </cell>
          <cell r="P757">
            <v>43271</v>
          </cell>
          <cell r="Q757" t="str">
            <v>PAGO DE LA NOMINA DEL MES DE JUNIO DE 2018 DE PLANTA FIJA Y CONVENCIONADOS</v>
          </cell>
          <cell r="R757">
            <v>4485367</v>
          </cell>
          <cell r="S757">
            <v>0</v>
          </cell>
          <cell r="T757">
            <v>0</v>
          </cell>
          <cell r="U757">
            <v>4485367</v>
          </cell>
          <cell r="V757">
            <v>4485367</v>
          </cell>
        </row>
        <row r="758">
          <cell r="J758">
            <v>2520</v>
          </cell>
          <cell r="K758">
            <v>43305</v>
          </cell>
          <cell r="L758" t="str">
            <v>CAJA DE VIVIENDA POPULAR</v>
          </cell>
          <cell r="M758">
            <v>1</v>
          </cell>
          <cell r="N758" t="str">
            <v>RELACION DE AUTORIZACION</v>
          </cell>
          <cell r="O758">
            <v>51</v>
          </cell>
          <cell r="P758">
            <v>43305</v>
          </cell>
          <cell r="Q758" t="str">
            <v>PAGO DE LA NOMINA DEL MES DE JULIO DE 2018 DE LA PLANTA FIJA Y CONVENCIONADOS</v>
          </cell>
          <cell r="R758">
            <v>4844707</v>
          </cell>
          <cell r="S758">
            <v>0</v>
          </cell>
          <cell r="T758">
            <v>0</v>
          </cell>
          <cell r="U758">
            <v>4844707</v>
          </cell>
          <cell r="V758">
            <v>4844707</v>
          </cell>
        </row>
        <row r="759">
          <cell r="J759">
            <v>2729</v>
          </cell>
          <cell r="K759">
            <v>43336</v>
          </cell>
          <cell r="L759" t="str">
            <v>CAJA DE VIVIENDA POPULAR</v>
          </cell>
          <cell r="M759">
            <v>1</v>
          </cell>
          <cell r="N759" t="str">
            <v>RELACION DE AUTORIZACION</v>
          </cell>
          <cell r="O759">
            <v>57</v>
          </cell>
          <cell r="P759">
            <v>43335</v>
          </cell>
          <cell r="Q759" t="str">
            <v>PAGO DE LA NOMINA DEL MES DE AGOSTO DE 2018 PLANTA FIJA Y CONVECIONADOS</v>
          </cell>
          <cell r="R759">
            <v>5320383</v>
          </cell>
          <cell r="S759">
            <v>0</v>
          </cell>
          <cell r="T759">
            <v>0</v>
          </cell>
          <cell r="U759">
            <v>5320383</v>
          </cell>
          <cell r="V759">
            <v>5320383</v>
          </cell>
        </row>
        <row r="760">
          <cell r="J760">
            <v>364</v>
          </cell>
          <cell r="K760">
            <v>43124</v>
          </cell>
          <cell r="L760" t="str">
            <v>CAJA DE VIVIENDA POPULAR</v>
          </cell>
          <cell r="M760">
            <v>1</v>
          </cell>
          <cell r="N760" t="str">
            <v>RELACION DE AUTORIZACION</v>
          </cell>
          <cell r="O760">
            <v>4</v>
          </cell>
          <cell r="P760">
            <v>43124</v>
          </cell>
          <cell r="Q760" t="str">
            <v>PAGO DE LA NOMINA DEL MES DE ENERO DE 2018 DE PLANTA FIJA Y CONVENCIONADOS</v>
          </cell>
          <cell r="R760">
            <v>135400</v>
          </cell>
          <cell r="S760">
            <v>0</v>
          </cell>
          <cell r="T760">
            <v>0</v>
          </cell>
          <cell r="U760">
            <v>135400</v>
          </cell>
          <cell r="V760">
            <v>135400</v>
          </cell>
        </row>
        <row r="761">
          <cell r="J761">
            <v>1384</v>
          </cell>
          <cell r="K761">
            <v>43151</v>
          </cell>
          <cell r="L761" t="str">
            <v>CAJA DE VIVIENDA POPULAR</v>
          </cell>
          <cell r="M761">
            <v>1</v>
          </cell>
          <cell r="N761" t="str">
            <v>RELACION DE AUTORIZACION</v>
          </cell>
          <cell r="O761">
            <v>16</v>
          </cell>
          <cell r="P761">
            <v>43151</v>
          </cell>
          <cell r="Q761" t="str">
            <v>PAGO DE LA NOMINA DEL MES DE FEBRERO DE 2018 DE PLANTA FIJA Y CONVENCIONADOS</v>
          </cell>
          <cell r="R761">
            <v>271410</v>
          </cell>
          <cell r="S761">
            <v>0</v>
          </cell>
          <cell r="T761">
            <v>0</v>
          </cell>
          <cell r="U761">
            <v>271410</v>
          </cell>
          <cell r="V761">
            <v>271410</v>
          </cell>
        </row>
        <row r="762">
          <cell r="J762">
            <v>1603</v>
          </cell>
          <cell r="K762">
            <v>43180</v>
          </cell>
          <cell r="L762" t="str">
            <v>CAJA DE VIVIENDA POPULAR</v>
          </cell>
          <cell r="M762">
            <v>1</v>
          </cell>
          <cell r="N762" t="str">
            <v>RELACION DE AUTORIZACION</v>
          </cell>
          <cell r="O762">
            <v>24</v>
          </cell>
          <cell r="P762">
            <v>43180</v>
          </cell>
          <cell r="Q762" t="str">
            <v>PAGO DE LA NOMINA DEL MES DE MARZO DE 2018 DE PLANTA FIJA Y CONVENCIONADOS</v>
          </cell>
          <cell r="R762">
            <v>309965</v>
          </cell>
          <cell r="S762">
            <v>309965</v>
          </cell>
          <cell r="T762">
            <v>0</v>
          </cell>
          <cell r="U762">
            <v>0</v>
          </cell>
          <cell r="V762">
            <v>0</v>
          </cell>
        </row>
        <row r="763">
          <cell r="J763">
            <v>1615</v>
          </cell>
          <cell r="K763">
            <v>43181</v>
          </cell>
          <cell r="L763" t="str">
            <v>CAJA DE VIVIENDA POPULAR</v>
          </cell>
          <cell r="M763">
            <v>1</v>
          </cell>
          <cell r="N763" t="str">
            <v>RELACION DE AUTORIZACION</v>
          </cell>
          <cell r="O763">
            <v>24</v>
          </cell>
          <cell r="P763">
            <v>43181</v>
          </cell>
          <cell r="Q763" t="str">
            <v>PAGO DE LA NOMINA DEL MES DE MARZO DE 2018 DE PLANTA FIJA Y CONVENCIONADOS</v>
          </cell>
          <cell r="R763">
            <v>309965</v>
          </cell>
          <cell r="S763">
            <v>0</v>
          </cell>
          <cell r="T763">
            <v>0</v>
          </cell>
          <cell r="U763">
            <v>309965</v>
          </cell>
          <cell r="V763">
            <v>309965</v>
          </cell>
        </row>
        <row r="764">
          <cell r="J764">
            <v>1830</v>
          </cell>
          <cell r="K764">
            <v>43213</v>
          </cell>
          <cell r="L764" t="str">
            <v>CAJA DE VIVIENDA POPULAR</v>
          </cell>
          <cell r="M764">
            <v>1</v>
          </cell>
          <cell r="N764" t="str">
            <v>RELACION DE AUTORIZACION</v>
          </cell>
          <cell r="O764">
            <v>32</v>
          </cell>
          <cell r="P764">
            <v>43213</v>
          </cell>
          <cell r="Q764" t="str">
            <v>PAGO SERVICIOS ASOCIADOS A LA NOMINA DEL MES DE ABRIL DE 2018 DE PLANTA FIJA Y CONVENCIONADOS</v>
          </cell>
          <cell r="R764">
            <v>289434</v>
          </cell>
          <cell r="S764">
            <v>0</v>
          </cell>
          <cell r="T764">
            <v>0</v>
          </cell>
          <cell r="U764">
            <v>289434</v>
          </cell>
          <cell r="V764">
            <v>289434</v>
          </cell>
        </row>
        <row r="765">
          <cell r="J765">
            <v>1947</v>
          </cell>
          <cell r="K765">
            <v>43243</v>
          </cell>
          <cell r="L765" t="str">
            <v>CAJA DE VIVIENDA POPULAR</v>
          </cell>
          <cell r="M765">
            <v>1</v>
          </cell>
          <cell r="N765" t="str">
            <v>RELACION DE AUTORIZACION</v>
          </cell>
          <cell r="O765">
            <v>36</v>
          </cell>
          <cell r="P765">
            <v>43243</v>
          </cell>
          <cell r="Q765" t="str">
            <v>PAGO DE LA NOMINA DEL MES DE MAYO DE 2018 DE PLANTA FIJA Y CONVENCIONADOS</v>
          </cell>
          <cell r="R765">
            <v>289434</v>
          </cell>
          <cell r="S765">
            <v>0</v>
          </cell>
          <cell r="T765">
            <v>0</v>
          </cell>
          <cell r="U765">
            <v>289434</v>
          </cell>
          <cell r="V765">
            <v>289434</v>
          </cell>
        </row>
        <row r="766">
          <cell r="J766">
            <v>2053</v>
          </cell>
          <cell r="K766">
            <v>43271</v>
          </cell>
          <cell r="L766" t="str">
            <v>CAJA DE VIVIENDA POPULAR</v>
          </cell>
          <cell r="M766">
            <v>1</v>
          </cell>
          <cell r="N766" t="str">
            <v>RELACION DE AUTORIZACION</v>
          </cell>
          <cell r="O766">
            <v>45</v>
          </cell>
          <cell r="P766">
            <v>43271</v>
          </cell>
          <cell r="Q766" t="str">
            <v>PAGO DE LA NOMINA DEL MES DE JUNIO DE 2018 DE PLANTA FIJA Y CONVENCIONADOS</v>
          </cell>
          <cell r="R766">
            <v>253774</v>
          </cell>
          <cell r="S766">
            <v>0</v>
          </cell>
          <cell r="T766">
            <v>0</v>
          </cell>
          <cell r="U766">
            <v>253774</v>
          </cell>
          <cell r="V766">
            <v>253774</v>
          </cell>
        </row>
        <row r="767">
          <cell r="J767">
            <v>2520</v>
          </cell>
          <cell r="K767">
            <v>43305</v>
          </cell>
          <cell r="L767" t="str">
            <v>CAJA DE VIVIENDA POPULAR</v>
          </cell>
          <cell r="M767">
            <v>1</v>
          </cell>
          <cell r="N767" t="str">
            <v>RELACION DE AUTORIZACION</v>
          </cell>
          <cell r="O767">
            <v>51</v>
          </cell>
          <cell r="P767">
            <v>43305</v>
          </cell>
          <cell r="Q767" t="str">
            <v>PAGO DE LA NOMINA DEL MES DE JULIO DE 2018 DE LA PLANTA FIJA Y CONVENCIONADOS</v>
          </cell>
          <cell r="R767">
            <v>289434</v>
          </cell>
          <cell r="S767">
            <v>0</v>
          </cell>
          <cell r="T767">
            <v>0</v>
          </cell>
          <cell r="U767">
            <v>289434</v>
          </cell>
          <cell r="V767">
            <v>289434</v>
          </cell>
        </row>
        <row r="768">
          <cell r="J768">
            <v>2729</v>
          </cell>
          <cell r="K768">
            <v>43336</v>
          </cell>
          <cell r="L768" t="str">
            <v>CAJA DE VIVIENDA POPULAR</v>
          </cell>
          <cell r="M768">
            <v>1</v>
          </cell>
          <cell r="N768" t="str">
            <v>RELACION DE AUTORIZACION</v>
          </cell>
          <cell r="O768">
            <v>57</v>
          </cell>
          <cell r="P768">
            <v>43335</v>
          </cell>
          <cell r="Q768" t="str">
            <v>PAGO DE LA NOMINA DEL MES DE AGOSTO DE 2018 PLANTA FIJA Y CONVECIONADOS</v>
          </cell>
          <cell r="R768">
            <v>298922</v>
          </cell>
          <cell r="S768">
            <v>0</v>
          </cell>
          <cell r="T768">
            <v>0</v>
          </cell>
          <cell r="U768">
            <v>298922</v>
          </cell>
          <cell r="V768">
            <v>298922</v>
          </cell>
        </row>
        <row r="769">
          <cell r="J769">
            <v>1603</v>
          </cell>
          <cell r="K769">
            <v>43180</v>
          </cell>
          <cell r="L769" t="str">
            <v>CAJA DE VIVIENDA POPULAR</v>
          </cell>
          <cell r="M769">
            <v>1</v>
          </cell>
          <cell r="N769" t="str">
            <v>RELACION DE AUTORIZACION</v>
          </cell>
          <cell r="O769">
            <v>24</v>
          </cell>
          <cell r="P769">
            <v>43180</v>
          </cell>
          <cell r="Q769" t="str">
            <v>PAGO DE LA NOMINA DEL MES DE MARZO DE 2018 DE PLANTA FIJA Y CONVENCIONADOS</v>
          </cell>
          <cell r="R769">
            <v>22855797</v>
          </cell>
          <cell r="S769">
            <v>22855797</v>
          </cell>
          <cell r="T769">
            <v>0</v>
          </cell>
          <cell r="U769">
            <v>0</v>
          </cell>
          <cell r="V769">
            <v>0</v>
          </cell>
        </row>
        <row r="770">
          <cell r="J770">
            <v>1615</v>
          </cell>
          <cell r="K770">
            <v>43181</v>
          </cell>
          <cell r="L770" t="str">
            <v>CAJA DE VIVIENDA POPULAR</v>
          </cell>
          <cell r="M770">
            <v>1</v>
          </cell>
          <cell r="N770" t="str">
            <v>RELACION DE AUTORIZACION</v>
          </cell>
          <cell r="O770">
            <v>24</v>
          </cell>
          <cell r="P770">
            <v>43181</v>
          </cell>
          <cell r="Q770" t="str">
            <v>PAGO DE LA NOMINA DEL MES DE MARZO DE 2018 DE PLANTA FIJA Y CONVENCIONADOS</v>
          </cell>
          <cell r="R770">
            <v>22855797</v>
          </cell>
          <cell r="S770">
            <v>0</v>
          </cell>
          <cell r="T770">
            <v>0</v>
          </cell>
          <cell r="U770">
            <v>22855797</v>
          </cell>
          <cell r="V770">
            <v>22855797</v>
          </cell>
        </row>
        <row r="771">
          <cell r="J771">
            <v>1832</v>
          </cell>
          <cell r="K771">
            <v>43213</v>
          </cell>
          <cell r="L771" t="str">
            <v>CAJA DE VIVIENDA POPULAR</v>
          </cell>
          <cell r="M771">
            <v>1</v>
          </cell>
          <cell r="N771" t="str">
            <v>RELACION DE AUTORIZACION</v>
          </cell>
          <cell r="O771">
            <v>32</v>
          </cell>
          <cell r="P771">
            <v>43213</v>
          </cell>
          <cell r="Q771" t="str">
            <v>PAGO DE LA NOMINA DEL MES DE ABRIL DE 2018 DE PLANTA FIJA Y CONVENCIONADOS</v>
          </cell>
          <cell r="R771">
            <v>15039051</v>
          </cell>
          <cell r="S771">
            <v>0</v>
          </cell>
          <cell r="T771">
            <v>0</v>
          </cell>
          <cell r="U771">
            <v>15039051</v>
          </cell>
          <cell r="V771">
            <v>15039051</v>
          </cell>
        </row>
        <row r="772">
          <cell r="J772">
            <v>364</v>
          </cell>
          <cell r="K772">
            <v>43124</v>
          </cell>
          <cell r="L772" t="str">
            <v>CAJA DE VIVIENDA POPULAR</v>
          </cell>
          <cell r="M772">
            <v>1</v>
          </cell>
          <cell r="N772" t="str">
            <v>RELACION DE AUTORIZACION</v>
          </cell>
          <cell r="O772">
            <v>4</v>
          </cell>
          <cell r="P772">
            <v>43124</v>
          </cell>
          <cell r="Q772" t="str">
            <v>PAGO DE LA NOMINA DEL MES DE ENERO DE 2018 DE PLANTA FIJA Y CONVENCIONADOS</v>
          </cell>
          <cell r="R772">
            <v>90025</v>
          </cell>
          <cell r="S772">
            <v>0</v>
          </cell>
          <cell r="T772">
            <v>0</v>
          </cell>
          <cell r="U772">
            <v>90025</v>
          </cell>
          <cell r="V772">
            <v>90025</v>
          </cell>
        </row>
        <row r="773">
          <cell r="J773">
            <v>1384</v>
          </cell>
          <cell r="K773">
            <v>43151</v>
          </cell>
          <cell r="L773" t="str">
            <v>CAJA DE VIVIENDA POPULAR</v>
          </cell>
          <cell r="M773">
            <v>1</v>
          </cell>
          <cell r="N773" t="str">
            <v>RELACION DE AUTORIZACION</v>
          </cell>
          <cell r="O773">
            <v>16</v>
          </cell>
          <cell r="P773">
            <v>43151</v>
          </cell>
          <cell r="Q773" t="str">
            <v>PAGO DE LA NOMINA DEL MES DE FEBRERO DE 2018 DE PLANTA FIJA Y CONVENCIONADOS</v>
          </cell>
          <cell r="R773">
            <v>438788</v>
          </cell>
          <cell r="S773">
            <v>0</v>
          </cell>
          <cell r="T773">
            <v>0</v>
          </cell>
          <cell r="U773">
            <v>438788</v>
          </cell>
          <cell r="V773">
            <v>438788</v>
          </cell>
        </row>
        <row r="774">
          <cell r="J774">
            <v>1603</v>
          </cell>
          <cell r="K774">
            <v>43180</v>
          </cell>
          <cell r="L774" t="str">
            <v>CAJA DE VIVIENDA POPULAR</v>
          </cell>
          <cell r="M774">
            <v>1</v>
          </cell>
          <cell r="N774" t="str">
            <v>RELACION DE AUTORIZACION</v>
          </cell>
          <cell r="O774">
            <v>24</v>
          </cell>
          <cell r="P774">
            <v>43180</v>
          </cell>
          <cell r="Q774" t="str">
            <v>PAGO DE LA NOMINA DEL MES DE MARZO DE 2018 DE PLANTA FIJA Y CONVENCIONADOS</v>
          </cell>
          <cell r="R774">
            <v>63639</v>
          </cell>
          <cell r="S774">
            <v>63639</v>
          </cell>
          <cell r="T774">
            <v>0</v>
          </cell>
          <cell r="U774">
            <v>0</v>
          </cell>
          <cell r="V774">
            <v>0</v>
          </cell>
        </row>
        <row r="775">
          <cell r="J775">
            <v>1615</v>
          </cell>
          <cell r="K775">
            <v>43181</v>
          </cell>
          <cell r="L775" t="str">
            <v>CAJA DE VIVIENDA POPULAR</v>
          </cell>
          <cell r="M775">
            <v>1</v>
          </cell>
          <cell r="N775" t="str">
            <v>RELACION DE AUTORIZACION</v>
          </cell>
          <cell r="O775">
            <v>24</v>
          </cell>
          <cell r="P775">
            <v>43181</v>
          </cell>
          <cell r="Q775" t="str">
            <v>PAGO DE LA NOMINA DEL MES DE MARZO DE 2018 DE PLANTA FIJA Y CONVENCIONADOS</v>
          </cell>
          <cell r="R775">
            <v>63639</v>
          </cell>
          <cell r="S775">
            <v>0</v>
          </cell>
          <cell r="T775">
            <v>0</v>
          </cell>
          <cell r="U775">
            <v>63639</v>
          </cell>
          <cell r="V775">
            <v>63639</v>
          </cell>
        </row>
        <row r="776">
          <cell r="J776">
            <v>1830</v>
          </cell>
          <cell r="K776">
            <v>43213</v>
          </cell>
          <cell r="L776" t="str">
            <v>CAJA DE VIVIENDA POPULAR</v>
          </cell>
          <cell r="M776">
            <v>1</v>
          </cell>
          <cell r="N776" t="str">
            <v>RELACION DE AUTORIZACION</v>
          </cell>
          <cell r="O776">
            <v>32</v>
          </cell>
          <cell r="P776">
            <v>43213</v>
          </cell>
          <cell r="Q776" t="str">
            <v>PAGO SERVICIOS ASOCIADOS A LA NOMINA DEL MES DE ABRIL DE 2018 DE PLANTA FIJA Y CONVENCIONADOS</v>
          </cell>
          <cell r="R776">
            <v>1135656</v>
          </cell>
          <cell r="S776">
            <v>0</v>
          </cell>
          <cell r="T776">
            <v>0</v>
          </cell>
          <cell r="U776">
            <v>1135656</v>
          </cell>
          <cell r="V776">
            <v>1135656</v>
          </cell>
        </row>
        <row r="777">
          <cell r="J777">
            <v>1947</v>
          </cell>
          <cell r="K777">
            <v>43243</v>
          </cell>
          <cell r="L777" t="str">
            <v>CAJA DE VIVIENDA POPULAR</v>
          </cell>
          <cell r="M777">
            <v>1</v>
          </cell>
          <cell r="N777" t="str">
            <v>RELACION DE AUTORIZACION</v>
          </cell>
          <cell r="O777">
            <v>36</v>
          </cell>
          <cell r="P777">
            <v>43243</v>
          </cell>
          <cell r="Q777" t="str">
            <v>PAGO DE LA NOMINA DEL MES DE MAYO DE 2018 DE PLANTA FIJA Y CONVENCIONADOS</v>
          </cell>
          <cell r="R777">
            <v>1241569</v>
          </cell>
          <cell r="S777">
            <v>0</v>
          </cell>
          <cell r="T777">
            <v>0</v>
          </cell>
          <cell r="U777">
            <v>1241569</v>
          </cell>
          <cell r="V777">
            <v>1241569</v>
          </cell>
        </row>
        <row r="778">
          <cell r="J778">
            <v>2053</v>
          </cell>
          <cell r="K778">
            <v>43271</v>
          </cell>
          <cell r="L778" t="str">
            <v>CAJA DE VIVIENDA POPULAR</v>
          </cell>
          <cell r="M778">
            <v>1</v>
          </cell>
          <cell r="N778" t="str">
            <v>RELACION DE AUTORIZACION</v>
          </cell>
          <cell r="O778">
            <v>45</v>
          </cell>
          <cell r="P778">
            <v>43271</v>
          </cell>
          <cell r="Q778" t="str">
            <v>PAGO DE LA NOMINA DEL MES DE JUNIO DE 2018 DE PLANTA FIJA Y CONVENCIONADOS</v>
          </cell>
          <cell r="R778">
            <v>672890</v>
          </cell>
          <cell r="S778">
            <v>0</v>
          </cell>
          <cell r="T778">
            <v>0</v>
          </cell>
          <cell r="U778">
            <v>672890</v>
          </cell>
          <cell r="V778">
            <v>672890</v>
          </cell>
        </row>
        <row r="779">
          <cell r="J779">
            <v>2520</v>
          </cell>
          <cell r="K779">
            <v>43305</v>
          </cell>
          <cell r="L779" t="str">
            <v>CAJA DE VIVIENDA POPULAR</v>
          </cell>
          <cell r="M779">
            <v>1</v>
          </cell>
          <cell r="N779" t="str">
            <v>RELACION DE AUTORIZACION</v>
          </cell>
          <cell r="O779">
            <v>51</v>
          </cell>
          <cell r="P779">
            <v>43305</v>
          </cell>
          <cell r="Q779" t="str">
            <v>PAGO DE LA NOMINA DEL MES DE JULIO DE 2018 DE LA PLANTA FIJA Y CONVENCIONADOS</v>
          </cell>
          <cell r="R779">
            <v>348217</v>
          </cell>
          <cell r="S779">
            <v>0</v>
          </cell>
          <cell r="T779">
            <v>0</v>
          </cell>
          <cell r="U779">
            <v>348217</v>
          </cell>
          <cell r="V779">
            <v>348217</v>
          </cell>
        </row>
        <row r="780">
          <cell r="J780">
            <v>2729</v>
          </cell>
          <cell r="K780">
            <v>43336</v>
          </cell>
          <cell r="L780" t="str">
            <v>CAJA DE VIVIENDA POPULAR</v>
          </cell>
          <cell r="M780">
            <v>1</v>
          </cell>
          <cell r="N780" t="str">
            <v>RELACION DE AUTORIZACION</v>
          </cell>
          <cell r="O780">
            <v>57</v>
          </cell>
          <cell r="P780">
            <v>43335</v>
          </cell>
          <cell r="Q780" t="str">
            <v>PAGO DE LA NOMINA DEL MES DE AGOSTO DE 2018 PLANTA FIJA Y CONVECIONADOS</v>
          </cell>
          <cell r="R780">
            <v>1097126</v>
          </cell>
          <cell r="S780">
            <v>0</v>
          </cell>
          <cell r="T780">
            <v>0</v>
          </cell>
          <cell r="U780">
            <v>1097126</v>
          </cell>
          <cell r="V780">
            <v>1097126</v>
          </cell>
        </row>
        <row r="781">
          <cell r="J781">
            <v>364</v>
          </cell>
          <cell r="K781">
            <v>43124</v>
          </cell>
          <cell r="L781" t="str">
            <v>CAJA DE VIVIENDA POPULAR</v>
          </cell>
          <cell r="M781">
            <v>1</v>
          </cell>
          <cell r="N781" t="str">
            <v>RELACION DE AUTORIZACION</v>
          </cell>
          <cell r="O781">
            <v>4</v>
          </cell>
          <cell r="P781">
            <v>43124</v>
          </cell>
          <cell r="Q781" t="str">
            <v>PAGO DE LA NOMINA DEL MES DE ENERO DE 2018 DE PLANTA FIJA Y CONVENCIONADOS</v>
          </cell>
          <cell r="R781">
            <v>28007247</v>
          </cell>
          <cell r="S781">
            <v>0</v>
          </cell>
          <cell r="T781">
            <v>0</v>
          </cell>
          <cell r="U781">
            <v>28007247</v>
          </cell>
          <cell r="V781">
            <v>28007247</v>
          </cell>
        </row>
        <row r="782">
          <cell r="J782">
            <v>368</v>
          </cell>
          <cell r="K782">
            <v>43124</v>
          </cell>
          <cell r="L782" t="str">
            <v>CAJA DE VIVIENDA POPULAR</v>
          </cell>
          <cell r="M782">
            <v>1</v>
          </cell>
          <cell r="N782" t="str">
            <v>RELACION DE AUTORIZACION</v>
          </cell>
          <cell r="O782">
            <v>5</v>
          </cell>
          <cell r="P782">
            <v>43124</v>
          </cell>
          <cell r="Q782" t="str">
            <v>PAGO DE LA NOMINA DEL MES DE ENERO DE 2018 DE PLANTA FIJA Y CONVENCIONADOS</v>
          </cell>
          <cell r="R782">
            <v>32325820</v>
          </cell>
          <cell r="S782">
            <v>0</v>
          </cell>
          <cell r="T782">
            <v>0</v>
          </cell>
          <cell r="U782">
            <v>32325820</v>
          </cell>
          <cell r="V782">
            <v>32325820</v>
          </cell>
        </row>
        <row r="783">
          <cell r="J783">
            <v>756</v>
          </cell>
          <cell r="K783">
            <v>43137</v>
          </cell>
          <cell r="L783" t="str">
            <v>CAJA DE VIVIENDA POPULAR</v>
          </cell>
          <cell r="M783">
            <v>1</v>
          </cell>
          <cell r="N783" t="str">
            <v>RELACION DE AUTORIZACION</v>
          </cell>
          <cell r="O783">
            <v>11</v>
          </cell>
          <cell r="P783">
            <v>43137</v>
          </cell>
          <cell r="Q783" t="str">
            <v>PAGO DE LAS CESANTIAS DEL AÑO 2017 DE LA PLANTA FIJA FONDOS PUBLICOS Y PRIVADOS</v>
          </cell>
          <cell r="R783">
            <v>135188433</v>
          </cell>
          <cell r="S783">
            <v>0</v>
          </cell>
          <cell r="T783">
            <v>0</v>
          </cell>
          <cell r="U783">
            <v>135188433</v>
          </cell>
          <cell r="V783">
            <v>135188433</v>
          </cell>
        </row>
        <row r="784">
          <cell r="J784">
            <v>3</v>
          </cell>
          <cell r="K784">
            <v>43111</v>
          </cell>
          <cell r="L784" t="str">
            <v>CAJA DE VIVIENDA POPULAR</v>
          </cell>
          <cell r="M784">
            <v>1</v>
          </cell>
          <cell r="N784" t="str">
            <v>RELACION DE AUTORIZACION</v>
          </cell>
          <cell r="O784">
            <v>1</v>
          </cell>
          <cell r="P784">
            <v>43111</v>
          </cell>
          <cell r="Q784" t="str">
            <v>PAGO DE APORTES PATRONALES AL SECTOR PRIVADO Y  PÚBLICO DE FUNCIONARIOS DE PLANTA FIJA DE LA CAJA DE LA VIVIENDA POPULAR VIGENCIA MES DE DICIEMBRE 2017</v>
          </cell>
          <cell r="R784">
            <v>22028900</v>
          </cell>
          <cell r="S784">
            <v>0</v>
          </cell>
          <cell r="T784">
            <v>0</v>
          </cell>
          <cell r="U784">
            <v>22028900</v>
          </cell>
          <cell r="V784">
            <v>22028900</v>
          </cell>
        </row>
        <row r="785">
          <cell r="J785">
            <v>366</v>
          </cell>
          <cell r="K785">
            <v>43124</v>
          </cell>
          <cell r="L785" t="str">
            <v>CAJA DE VIVIENDA POPULAR</v>
          </cell>
          <cell r="M785">
            <v>1</v>
          </cell>
          <cell r="N785" t="str">
            <v>RELACION DE AUTORIZACION</v>
          </cell>
          <cell r="O785">
            <v>5</v>
          </cell>
          <cell r="P785">
            <v>43124</v>
          </cell>
          <cell r="Q785" t="str">
            <v>PAGO DE LA NOMINA DEL MES DE ENERO DE 2018 DE PLANTA FIJA Y CONVENCIONADOS</v>
          </cell>
          <cell r="R785">
            <v>32325820</v>
          </cell>
          <cell r="S785">
            <v>32325820</v>
          </cell>
          <cell r="T785">
            <v>0</v>
          </cell>
          <cell r="U785">
            <v>0</v>
          </cell>
          <cell r="V785">
            <v>0</v>
          </cell>
        </row>
        <row r="786">
          <cell r="J786">
            <v>1019</v>
          </cell>
          <cell r="K786">
            <v>43140</v>
          </cell>
          <cell r="L786" t="str">
            <v>CAJA DE VIVIENDA POPULAR</v>
          </cell>
          <cell r="M786">
            <v>1</v>
          </cell>
          <cell r="N786" t="str">
            <v>RELACION DE AUTORIZACION</v>
          </cell>
          <cell r="O786">
            <v>12</v>
          </cell>
          <cell r="P786">
            <v>43140</v>
          </cell>
          <cell r="Q786" t="str">
            <v>PAGO DE MI PLANILLA SEGURIDAD SOCIAL Y PARAFISCALES DE LA PLANTA FIJA Y CONVENCIONADOS DE LA ENTIDAD DEL MES DE ENERO DE 2018</v>
          </cell>
          <cell r="R786">
            <v>19609500</v>
          </cell>
          <cell r="S786">
            <v>0</v>
          </cell>
          <cell r="T786">
            <v>0</v>
          </cell>
          <cell r="U786">
            <v>19609500</v>
          </cell>
          <cell r="V786">
            <v>19609500</v>
          </cell>
        </row>
        <row r="787">
          <cell r="J787">
            <v>1534</v>
          </cell>
          <cell r="K787">
            <v>43165</v>
          </cell>
          <cell r="L787" t="str">
            <v>CAJA DE VIVIENDA POPULAR</v>
          </cell>
          <cell r="M787">
            <v>1</v>
          </cell>
          <cell r="N787" t="str">
            <v>RELACION DE AUTORIZACION</v>
          </cell>
          <cell r="O787">
            <v>20</v>
          </cell>
          <cell r="P787">
            <v>43165</v>
          </cell>
          <cell r="Q787" t="str">
            <v>PAGO DE MI PLANILLA SEGURIDAD SOCIAL Y PARAFISCALES DE LA PLANTA FIJA Y CONVENCIONADOS DE LA ENTIDAD DEL MES DE FEBRERO DE 2018.</v>
          </cell>
          <cell r="R787">
            <v>19774200</v>
          </cell>
          <cell r="S787">
            <v>0</v>
          </cell>
          <cell r="T787">
            <v>0</v>
          </cell>
          <cell r="U787">
            <v>19774200</v>
          </cell>
          <cell r="V787">
            <v>19774200</v>
          </cell>
        </row>
        <row r="788">
          <cell r="J788">
            <v>1794</v>
          </cell>
          <cell r="K788">
            <v>43203</v>
          </cell>
          <cell r="L788" t="str">
            <v>CAJA DE VIVIENDA POPULAR</v>
          </cell>
          <cell r="M788">
            <v>1</v>
          </cell>
          <cell r="N788" t="str">
            <v>RELACION DE AUTORIZACION</v>
          </cell>
          <cell r="O788">
            <v>27</v>
          </cell>
          <cell r="P788">
            <v>43203</v>
          </cell>
          <cell r="Q788" t="str">
            <v>PAGO DE MI PLANILLA SEGURIDAD SOCIAL Y PARAFISCALES DE LA PLANTA FIJA Y CONVENCIONADOS DE LA ENTIDAD DEL MES DE MARZO DE 2018</v>
          </cell>
          <cell r="R788">
            <v>20424400</v>
          </cell>
          <cell r="S788">
            <v>0</v>
          </cell>
          <cell r="T788">
            <v>0</v>
          </cell>
          <cell r="U788">
            <v>20424400</v>
          </cell>
          <cell r="V788">
            <v>20424400</v>
          </cell>
        </row>
        <row r="789">
          <cell r="J789">
            <v>1904</v>
          </cell>
          <cell r="K789">
            <v>43235</v>
          </cell>
          <cell r="L789" t="str">
            <v>CAJA DE VIVIENDA POPULAR</v>
          </cell>
          <cell r="M789">
            <v>1</v>
          </cell>
          <cell r="N789" t="str">
            <v>RELACION DE AUTORIZACION</v>
          </cell>
          <cell r="O789">
            <v>33</v>
          </cell>
          <cell r="P789">
            <v>43235</v>
          </cell>
          <cell r="Q789" t="str">
            <v>PAGO DE MI PLANILLA SEGURIDAD SOCIAL Y PARAFISCALES DE LA PLANTA FIJA Y CONVENCIONADOS DE LA ENTIDAD DEL MES DE ABRIL DE 2018</v>
          </cell>
          <cell r="R789">
            <v>21337000</v>
          </cell>
          <cell r="S789">
            <v>0</v>
          </cell>
          <cell r="T789">
            <v>0</v>
          </cell>
          <cell r="U789">
            <v>21337000</v>
          </cell>
          <cell r="V789">
            <v>21337000</v>
          </cell>
        </row>
        <row r="790">
          <cell r="J790">
            <v>2017</v>
          </cell>
          <cell r="K790">
            <v>43266</v>
          </cell>
          <cell r="L790" t="str">
            <v>CAJA DE VIVIENDA POPULAR</v>
          </cell>
          <cell r="M790">
            <v>1</v>
          </cell>
          <cell r="N790" t="str">
            <v>RELACION DE AUTORIZACION</v>
          </cell>
          <cell r="O790">
            <v>42</v>
          </cell>
          <cell r="P790">
            <v>43266</v>
          </cell>
          <cell r="Q790" t="str">
            <v>PAGO DE MI PLANILLA SEGURIDAD SOCIAL Y PARAFISCALES DE LA PLANTA FIJA Y CONVENCIONADOS DE LA ENTIDAD DEL MES DE MAYO DE 2018</v>
          </cell>
          <cell r="R790">
            <v>20207600</v>
          </cell>
          <cell r="S790">
            <v>0</v>
          </cell>
          <cell r="T790">
            <v>0</v>
          </cell>
          <cell r="U790">
            <v>20207600</v>
          </cell>
          <cell r="V790">
            <v>20207600</v>
          </cell>
        </row>
        <row r="791">
          <cell r="J791">
            <v>2489</v>
          </cell>
          <cell r="K791">
            <v>43298</v>
          </cell>
          <cell r="L791" t="str">
            <v>CAJA DE VIVIENDA POPULAR</v>
          </cell>
          <cell r="M791">
            <v>1</v>
          </cell>
          <cell r="N791" t="str">
            <v>RELACION DE AUTORIZACION</v>
          </cell>
          <cell r="O791">
            <v>48</v>
          </cell>
          <cell r="P791">
            <v>43298</v>
          </cell>
          <cell r="Q791" t="str">
            <v>PAGO DE MI PLANILLA SEGURIDAD SOCIAL Y PARAFISCALES DE LA PLANTA FIJA Y CONVENCIONADOS DE LA ENTIDAD DEL MES DE JUNIO DE 2018</v>
          </cell>
          <cell r="R791">
            <v>20136200</v>
          </cell>
          <cell r="S791">
            <v>0</v>
          </cell>
          <cell r="T791">
            <v>0</v>
          </cell>
          <cell r="U791">
            <v>20136200</v>
          </cell>
          <cell r="V791">
            <v>20136200</v>
          </cell>
        </row>
        <row r="792">
          <cell r="J792">
            <v>2638</v>
          </cell>
          <cell r="K792">
            <v>43326</v>
          </cell>
          <cell r="L792" t="str">
            <v>CAJA DE VIVIENDA POPULAR</v>
          </cell>
          <cell r="M792">
            <v>1</v>
          </cell>
          <cell r="N792" t="str">
            <v>RELACION DE AUTORIZACION</v>
          </cell>
          <cell r="O792">
            <v>54</v>
          </cell>
          <cell r="P792">
            <v>43326</v>
          </cell>
          <cell r="Q792" t="str">
            <v>PAGO DE MI PLANILLA SEGURIDAD SOCIAL Y PARAFISCALES DE LA PLANTA FIJA Y CONVENCIONADOS DE LA ENTIDAD DEL MES DE JULIO DE 2018</v>
          </cell>
          <cell r="R792">
            <v>16849400</v>
          </cell>
          <cell r="S792">
            <v>0</v>
          </cell>
          <cell r="T792">
            <v>0</v>
          </cell>
          <cell r="U792">
            <v>16849400</v>
          </cell>
          <cell r="V792">
            <v>16849400</v>
          </cell>
        </row>
        <row r="793">
          <cell r="J793">
            <v>3</v>
          </cell>
          <cell r="K793">
            <v>43111</v>
          </cell>
          <cell r="L793" t="str">
            <v>CAJA DE VIVIENDA POPULAR</v>
          </cell>
          <cell r="M793">
            <v>1</v>
          </cell>
          <cell r="N793" t="str">
            <v>RELACION DE AUTORIZACION</v>
          </cell>
          <cell r="O793">
            <v>1</v>
          </cell>
          <cell r="P793">
            <v>43111</v>
          </cell>
          <cell r="Q793" t="str">
            <v>PAGO DE APORTES PATRONALES AL SECTOR PRIVADO Y  PÚBLICO DE FUNCIONARIOS DE PLANTA FIJA DE LA CAJA DE LA VIVIENDA POPULAR VIGENCIA MES DE DICIEMBRE 2017</v>
          </cell>
          <cell r="R793">
            <v>27111800</v>
          </cell>
          <cell r="S793">
            <v>0</v>
          </cell>
          <cell r="T793">
            <v>0</v>
          </cell>
          <cell r="U793">
            <v>27111800</v>
          </cell>
          <cell r="V793">
            <v>27111800</v>
          </cell>
        </row>
        <row r="794">
          <cell r="J794">
            <v>1019</v>
          </cell>
          <cell r="K794">
            <v>43140</v>
          </cell>
          <cell r="L794" t="str">
            <v>CAJA DE VIVIENDA POPULAR</v>
          </cell>
          <cell r="M794">
            <v>1</v>
          </cell>
          <cell r="N794" t="str">
            <v>RELACION DE AUTORIZACION</v>
          </cell>
          <cell r="O794">
            <v>12</v>
          </cell>
          <cell r="P794">
            <v>43140</v>
          </cell>
          <cell r="Q794" t="str">
            <v>PAGO DE MI PLANILLA SEGURIDAD SOCIAL Y PARAFISCALES DE LA PLANTA FIJA Y CONVENCIONADOS DE LA ENTIDAD DEL MES DE ENERO DE 2018</v>
          </cell>
          <cell r="R794">
            <v>26105000</v>
          </cell>
          <cell r="S794">
            <v>0</v>
          </cell>
          <cell r="T794">
            <v>0</v>
          </cell>
          <cell r="U794">
            <v>26105000</v>
          </cell>
          <cell r="V794">
            <v>26105000</v>
          </cell>
        </row>
        <row r="795">
          <cell r="J795">
            <v>1534</v>
          </cell>
          <cell r="K795">
            <v>43165</v>
          </cell>
          <cell r="L795" t="str">
            <v>CAJA DE VIVIENDA POPULAR</v>
          </cell>
          <cell r="M795">
            <v>1</v>
          </cell>
          <cell r="N795" t="str">
            <v>RELACION DE AUTORIZACION</v>
          </cell>
          <cell r="O795">
            <v>20</v>
          </cell>
          <cell r="P795">
            <v>43165</v>
          </cell>
          <cell r="Q795" t="str">
            <v>PAGO DE MI PLANILLA SEGURIDAD SOCIAL Y PARAFISCALES DE LA PLANTA FIJA Y CONVENCIONADOS DE LA ENTIDAD DEL MES DE FEBRERO DE 2018.</v>
          </cell>
          <cell r="R795">
            <v>26366600</v>
          </cell>
          <cell r="S795">
            <v>0</v>
          </cell>
          <cell r="T795">
            <v>0</v>
          </cell>
          <cell r="U795">
            <v>26366600</v>
          </cell>
          <cell r="V795">
            <v>26366600</v>
          </cell>
        </row>
        <row r="796">
          <cell r="J796">
            <v>1794</v>
          </cell>
          <cell r="K796">
            <v>43203</v>
          </cell>
          <cell r="L796" t="str">
            <v>CAJA DE VIVIENDA POPULAR</v>
          </cell>
          <cell r="M796">
            <v>1</v>
          </cell>
          <cell r="N796" t="str">
            <v>RELACION DE AUTORIZACION</v>
          </cell>
          <cell r="O796">
            <v>27</v>
          </cell>
          <cell r="P796">
            <v>43203</v>
          </cell>
          <cell r="Q796" t="str">
            <v>PAGO DE MI PLANILLA SEGURIDAD SOCIAL Y PARAFISCALES DE LA PLANTA FIJA Y CONVENCIONADOS DE LA ENTIDAD DEL MES DE MARZO DE 2018</v>
          </cell>
          <cell r="R796">
            <v>27341500</v>
          </cell>
          <cell r="S796">
            <v>0</v>
          </cell>
          <cell r="T796">
            <v>0</v>
          </cell>
          <cell r="U796">
            <v>27341500</v>
          </cell>
          <cell r="V796">
            <v>27341500</v>
          </cell>
        </row>
        <row r="797">
          <cell r="J797">
            <v>1904</v>
          </cell>
          <cell r="K797">
            <v>43235</v>
          </cell>
          <cell r="L797" t="str">
            <v>CAJA DE VIVIENDA POPULAR</v>
          </cell>
          <cell r="M797">
            <v>1</v>
          </cell>
          <cell r="N797" t="str">
            <v>RELACION DE AUTORIZACION</v>
          </cell>
          <cell r="O797">
            <v>33</v>
          </cell>
          <cell r="P797">
            <v>43235</v>
          </cell>
          <cell r="Q797" t="str">
            <v>PAGO DE MI PLANILLA SEGURIDAD SOCIAL Y PARAFISCALES DE LA PLANTA FIJA Y CONVENCIONADOS DE LA ENTIDAD DEL MES DE ABRIL DE 2018</v>
          </cell>
          <cell r="R797">
            <v>28221700</v>
          </cell>
          <cell r="S797">
            <v>0</v>
          </cell>
          <cell r="T797">
            <v>0</v>
          </cell>
          <cell r="U797">
            <v>28221700</v>
          </cell>
          <cell r="V797">
            <v>28221700</v>
          </cell>
        </row>
        <row r="798">
          <cell r="J798">
            <v>2017</v>
          </cell>
          <cell r="K798">
            <v>43266</v>
          </cell>
          <cell r="L798" t="str">
            <v>CAJA DE VIVIENDA POPULAR</v>
          </cell>
          <cell r="M798">
            <v>1</v>
          </cell>
          <cell r="N798" t="str">
            <v>RELACION DE AUTORIZACION</v>
          </cell>
          <cell r="O798">
            <v>42</v>
          </cell>
          <cell r="P798">
            <v>43266</v>
          </cell>
          <cell r="Q798" t="str">
            <v>PAGO DE MI PLANILLA SEGURIDAD SOCIAL Y PARAFISCALES DE LA PLANTA FIJA Y CONVENCIONADOS DE LA ENTIDAD DEL MES DE MAYO DE 2018</v>
          </cell>
          <cell r="R798">
            <v>28355200</v>
          </cell>
          <cell r="S798">
            <v>0</v>
          </cell>
          <cell r="T798">
            <v>0</v>
          </cell>
          <cell r="U798">
            <v>28355200</v>
          </cell>
          <cell r="V798">
            <v>28355200</v>
          </cell>
        </row>
        <row r="799">
          <cell r="J799">
            <v>2489</v>
          </cell>
          <cell r="K799">
            <v>43298</v>
          </cell>
          <cell r="L799" t="str">
            <v>CAJA DE VIVIENDA POPULAR</v>
          </cell>
          <cell r="M799">
            <v>1</v>
          </cell>
          <cell r="N799" t="str">
            <v>RELACION DE AUTORIZACION</v>
          </cell>
          <cell r="O799">
            <v>48</v>
          </cell>
          <cell r="P799">
            <v>43298</v>
          </cell>
          <cell r="Q799" t="str">
            <v>PAGO DE MI PLANILLA SEGURIDAD SOCIAL Y PARAFISCALES DE LA PLANTA FIJA Y CONVENCIONADOS DE LA ENTIDAD DEL MES DE JUNIO DE 2018</v>
          </cell>
          <cell r="R799">
            <v>28219900</v>
          </cell>
          <cell r="S799">
            <v>0</v>
          </cell>
          <cell r="T799">
            <v>0</v>
          </cell>
          <cell r="U799">
            <v>28219900</v>
          </cell>
          <cell r="V799">
            <v>28219900</v>
          </cell>
        </row>
        <row r="800">
          <cell r="J800">
            <v>2638</v>
          </cell>
          <cell r="K800">
            <v>43326</v>
          </cell>
          <cell r="L800" t="str">
            <v>CAJA DE VIVIENDA POPULAR</v>
          </cell>
          <cell r="M800">
            <v>1</v>
          </cell>
          <cell r="N800" t="str">
            <v>RELACION DE AUTORIZACION</v>
          </cell>
          <cell r="O800">
            <v>54</v>
          </cell>
          <cell r="P800">
            <v>43326</v>
          </cell>
          <cell r="Q800" t="str">
            <v>PAGO DE MI PLANILLA SEGURIDAD SOCIAL Y PARAFISCALES DE LA PLANTA FIJA Y CONVENCIONADOS DE LA ENTIDAD DEL MES DE JULIO DE 2018</v>
          </cell>
          <cell r="R800">
            <v>26718900</v>
          </cell>
          <cell r="S800">
            <v>0</v>
          </cell>
          <cell r="T800">
            <v>0</v>
          </cell>
          <cell r="U800">
            <v>26718900</v>
          </cell>
          <cell r="V800">
            <v>26718900</v>
          </cell>
        </row>
        <row r="801">
          <cell r="J801">
            <v>3</v>
          </cell>
          <cell r="K801">
            <v>43111</v>
          </cell>
          <cell r="L801" t="str">
            <v>CAJA DE VIVIENDA POPULAR</v>
          </cell>
          <cell r="M801">
            <v>1</v>
          </cell>
          <cell r="N801" t="str">
            <v>RELACION DE AUTORIZACION</v>
          </cell>
          <cell r="O801">
            <v>1</v>
          </cell>
          <cell r="P801">
            <v>43111</v>
          </cell>
          <cell r="Q801" t="str">
            <v>PAGO DE APORTES PATRONALES AL SECTOR PRIVADO Y  PÚBLICO DE FUNCIONARIOS DE PLANTA FIJA DE LA CAJA DE LA VIVIENDA POPULAR VIGENCIA MES DE DICIEMBRE 2017</v>
          </cell>
          <cell r="R801">
            <v>3050200</v>
          </cell>
          <cell r="S801">
            <v>0</v>
          </cell>
          <cell r="T801">
            <v>0</v>
          </cell>
          <cell r="U801">
            <v>3050200</v>
          </cell>
          <cell r="V801">
            <v>3050200</v>
          </cell>
        </row>
        <row r="802">
          <cell r="J802">
            <v>1019</v>
          </cell>
          <cell r="K802">
            <v>43140</v>
          </cell>
          <cell r="L802" t="str">
            <v>CAJA DE VIVIENDA POPULAR</v>
          </cell>
          <cell r="M802">
            <v>1</v>
          </cell>
          <cell r="N802" t="str">
            <v>RELACION DE AUTORIZACION</v>
          </cell>
          <cell r="O802">
            <v>12</v>
          </cell>
          <cell r="P802">
            <v>43140</v>
          </cell>
          <cell r="Q802" t="str">
            <v>PAGO DE MI PLANILLA SEGURIDAD SOCIAL Y PARAFISCALES DE LA PLANTA FIJA Y CONVENCIONADOS DE LA ENTIDAD DEL MES DE ENERO DE 2018</v>
          </cell>
          <cell r="R802">
            <v>2783700</v>
          </cell>
          <cell r="S802">
            <v>0</v>
          </cell>
          <cell r="T802">
            <v>0</v>
          </cell>
          <cell r="U802">
            <v>2783700</v>
          </cell>
          <cell r="V802">
            <v>2783700</v>
          </cell>
        </row>
        <row r="803">
          <cell r="J803">
            <v>1534</v>
          </cell>
          <cell r="K803">
            <v>43165</v>
          </cell>
          <cell r="L803" t="str">
            <v>CAJA DE VIVIENDA POPULAR</v>
          </cell>
          <cell r="M803">
            <v>1</v>
          </cell>
          <cell r="N803" t="str">
            <v>RELACION DE AUTORIZACION</v>
          </cell>
          <cell r="O803">
            <v>20</v>
          </cell>
          <cell r="P803">
            <v>43165</v>
          </cell>
          <cell r="Q803" t="str">
            <v>PAGO DE MI PLANILLA SEGURIDAD SOCIAL Y PARAFISCALES DE LA PLANTA FIJA Y CONVENCIONADOS DE LA ENTIDAD DEL MES DE FEBRERO DE 2018.</v>
          </cell>
          <cell r="R803">
            <v>2814900</v>
          </cell>
          <cell r="S803">
            <v>0</v>
          </cell>
          <cell r="T803">
            <v>0</v>
          </cell>
          <cell r="U803">
            <v>2814900</v>
          </cell>
          <cell r="V803">
            <v>2814900</v>
          </cell>
        </row>
        <row r="804">
          <cell r="J804">
            <v>1794</v>
          </cell>
          <cell r="K804">
            <v>43203</v>
          </cell>
          <cell r="L804" t="str">
            <v>CAJA DE VIVIENDA POPULAR</v>
          </cell>
          <cell r="M804">
            <v>1</v>
          </cell>
          <cell r="N804" t="str">
            <v>RELACION DE AUTORIZACION</v>
          </cell>
          <cell r="O804">
            <v>27</v>
          </cell>
          <cell r="P804">
            <v>43203</v>
          </cell>
          <cell r="Q804" t="str">
            <v>PAGO DE MI PLANILLA SEGURIDAD SOCIAL Y PARAFISCALES DE LA PLANTA FIJA Y CONVENCIONADOS DE LA ENTIDAD DEL MES DE MARZO DE 2018</v>
          </cell>
          <cell r="R804">
            <v>2971200</v>
          </cell>
          <cell r="S804">
            <v>0</v>
          </cell>
          <cell r="T804">
            <v>0</v>
          </cell>
          <cell r="U804">
            <v>2971200</v>
          </cell>
          <cell r="V804">
            <v>2971200</v>
          </cell>
        </row>
        <row r="805">
          <cell r="J805">
            <v>1904</v>
          </cell>
          <cell r="K805">
            <v>43235</v>
          </cell>
          <cell r="L805" t="str">
            <v>CAJA DE VIVIENDA POPULAR</v>
          </cell>
          <cell r="M805">
            <v>1</v>
          </cell>
          <cell r="N805" t="str">
            <v>RELACION DE AUTORIZACION</v>
          </cell>
          <cell r="O805">
            <v>33</v>
          </cell>
          <cell r="P805">
            <v>43235</v>
          </cell>
          <cell r="Q805" t="str">
            <v>PAGO DE MI PLANILLA SEGURIDAD SOCIAL Y PARAFISCALES DE LA PLANTA FIJA Y CONVENCIONADOS DE LA ENTIDAD DEL MES DE ABRIL DE 2018</v>
          </cell>
          <cell r="R805">
            <v>2983900</v>
          </cell>
          <cell r="S805">
            <v>0</v>
          </cell>
          <cell r="T805">
            <v>0</v>
          </cell>
          <cell r="U805">
            <v>2983900</v>
          </cell>
          <cell r="V805">
            <v>2983900</v>
          </cell>
        </row>
        <row r="806">
          <cell r="J806">
            <v>2017</v>
          </cell>
          <cell r="K806">
            <v>43266</v>
          </cell>
          <cell r="L806" t="str">
            <v>CAJA DE VIVIENDA POPULAR</v>
          </cell>
          <cell r="M806">
            <v>1</v>
          </cell>
          <cell r="N806" t="str">
            <v>RELACION DE AUTORIZACION</v>
          </cell>
          <cell r="O806">
            <v>42</v>
          </cell>
          <cell r="P806">
            <v>43266</v>
          </cell>
          <cell r="Q806" t="str">
            <v>PAGO DE MI PLANILLA SEGURIDAD SOCIAL Y PARAFISCALES DE LA PLANTA FIJA Y CONVENCIONADOS DE LA ENTIDAD DEL MES DE MAYO DE 2018</v>
          </cell>
          <cell r="R806">
            <v>2863500</v>
          </cell>
          <cell r="S806">
            <v>0</v>
          </cell>
          <cell r="T806">
            <v>0</v>
          </cell>
          <cell r="U806">
            <v>2863500</v>
          </cell>
          <cell r="V806">
            <v>2863500</v>
          </cell>
        </row>
        <row r="807">
          <cell r="J807">
            <v>2489</v>
          </cell>
          <cell r="K807">
            <v>43298</v>
          </cell>
          <cell r="L807" t="str">
            <v>CAJA DE VIVIENDA POPULAR</v>
          </cell>
          <cell r="M807">
            <v>1</v>
          </cell>
          <cell r="N807" t="str">
            <v>RELACION DE AUTORIZACION</v>
          </cell>
          <cell r="O807">
            <v>48</v>
          </cell>
          <cell r="P807">
            <v>43298</v>
          </cell>
          <cell r="Q807" t="str">
            <v>PAGO DE MI PLANILLA SEGURIDAD SOCIAL Y PARAFISCALES DE LA PLANTA FIJA Y CONVENCIONADOS DE LA ENTIDAD DEL MES DE JUNIO DE 2018</v>
          </cell>
          <cell r="R807">
            <v>2778500</v>
          </cell>
          <cell r="S807">
            <v>0</v>
          </cell>
          <cell r="T807">
            <v>0</v>
          </cell>
          <cell r="U807">
            <v>2778500</v>
          </cell>
          <cell r="V807">
            <v>2778500</v>
          </cell>
        </row>
        <row r="808">
          <cell r="J808">
            <v>2638</v>
          </cell>
          <cell r="K808">
            <v>43326</v>
          </cell>
          <cell r="L808" t="str">
            <v>CAJA DE VIVIENDA POPULAR</v>
          </cell>
          <cell r="M808">
            <v>1</v>
          </cell>
          <cell r="N808" t="str">
            <v>RELACION DE AUTORIZACION</v>
          </cell>
          <cell r="O808">
            <v>54</v>
          </cell>
          <cell r="P808">
            <v>43326</v>
          </cell>
          <cell r="Q808" t="str">
            <v>PAGO DE MI PLANILLA SEGURIDAD SOCIAL Y PARAFISCALES DE LA PLANTA FIJA Y CONVENCIONADOS DE LA ENTIDAD DEL MES DE JULIO DE 2018</v>
          </cell>
          <cell r="R808">
            <v>2908900</v>
          </cell>
          <cell r="S808">
            <v>0</v>
          </cell>
          <cell r="T808">
            <v>0</v>
          </cell>
          <cell r="U808">
            <v>2908900</v>
          </cell>
          <cell r="V808">
            <v>2908900</v>
          </cell>
        </row>
        <row r="809">
          <cell r="J809">
            <v>3</v>
          </cell>
          <cell r="K809">
            <v>43111</v>
          </cell>
          <cell r="L809" t="str">
            <v>CAJA DE VIVIENDA POPULAR</v>
          </cell>
          <cell r="M809">
            <v>1</v>
          </cell>
          <cell r="N809" t="str">
            <v>RELACION DE AUTORIZACION</v>
          </cell>
          <cell r="O809">
            <v>1</v>
          </cell>
          <cell r="P809">
            <v>43111</v>
          </cell>
          <cell r="Q809" t="str">
            <v>PAGO DE APORTES PATRONALES AL SECTOR PRIVADO Y  PÚBLICO DE FUNCIONARIOS DE PLANTA FIJA DE LA CAJA DE LA VIVIENDA POPULAR VIGENCIA MES DE DICIEMBRE 2017</v>
          </cell>
          <cell r="R809">
            <v>25793200</v>
          </cell>
          <cell r="S809">
            <v>0</v>
          </cell>
          <cell r="T809">
            <v>0</v>
          </cell>
          <cell r="U809">
            <v>25793200</v>
          </cell>
          <cell r="V809">
            <v>25793200</v>
          </cell>
        </row>
        <row r="810">
          <cell r="J810">
            <v>365</v>
          </cell>
          <cell r="K810">
            <v>43124</v>
          </cell>
          <cell r="L810" t="str">
            <v>CAJA DE VIVIENDA POPULAR</v>
          </cell>
          <cell r="M810">
            <v>1</v>
          </cell>
          <cell r="N810" t="str">
            <v>RELACION DE AUTORIZACION</v>
          </cell>
          <cell r="O810">
            <v>4</v>
          </cell>
          <cell r="P810">
            <v>43124</v>
          </cell>
          <cell r="Q810" t="str">
            <v>PAGO DE LA NOMINA DEL MES DE ENERO DE 2018 DE PLANTA FIJA Y CONVENCIONADOS</v>
          </cell>
          <cell r="R810">
            <v>2879968</v>
          </cell>
          <cell r="S810">
            <v>0</v>
          </cell>
          <cell r="T810">
            <v>0</v>
          </cell>
          <cell r="U810">
            <v>2879968</v>
          </cell>
          <cell r="V810">
            <v>2879968</v>
          </cell>
        </row>
        <row r="811">
          <cell r="J811">
            <v>1019</v>
          </cell>
          <cell r="K811">
            <v>43140</v>
          </cell>
          <cell r="L811" t="str">
            <v>CAJA DE VIVIENDA POPULAR</v>
          </cell>
          <cell r="M811">
            <v>1</v>
          </cell>
          <cell r="N811" t="str">
            <v>RELACION DE AUTORIZACION</v>
          </cell>
          <cell r="O811">
            <v>12</v>
          </cell>
          <cell r="P811">
            <v>43140</v>
          </cell>
          <cell r="Q811" t="str">
            <v>PAGO DE MI PLANILLA SEGURIDAD SOCIAL Y PARAFISCALES DE LA PLANTA FIJA Y CONVENCIONADOS DE LA ENTIDAD DEL MES DE ENERO DE 2018</v>
          </cell>
          <cell r="R811">
            <v>11868200</v>
          </cell>
          <cell r="S811">
            <v>0</v>
          </cell>
          <cell r="T811">
            <v>0</v>
          </cell>
          <cell r="U811">
            <v>11868200</v>
          </cell>
          <cell r="V811">
            <v>11868200</v>
          </cell>
        </row>
        <row r="812">
          <cell r="J812">
            <v>1385</v>
          </cell>
          <cell r="K812">
            <v>43151</v>
          </cell>
          <cell r="L812" t="str">
            <v>CAJA DE VIVIENDA POPULAR</v>
          </cell>
          <cell r="M812">
            <v>1</v>
          </cell>
          <cell r="N812" t="str">
            <v>RELACION DE AUTORIZACION</v>
          </cell>
          <cell r="O812">
            <v>16</v>
          </cell>
          <cell r="P812">
            <v>43151</v>
          </cell>
          <cell r="Q812" t="str">
            <v>PAGO DE LA NOMINA DEL MES DE FEBRERO DE 2018 DE PLANTA FIJA Y CONVENCIONADOS</v>
          </cell>
          <cell r="R812">
            <v>249592</v>
          </cell>
          <cell r="S812">
            <v>0</v>
          </cell>
          <cell r="T812">
            <v>0</v>
          </cell>
          <cell r="U812">
            <v>249592</v>
          </cell>
          <cell r="V812">
            <v>249592</v>
          </cell>
        </row>
        <row r="813">
          <cell r="J813">
            <v>1534</v>
          </cell>
          <cell r="K813">
            <v>43165</v>
          </cell>
          <cell r="L813" t="str">
            <v>CAJA DE VIVIENDA POPULAR</v>
          </cell>
          <cell r="M813">
            <v>1</v>
          </cell>
          <cell r="N813" t="str">
            <v>RELACION DE AUTORIZACION</v>
          </cell>
          <cell r="O813">
            <v>20</v>
          </cell>
          <cell r="P813">
            <v>43165</v>
          </cell>
          <cell r="Q813" t="str">
            <v>PAGO DE MI PLANILLA SEGURIDAD SOCIAL Y PARAFISCALES DE LA PLANTA FIJA Y CONVENCIONADOS DE LA ENTIDAD DEL MES DE FEBRERO DE 2018.</v>
          </cell>
          <cell r="R813">
            <v>11845200</v>
          </cell>
          <cell r="S813">
            <v>0</v>
          </cell>
          <cell r="T813">
            <v>0</v>
          </cell>
          <cell r="U813">
            <v>11845200</v>
          </cell>
          <cell r="V813">
            <v>11845200</v>
          </cell>
        </row>
        <row r="814">
          <cell r="J814">
            <v>1602</v>
          </cell>
          <cell r="K814">
            <v>43180</v>
          </cell>
          <cell r="L814" t="str">
            <v>CAJA DE VIVIENDA POPULAR</v>
          </cell>
          <cell r="M814">
            <v>1</v>
          </cell>
          <cell r="N814" t="str">
            <v>RELACION DE AUTORIZACION</v>
          </cell>
          <cell r="O814">
            <v>24</v>
          </cell>
          <cell r="P814">
            <v>43180</v>
          </cell>
          <cell r="Q814" t="str">
            <v>PAGO DE LA NOMINA DEL MES DE MARZO DE 2018 DE PLANTA FIJA Y CONVENCIONADOS</v>
          </cell>
          <cell r="R814">
            <v>565293</v>
          </cell>
          <cell r="S814">
            <v>0</v>
          </cell>
          <cell r="T814">
            <v>0</v>
          </cell>
          <cell r="U814">
            <v>565293</v>
          </cell>
          <cell r="V814">
            <v>565293</v>
          </cell>
        </row>
        <row r="815">
          <cell r="J815">
            <v>1794</v>
          </cell>
          <cell r="K815">
            <v>43203</v>
          </cell>
          <cell r="L815" t="str">
            <v>CAJA DE VIVIENDA POPULAR</v>
          </cell>
          <cell r="M815">
            <v>1</v>
          </cell>
          <cell r="N815" t="str">
            <v>RELACION DE AUTORIZACION</v>
          </cell>
          <cell r="O815">
            <v>27</v>
          </cell>
          <cell r="P815">
            <v>43203</v>
          </cell>
          <cell r="Q815" t="str">
            <v>PAGO DE MI PLANILLA SEGURIDAD SOCIAL Y PARAFISCALES DE LA PLANTA FIJA Y CONVENCIONADOS DE LA ENTIDAD DEL MES DE MARZO DE 2018</v>
          </cell>
          <cell r="R815">
            <v>12280500</v>
          </cell>
          <cell r="S815">
            <v>0</v>
          </cell>
          <cell r="T815">
            <v>0</v>
          </cell>
          <cell r="U815">
            <v>12280500</v>
          </cell>
          <cell r="V815">
            <v>12280500</v>
          </cell>
        </row>
        <row r="816">
          <cell r="J816">
            <v>1831</v>
          </cell>
          <cell r="K816">
            <v>43213</v>
          </cell>
          <cell r="L816" t="str">
            <v>CAJA DE VIVIENDA POPULAR</v>
          </cell>
          <cell r="M816">
            <v>1</v>
          </cell>
          <cell r="N816" t="str">
            <v>RELACION DE AUTORIZACION</v>
          </cell>
          <cell r="O816">
            <v>32</v>
          </cell>
          <cell r="P816">
            <v>43213</v>
          </cell>
          <cell r="Q816" t="str">
            <v>PAGO DE LA NOMINA DEL MES DE ABRIL DE 2018 DE PLANTA FIJA Y CONVENCIONADOS</v>
          </cell>
          <cell r="R816">
            <v>449406</v>
          </cell>
          <cell r="S816">
            <v>0</v>
          </cell>
          <cell r="T816">
            <v>0</v>
          </cell>
          <cell r="U816">
            <v>449406</v>
          </cell>
          <cell r="V816">
            <v>449406</v>
          </cell>
        </row>
        <row r="817">
          <cell r="J817">
            <v>1904</v>
          </cell>
          <cell r="K817">
            <v>43235</v>
          </cell>
          <cell r="L817" t="str">
            <v>CAJA DE VIVIENDA POPULAR</v>
          </cell>
          <cell r="M817">
            <v>1</v>
          </cell>
          <cell r="N817" t="str">
            <v>RELACION DE AUTORIZACION</v>
          </cell>
          <cell r="O817">
            <v>33</v>
          </cell>
          <cell r="P817">
            <v>43235</v>
          </cell>
          <cell r="Q817" t="str">
            <v>PAGO DE MI PLANILLA SEGURIDAD SOCIAL Y PARAFISCALES DE LA PLANTA FIJA Y CONVENCIONADOS DE LA ENTIDAD DEL MES DE ABRIL DE 2018</v>
          </cell>
          <cell r="R817">
            <v>13211800</v>
          </cell>
          <cell r="S817">
            <v>0</v>
          </cell>
          <cell r="T817">
            <v>0</v>
          </cell>
          <cell r="U817">
            <v>13211800</v>
          </cell>
          <cell r="V817">
            <v>13211800</v>
          </cell>
        </row>
        <row r="818">
          <cell r="J818">
            <v>1949</v>
          </cell>
          <cell r="K818">
            <v>43243</v>
          </cell>
          <cell r="L818" t="str">
            <v>CAJA DE VIVIENDA POPULAR</v>
          </cell>
          <cell r="M818">
            <v>1</v>
          </cell>
          <cell r="N818" t="str">
            <v>RELACION DE AUTORIZACION</v>
          </cell>
          <cell r="O818">
            <v>36</v>
          </cell>
          <cell r="P818">
            <v>43243</v>
          </cell>
          <cell r="Q818" t="str">
            <v>PAGO DE LA NOMINA DEL MES DE MAYO DE 2018 PLANTA FIJA Y CONVENCIONADOS</v>
          </cell>
          <cell r="R818">
            <v>1464228</v>
          </cell>
          <cell r="S818">
            <v>0</v>
          </cell>
          <cell r="T818">
            <v>0</v>
          </cell>
          <cell r="U818">
            <v>1464228</v>
          </cell>
          <cell r="V818">
            <v>1464228</v>
          </cell>
        </row>
        <row r="819">
          <cell r="J819">
            <v>2017</v>
          </cell>
          <cell r="K819">
            <v>43266</v>
          </cell>
          <cell r="L819" t="str">
            <v>CAJA DE VIVIENDA POPULAR</v>
          </cell>
          <cell r="M819">
            <v>1</v>
          </cell>
          <cell r="N819" t="str">
            <v>RELACION DE AUTORIZACION</v>
          </cell>
          <cell r="O819">
            <v>42</v>
          </cell>
          <cell r="P819">
            <v>43266</v>
          </cell>
          <cell r="Q819" t="str">
            <v>PAGO DE MI PLANILLA SEGURIDAD SOCIAL Y PARAFISCALES DE LA PLANTA FIJA Y CONVENCIONADOS DE LA ENTIDAD DEL MES DE MAYO DE 2018</v>
          </cell>
          <cell r="R819">
            <v>13273400</v>
          </cell>
          <cell r="S819">
            <v>0</v>
          </cell>
          <cell r="T819">
            <v>0</v>
          </cell>
          <cell r="U819">
            <v>13273400</v>
          </cell>
          <cell r="V819">
            <v>13273400</v>
          </cell>
        </row>
        <row r="820">
          <cell r="J820">
            <v>2054</v>
          </cell>
          <cell r="K820">
            <v>43271</v>
          </cell>
          <cell r="L820" t="str">
            <v>CAJA DE VIVIENDA POPULAR</v>
          </cell>
          <cell r="M820">
            <v>1</v>
          </cell>
          <cell r="N820" t="str">
            <v>RELACION DE AUTORIZACION</v>
          </cell>
          <cell r="O820">
            <v>45</v>
          </cell>
          <cell r="P820">
            <v>43271</v>
          </cell>
          <cell r="Q820" t="str">
            <v>PAGO DE LA NOMINA DEL MES DE JUNIO DE 2018 PLANTA FIJA Y CONVENCIONADOS</v>
          </cell>
          <cell r="R820">
            <v>357078</v>
          </cell>
          <cell r="S820">
            <v>0</v>
          </cell>
          <cell r="T820">
            <v>0</v>
          </cell>
          <cell r="U820">
            <v>357078</v>
          </cell>
          <cell r="V820">
            <v>357078</v>
          </cell>
        </row>
        <row r="821">
          <cell r="J821">
            <v>2489</v>
          </cell>
          <cell r="K821">
            <v>43298</v>
          </cell>
          <cell r="L821" t="str">
            <v>CAJA DE VIVIENDA POPULAR</v>
          </cell>
          <cell r="M821">
            <v>1</v>
          </cell>
          <cell r="N821" t="str">
            <v>RELACION DE AUTORIZACION</v>
          </cell>
          <cell r="O821">
            <v>48</v>
          </cell>
          <cell r="P821">
            <v>43298</v>
          </cell>
          <cell r="Q821" t="str">
            <v>PAGO DE MI PLANILLA SEGURIDAD SOCIAL Y PARAFISCALES DE LA PLANTA FIJA Y CONVENCIONADOS DE LA ENTIDAD DEL MES DE JUNIO DE 2018</v>
          </cell>
          <cell r="R821">
            <v>28125700</v>
          </cell>
          <cell r="S821">
            <v>0</v>
          </cell>
          <cell r="T821">
            <v>0</v>
          </cell>
          <cell r="U821">
            <v>28125700</v>
          </cell>
          <cell r="V821">
            <v>28125700</v>
          </cell>
        </row>
        <row r="822">
          <cell r="J822">
            <v>2521</v>
          </cell>
          <cell r="K822">
            <v>43305</v>
          </cell>
          <cell r="L822" t="str">
            <v>CAJA DE VIVIENDA POPULAR</v>
          </cell>
          <cell r="M822">
            <v>1</v>
          </cell>
          <cell r="N822" t="str">
            <v>RELACION DE AUTORIZACION</v>
          </cell>
          <cell r="O822">
            <v>51</v>
          </cell>
          <cell r="P822">
            <v>43305</v>
          </cell>
          <cell r="Q822" t="str">
            <v>PAGO DE LA NOMINA DEL MES DE JULIO DE 2018 DE PLANTA FIJA Y CONVENCIONADOS</v>
          </cell>
          <cell r="R822">
            <v>1275600</v>
          </cell>
          <cell r="S822">
            <v>0</v>
          </cell>
          <cell r="T822">
            <v>0</v>
          </cell>
          <cell r="U822">
            <v>1275600</v>
          </cell>
          <cell r="V822">
            <v>1275600</v>
          </cell>
        </row>
        <row r="823">
          <cell r="J823">
            <v>2638</v>
          </cell>
          <cell r="K823">
            <v>43326</v>
          </cell>
          <cell r="L823" t="str">
            <v>CAJA DE VIVIENDA POPULAR</v>
          </cell>
          <cell r="M823">
            <v>1</v>
          </cell>
          <cell r="N823" t="str">
            <v>RELACION DE AUTORIZACION</v>
          </cell>
          <cell r="O823">
            <v>54</v>
          </cell>
          <cell r="P823">
            <v>43326</v>
          </cell>
          <cell r="Q823" t="str">
            <v>PAGO DE MI PLANILLA SEGURIDAD SOCIAL Y PARAFISCALES DE LA PLANTA FIJA Y CONVENCIONADOS DE LA ENTIDAD DEL MES DE JULIO DE 2018</v>
          </cell>
          <cell r="R823">
            <v>12485400</v>
          </cell>
          <cell r="S823">
            <v>0</v>
          </cell>
          <cell r="T823">
            <v>0</v>
          </cell>
          <cell r="U823">
            <v>12485400</v>
          </cell>
          <cell r="V823">
            <v>12485400</v>
          </cell>
        </row>
        <row r="824">
          <cell r="J824">
            <v>2730</v>
          </cell>
          <cell r="K824">
            <v>43336</v>
          </cell>
          <cell r="L824" t="str">
            <v>CAJA DE VIVIENDA POPULAR</v>
          </cell>
          <cell r="M824">
            <v>1</v>
          </cell>
          <cell r="N824" t="str">
            <v>RELACION DE AUTORIZACION</v>
          </cell>
          <cell r="O824">
            <v>57</v>
          </cell>
          <cell r="P824">
            <v>43335</v>
          </cell>
          <cell r="Q824" t="str">
            <v>PAGO DE LA NOMINA DEL MES DE AGOSTO DE 2018 PLANTA FIJA Y CONVENCIONADOS</v>
          </cell>
          <cell r="R824">
            <v>651680</v>
          </cell>
          <cell r="S824">
            <v>0</v>
          </cell>
          <cell r="T824">
            <v>0</v>
          </cell>
          <cell r="U824">
            <v>651680</v>
          </cell>
          <cell r="V824">
            <v>651680</v>
          </cell>
        </row>
        <row r="825">
          <cell r="J825">
            <v>366</v>
          </cell>
          <cell r="K825">
            <v>43124</v>
          </cell>
          <cell r="L825" t="str">
            <v>CAJA DE VIVIENDA POPULAR</v>
          </cell>
          <cell r="M825">
            <v>1</v>
          </cell>
          <cell r="N825" t="str">
            <v>RELACION DE AUTORIZACION</v>
          </cell>
          <cell r="O825">
            <v>5</v>
          </cell>
          <cell r="P825">
            <v>43124</v>
          </cell>
          <cell r="Q825" t="str">
            <v>PAGO DE LA NOMINA DEL MES DE ENERO DE 2018 DE PLANTA FIJA Y CONVENCIONADOS</v>
          </cell>
          <cell r="R825">
            <v>5456178</v>
          </cell>
          <cell r="S825">
            <v>5456178</v>
          </cell>
          <cell r="T825">
            <v>0</v>
          </cell>
          <cell r="U825">
            <v>0</v>
          </cell>
          <cell r="V825">
            <v>0</v>
          </cell>
        </row>
        <row r="826">
          <cell r="J826">
            <v>368</v>
          </cell>
          <cell r="K826">
            <v>43124</v>
          </cell>
          <cell r="L826" t="str">
            <v>CAJA DE VIVIENDA POPULAR</v>
          </cell>
          <cell r="M826">
            <v>1</v>
          </cell>
          <cell r="N826" t="str">
            <v>RELACION DE AUTORIZACION</v>
          </cell>
          <cell r="O826">
            <v>5</v>
          </cell>
          <cell r="P826">
            <v>43124</v>
          </cell>
          <cell r="Q826" t="str">
            <v>PAGO DE LA NOMINA DEL MES DE ENERO DE 2018 DE PLANTA FIJA Y CONVENCIONADOS</v>
          </cell>
          <cell r="R826">
            <v>5456178</v>
          </cell>
          <cell r="S826">
            <v>0</v>
          </cell>
          <cell r="T826">
            <v>0</v>
          </cell>
          <cell r="U826">
            <v>5456178</v>
          </cell>
          <cell r="V826">
            <v>5456178</v>
          </cell>
        </row>
        <row r="827">
          <cell r="J827">
            <v>756</v>
          </cell>
          <cell r="K827">
            <v>43137</v>
          </cell>
          <cell r="L827" t="str">
            <v>CAJA DE VIVIENDA POPULAR</v>
          </cell>
          <cell r="M827">
            <v>1</v>
          </cell>
          <cell r="N827" t="str">
            <v>RELACION DE AUTORIZACION</v>
          </cell>
          <cell r="O827">
            <v>11</v>
          </cell>
          <cell r="P827">
            <v>43137</v>
          </cell>
          <cell r="Q827" t="str">
            <v>PAGO DE LAS CESANTIAS DEL AÑO 2017 DE LA PLANTA FIJA FONDOS PUBLICOS Y PRIVADOS</v>
          </cell>
          <cell r="R827">
            <v>144665875</v>
          </cell>
          <cell r="S827">
            <v>0</v>
          </cell>
          <cell r="T827">
            <v>0</v>
          </cell>
          <cell r="U827">
            <v>144665875</v>
          </cell>
          <cell r="V827">
            <v>144665875</v>
          </cell>
        </row>
        <row r="828">
          <cell r="J828">
            <v>1387</v>
          </cell>
          <cell r="K828">
            <v>43151</v>
          </cell>
          <cell r="L828" t="str">
            <v>CAJA DE VIVIENDA POPULAR</v>
          </cell>
          <cell r="M828">
            <v>1</v>
          </cell>
          <cell r="N828" t="str">
            <v>RELACION DE AUTORIZACION</v>
          </cell>
          <cell r="O828">
            <v>18</v>
          </cell>
          <cell r="P828">
            <v>43151</v>
          </cell>
          <cell r="Q828" t="str">
            <v>PAGO DE INTERESES DE CESANTIAS 2018 DE UN FUNCIONARIO CONVENCIONADO- FONDOS PUBLICOS</v>
          </cell>
          <cell r="R828">
            <v>554686</v>
          </cell>
          <cell r="S828">
            <v>0</v>
          </cell>
          <cell r="T828">
            <v>0</v>
          </cell>
          <cell r="U828">
            <v>554686</v>
          </cell>
          <cell r="V828">
            <v>554686</v>
          </cell>
        </row>
        <row r="829">
          <cell r="J829">
            <v>3</v>
          </cell>
          <cell r="K829">
            <v>43111</v>
          </cell>
          <cell r="L829" t="str">
            <v>CAJA DE VIVIENDA POPULAR</v>
          </cell>
          <cell r="M829">
            <v>1</v>
          </cell>
          <cell r="N829" t="str">
            <v>RELACION DE AUTORIZACION</v>
          </cell>
          <cell r="O829">
            <v>1</v>
          </cell>
          <cell r="P829">
            <v>43111</v>
          </cell>
          <cell r="Q829" t="str">
            <v>PAGO DE APORTES PATRONALES AL SECTOR PRIVADO Y  PÚBLICO DE FUNCIONARIOS DE PLANTA FIJA DE LA CAJA DE LA VIVIENDA POPULAR VIGENCIA MES DE DICIEMBRE 2017</v>
          </cell>
          <cell r="R829">
            <v>16247600</v>
          </cell>
          <cell r="S829">
            <v>0</v>
          </cell>
          <cell r="T829">
            <v>0</v>
          </cell>
          <cell r="U829">
            <v>16247600</v>
          </cell>
          <cell r="V829">
            <v>16247600</v>
          </cell>
        </row>
        <row r="830">
          <cell r="J830">
            <v>1019</v>
          </cell>
          <cell r="K830">
            <v>43140</v>
          </cell>
          <cell r="L830" t="str">
            <v>CAJA DE VIVIENDA POPULAR</v>
          </cell>
          <cell r="M830">
            <v>1</v>
          </cell>
          <cell r="N830" t="str">
            <v>RELACION DE AUTORIZACION</v>
          </cell>
          <cell r="O830">
            <v>12</v>
          </cell>
          <cell r="P830">
            <v>43140</v>
          </cell>
          <cell r="Q830" t="str">
            <v>PAGO DE MI PLANILLA SEGURIDAD SOCIAL Y PARAFISCALES DE LA PLANTA FIJA Y CONVENCIONADOS DE LA ENTIDAD DEL MES DE ENERO DE 2018</v>
          </cell>
          <cell r="R830">
            <v>17246900</v>
          </cell>
          <cell r="S830">
            <v>0</v>
          </cell>
          <cell r="T830">
            <v>0</v>
          </cell>
          <cell r="U830">
            <v>17246900</v>
          </cell>
          <cell r="V830">
            <v>17246900</v>
          </cell>
        </row>
        <row r="831">
          <cell r="J831">
            <v>1534</v>
          </cell>
          <cell r="K831">
            <v>43165</v>
          </cell>
          <cell r="L831" t="str">
            <v>CAJA DE VIVIENDA POPULAR</v>
          </cell>
          <cell r="M831">
            <v>1</v>
          </cell>
          <cell r="N831" t="str">
            <v>RELACION DE AUTORIZACION</v>
          </cell>
          <cell r="O831">
            <v>20</v>
          </cell>
          <cell r="P831">
            <v>43165</v>
          </cell>
          <cell r="Q831" t="str">
            <v>PAGO DE MI PLANILLA SEGURIDAD SOCIAL Y PARAFISCALES DE LA PLANTA FIJA Y CONVENCIONADOS DE LA ENTIDAD DEL MES DE FEBRERO DE 2018.</v>
          </cell>
          <cell r="R831">
            <v>17450200</v>
          </cell>
          <cell r="S831">
            <v>0</v>
          </cell>
          <cell r="T831">
            <v>0</v>
          </cell>
          <cell r="U831">
            <v>17450200</v>
          </cell>
          <cell r="V831">
            <v>17450200</v>
          </cell>
        </row>
        <row r="832">
          <cell r="J832">
            <v>1794</v>
          </cell>
          <cell r="K832">
            <v>43203</v>
          </cell>
          <cell r="L832" t="str">
            <v>CAJA DE VIVIENDA POPULAR</v>
          </cell>
          <cell r="M832">
            <v>1</v>
          </cell>
          <cell r="N832" t="str">
            <v>RELACION DE AUTORIZACION</v>
          </cell>
          <cell r="O832">
            <v>27</v>
          </cell>
          <cell r="P832">
            <v>43203</v>
          </cell>
          <cell r="Q832" t="str">
            <v>PAGO DE MI PLANILLA SEGURIDAD SOCIAL Y PARAFISCALES DE LA PLANTA FIJA Y CONVENCIONADOS DE LA ENTIDAD DEL MES DE MARZO DE 2018</v>
          </cell>
          <cell r="R832">
            <v>18175500</v>
          </cell>
          <cell r="S832">
            <v>0</v>
          </cell>
          <cell r="T832">
            <v>0</v>
          </cell>
          <cell r="U832">
            <v>18175500</v>
          </cell>
          <cell r="V832">
            <v>18175500</v>
          </cell>
        </row>
        <row r="833">
          <cell r="J833">
            <v>1904</v>
          </cell>
          <cell r="K833">
            <v>43235</v>
          </cell>
          <cell r="L833" t="str">
            <v>CAJA DE VIVIENDA POPULAR</v>
          </cell>
          <cell r="M833">
            <v>1</v>
          </cell>
          <cell r="N833" t="str">
            <v>RELACION DE AUTORIZACION</v>
          </cell>
          <cell r="O833">
            <v>33</v>
          </cell>
          <cell r="P833">
            <v>43235</v>
          </cell>
          <cell r="Q833" t="str">
            <v>PAGO DE MI PLANILLA SEGURIDAD SOCIAL Y PARAFISCALES DE LA PLANTA FIJA Y CONVENCIONADOS DE LA ENTIDAD DEL MES DE ABRIL DE 2018</v>
          </cell>
          <cell r="R833">
            <v>18505500</v>
          </cell>
          <cell r="S833">
            <v>0</v>
          </cell>
          <cell r="T833">
            <v>0</v>
          </cell>
          <cell r="U833">
            <v>18505500</v>
          </cell>
          <cell r="V833">
            <v>18505500</v>
          </cell>
        </row>
        <row r="834">
          <cell r="J834">
            <v>2017</v>
          </cell>
          <cell r="K834">
            <v>43266</v>
          </cell>
          <cell r="L834" t="str">
            <v>CAJA DE VIVIENDA POPULAR</v>
          </cell>
          <cell r="M834">
            <v>1</v>
          </cell>
          <cell r="N834" t="str">
            <v>RELACION DE AUTORIZACION</v>
          </cell>
          <cell r="O834">
            <v>42</v>
          </cell>
          <cell r="P834">
            <v>43266</v>
          </cell>
          <cell r="Q834" t="str">
            <v>PAGO DE MI PLANILLA SEGURIDAD SOCIAL Y PARAFISCALES DE LA PLANTA FIJA Y CONVENCIONADOS DE LA ENTIDAD DEL MES DE MAYO DE 2018</v>
          </cell>
          <cell r="R834">
            <v>19823700</v>
          </cell>
          <cell r="S834">
            <v>0</v>
          </cell>
          <cell r="T834">
            <v>0</v>
          </cell>
          <cell r="U834">
            <v>19823700</v>
          </cell>
          <cell r="V834">
            <v>19823700</v>
          </cell>
        </row>
        <row r="835">
          <cell r="J835">
            <v>2489</v>
          </cell>
          <cell r="K835">
            <v>43298</v>
          </cell>
          <cell r="L835" t="str">
            <v>CAJA DE VIVIENDA POPULAR</v>
          </cell>
          <cell r="M835">
            <v>1</v>
          </cell>
          <cell r="N835" t="str">
            <v>RELACION DE AUTORIZACION</v>
          </cell>
          <cell r="O835">
            <v>48</v>
          </cell>
          <cell r="P835">
            <v>43298</v>
          </cell>
          <cell r="Q835" t="str">
            <v>PAGO DE MI PLANILLA SEGURIDAD SOCIAL Y PARAFISCALES DE LA PLANTA FIJA Y CONVENCIONADOS DE LA ENTIDAD DEL MES DE JUNIO DE 2018</v>
          </cell>
          <cell r="R835">
            <v>19704000</v>
          </cell>
          <cell r="S835">
            <v>0</v>
          </cell>
          <cell r="T835">
            <v>0</v>
          </cell>
          <cell r="U835">
            <v>19704000</v>
          </cell>
          <cell r="V835">
            <v>19704000</v>
          </cell>
        </row>
        <row r="836">
          <cell r="J836">
            <v>2638</v>
          </cell>
          <cell r="K836">
            <v>43326</v>
          </cell>
          <cell r="L836" t="str">
            <v>CAJA DE VIVIENDA POPULAR</v>
          </cell>
          <cell r="M836">
            <v>1</v>
          </cell>
          <cell r="N836" t="str">
            <v>RELACION DE AUTORIZACION</v>
          </cell>
          <cell r="O836">
            <v>54</v>
          </cell>
          <cell r="P836">
            <v>43326</v>
          </cell>
          <cell r="Q836" t="str">
            <v>PAGO DE MI PLANILLA SEGURIDAD SOCIAL Y PARAFISCALES DE LA PLANTA FIJA Y CONVENCIONADOS DE LA ENTIDAD DEL MES DE JULIO DE 2018</v>
          </cell>
          <cell r="R836">
            <v>20871600</v>
          </cell>
          <cell r="S836">
            <v>0</v>
          </cell>
          <cell r="T836">
            <v>0</v>
          </cell>
          <cell r="U836">
            <v>20871600</v>
          </cell>
          <cell r="V836">
            <v>20871600</v>
          </cell>
        </row>
        <row r="837">
          <cell r="J837">
            <v>3</v>
          </cell>
          <cell r="K837">
            <v>43111</v>
          </cell>
          <cell r="L837" t="str">
            <v>CAJA DE VIVIENDA POPULAR</v>
          </cell>
          <cell r="M837">
            <v>1</v>
          </cell>
          <cell r="N837" t="str">
            <v>RELACION DE AUTORIZACION</v>
          </cell>
          <cell r="O837">
            <v>1</v>
          </cell>
          <cell r="P837">
            <v>43111</v>
          </cell>
          <cell r="Q837" t="str">
            <v>PAGO DE APORTES PATRONALES AL SECTOR PRIVADO Y  PÚBLICO DE FUNCIONARIOS DE PLANTA FIJA DE LA CAJA DE LA VIVIENDA POPULAR VIGENCIA MES DE DICIEMBRE 2017</v>
          </cell>
          <cell r="R837">
            <v>21294300</v>
          </cell>
          <cell r="S837">
            <v>0</v>
          </cell>
          <cell r="T837">
            <v>0</v>
          </cell>
          <cell r="U837">
            <v>21294300</v>
          </cell>
          <cell r="V837">
            <v>21294300</v>
          </cell>
        </row>
        <row r="838">
          <cell r="J838">
            <v>1019</v>
          </cell>
          <cell r="K838">
            <v>43140</v>
          </cell>
          <cell r="L838" t="str">
            <v>CAJA DE VIVIENDA POPULAR</v>
          </cell>
          <cell r="M838">
            <v>1</v>
          </cell>
          <cell r="N838" t="str">
            <v>RELACION DE AUTORIZACION</v>
          </cell>
          <cell r="O838">
            <v>12</v>
          </cell>
          <cell r="P838">
            <v>43140</v>
          </cell>
          <cell r="Q838" t="str">
            <v>PAGO DE MI PLANILLA SEGURIDAD SOCIAL Y PARAFISCALES DE LA PLANTA FIJA Y CONVENCIONADOS DE LA ENTIDAD DEL MES DE ENERO DE 2018</v>
          </cell>
          <cell r="R838">
            <v>9288300</v>
          </cell>
          <cell r="S838">
            <v>0</v>
          </cell>
          <cell r="T838">
            <v>0</v>
          </cell>
          <cell r="U838">
            <v>9288300</v>
          </cell>
          <cell r="V838">
            <v>9288300</v>
          </cell>
        </row>
        <row r="839">
          <cell r="J839">
            <v>1534</v>
          </cell>
          <cell r="K839">
            <v>43165</v>
          </cell>
          <cell r="L839" t="str">
            <v>CAJA DE VIVIENDA POPULAR</v>
          </cell>
          <cell r="M839">
            <v>1</v>
          </cell>
          <cell r="N839" t="str">
            <v>RELACION DE AUTORIZACION</v>
          </cell>
          <cell r="O839">
            <v>20</v>
          </cell>
          <cell r="P839">
            <v>43165</v>
          </cell>
          <cell r="Q839" t="str">
            <v>PAGO DE MI PLANILLA SEGURIDAD SOCIAL Y PARAFISCALES DE LA PLANTA FIJA Y CONVENCIONADOS DE LA ENTIDAD DEL MES DE FEBRERO DE 2018.</v>
          </cell>
          <cell r="R839">
            <v>9298800</v>
          </cell>
          <cell r="S839">
            <v>0</v>
          </cell>
          <cell r="T839">
            <v>0</v>
          </cell>
          <cell r="U839">
            <v>9298800</v>
          </cell>
          <cell r="V839">
            <v>9298800</v>
          </cell>
        </row>
        <row r="840">
          <cell r="J840">
            <v>1794</v>
          </cell>
          <cell r="K840">
            <v>43203</v>
          </cell>
          <cell r="L840" t="str">
            <v>CAJA DE VIVIENDA POPULAR</v>
          </cell>
          <cell r="M840">
            <v>1</v>
          </cell>
          <cell r="N840" t="str">
            <v>RELACION DE AUTORIZACION</v>
          </cell>
          <cell r="O840">
            <v>27</v>
          </cell>
          <cell r="P840">
            <v>43203</v>
          </cell>
          <cell r="Q840" t="str">
            <v>PAGO DE MI PLANILLA SEGURIDAD SOCIAL Y PARAFISCALES DE LA PLANTA FIJA Y CONVENCIONADOS DE LA ENTIDAD DEL MES DE MARZO DE 2018</v>
          </cell>
          <cell r="R840">
            <v>9639100</v>
          </cell>
          <cell r="S840">
            <v>0</v>
          </cell>
          <cell r="T840">
            <v>0</v>
          </cell>
          <cell r="U840">
            <v>9639100</v>
          </cell>
          <cell r="V840">
            <v>9639100</v>
          </cell>
        </row>
        <row r="841">
          <cell r="J841">
            <v>1904</v>
          </cell>
          <cell r="K841">
            <v>43235</v>
          </cell>
          <cell r="L841" t="str">
            <v>CAJA DE VIVIENDA POPULAR</v>
          </cell>
          <cell r="M841">
            <v>1</v>
          </cell>
          <cell r="N841" t="str">
            <v>RELACION DE AUTORIZACION</v>
          </cell>
          <cell r="O841">
            <v>33</v>
          </cell>
          <cell r="P841">
            <v>43235</v>
          </cell>
          <cell r="Q841" t="str">
            <v>PAGO DE MI PLANILLA SEGURIDAD SOCIAL Y PARAFISCALES DE LA PLANTA FIJA Y CONVENCIONADOS DE LA ENTIDAD DEL MES DE ABRIL DE 2018</v>
          </cell>
          <cell r="R841">
            <v>10474300</v>
          </cell>
          <cell r="S841">
            <v>0</v>
          </cell>
          <cell r="T841">
            <v>0</v>
          </cell>
          <cell r="U841">
            <v>10474300</v>
          </cell>
          <cell r="V841">
            <v>10474300</v>
          </cell>
        </row>
        <row r="842">
          <cell r="J842">
            <v>2017</v>
          </cell>
          <cell r="K842">
            <v>43266</v>
          </cell>
          <cell r="L842" t="str">
            <v>CAJA DE VIVIENDA POPULAR</v>
          </cell>
          <cell r="M842">
            <v>1</v>
          </cell>
          <cell r="N842" t="str">
            <v>RELACION DE AUTORIZACION</v>
          </cell>
          <cell r="O842">
            <v>42</v>
          </cell>
          <cell r="P842">
            <v>43266</v>
          </cell>
          <cell r="Q842" t="str">
            <v>PAGO DE MI PLANILLA SEGURIDAD SOCIAL Y PARAFISCALES DE LA PLANTA FIJA Y CONVENCIONADOS DE LA ENTIDAD DEL MES DE MAYO DE 2018</v>
          </cell>
          <cell r="R842">
            <v>10280500</v>
          </cell>
          <cell r="S842">
            <v>0</v>
          </cell>
          <cell r="T842">
            <v>0</v>
          </cell>
          <cell r="U842">
            <v>10280500</v>
          </cell>
          <cell r="V842">
            <v>10280500</v>
          </cell>
        </row>
        <row r="843">
          <cell r="J843">
            <v>2489</v>
          </cell>
          <cell r="K843">
            <v>43298</v>
          </cell>
          <cell r="L843" t="str">
            <v>CAJA DE VIVIENDA POPULAR</v>
          </cell>
          <cell r="M843">
            <v>1</v>
          </cell>
          <cell r="N843" t="str">
            <v>RELACION DE AUTORIZACION</v>
          </cell>
          <cell r="O843">
            <v>48</v>
          </cell>
          <cell r="P843">
            <v>43298</v>
          </cell>
          <cell r="Q843" t="str">
            <v>PAGO DE MI PLANILLA SEGURIDAD SOCIAL Y PARAFISCALES DE LA PLANTA FIJA Y CONVENCIONADOS DE LA ENTIDAD DEL MES DE JUNIO DE 2018</v>
          </cell>
          <cell r="R843">
            <v>22051700</v>
          </cell>
          <cell r="S843">
            <v>0</v>
          </cell>
          <cell r="T843">
            <v>0</v>
          </cell>
          <cell r="U843">
            <v>22051700</v>
          </cell>
          <cell r="V843">
            <v>22051700</v>
          </cell>
        </row>
        <row r="844">
          <cell r="J844">
            <v>2638</v>
          </cell>
          <cell r="K844">
            <v>43326</v>
          </cell>
          <cell r="L844" t="str">
            <v>CAJA DE VIVIENDA POPULAR</v>
          </cell>
          <cell r="M844">
            <v>1</v>
          </cell>
          <cell r="N844" t="str">
            <v>RELACION DE AUTORIZACION</v>
          </cell>
          <cell r="O844">
            <v>54</v>
          </cell>
          <cell r="P844">
            <v>43326</v>
          </cell>
          <cell r="Q844" t="str">
            <v>PAGO DE MI PLANILLA SEGURIDAD SOCIAL Y PARAFISCALES DE LA PLANTA FIJA Y CONVENCIONADOS DE LA ENTIDAD DEL MES DE JULIO DE 2018</v>
          </cell>
          <cell r="R844">
            <v>9768800</v>
          </cell>
          <cell r="S844">
            <v>0</v>
          </cell>
          <cell r="T844">
            <v>0</v>
          </cell>
          <cell r="U844">
            <v>9768800</v>
          </cell>
          <cell r="V844">
            <v>9768800</v>
          </cell>
        </row>
        <row r="845">
          <cell r="J845">
            <v>3</v>
          </cell>
          <cell r="K845">
            <v>43111</v>
          </cell>
          <cell r="L845" t="str">
            <v>CAJA DE VIVIENDA POPULAR</v>
          </cell>
          <cell r="M845">
            <v>1</v>
          </cell>
          <cell r="N845" t="str">
            <v>RELACION DE AUTORIZACION</v>
          </cell>
          <cell r="O845">
            <v>1</v>
          </cell>
          <cell r="P845">
            <v>43111</v>
          </cell>
          <cell r="Q845" t="str">
            <v>PAGO DE APORTES PATRONALES AL SECTOR PRIVADO Y  PÚBLICO DE FUNCIONARIOS DE PLANTA FIJA DE LA CAJA DE LA VIVIENDA POPULAR VIGENCIA MES DE DICIEMBRE 2017</v>
          </cell>
          <cell r="R845">
            <v>14197500</v>
          </cell>
          <cell r="S845">
            <v>0</v>
          </cell>
          <cell r="T845">
            <v>0</v>
          </cell>
          <cell r="U845">
            <v>14197500</v>
          </cell>
          <cell r="V845">
            <v>14197500</v>
          </cell>
        </row>
        <row r="846">
          <cell r="J846">
            <v>1019</v>
          </cell>
          <cell r="K846">
            <v>43140</v>
          </cell>
          <cell r="L846" t="str">
            <v>CAJA DE VIVIENDA POPULAR</v>
          </cell>
          <cell r="M846">
            <v>1</v>
          </cell>
          <cell r="N846" t="str">
            <v>RELACION DE AUTORIZACION</v>
          </cell>
          <cell r="O846">
            <v>12</v>
          </cell>
          <cell r="P846">
            <v>43140</v>
          </cell>
          <cell r="Q846" t="str">
            <v>PAGO DE MI PLANILLA SEGURIDAD SOCIAL Y PARAFISCALES DE LA PLANTA FIJA Y CONVENCIONADOS DE LA ENTIDAD DEL MES DE ENERO DE 2018</v>
          </cell>
          <cell r="R846">
            <v>6193700</v>
          </cell>
          <cell r="S846">
            <v>0</v>
          </cell>
          <cell r="T846">
            <v>0</v>
          </cell>
          <cell r="U846">
            <v>6193700</v>
          </cell>
          <cell r="V846">
            <v>6193700</v>
          </cell>
        </row>
        <row r="847">
          <cell r="J847">
            <v>1534</v>
          </cell>
          <cell r="K847">
            <v>43165</v>
          </cell>
          <cell r="L847" t="str">
            <v>CAJA DE VIVIENDA POPULAR</v>
          </cell>
          <cell r="M847">
            <v>1</v>
          </cell>
          <cell r="N847" t="str">
            <v>RELACION DE AUTORIZACION</v>
          </cell>
          <cell r="O847">
            <v>20</v>
          </cell>
          <cell r="P847">
            <v>43165</v>
          </cell>
          <cell r="Q847" t="str">
            <v>PAGO DE MI PLANILLA SEGURIDAD SOCIAL Y PARAFISCALES DE LA PLANTA FIJA Y CONVENCIONADOS DE LA ENTIDAD DEL MES DE FEBRERO DE 2018.</v>
          </cell>
          <cell r="R847">
            <v>6200800</v>
          </cell>
          <cell r="S847">
            <v>0</v>
          </cell>
          <cell r="T847">
            <v>0</v>
          </cell>
          <cell r="U847">
            <v>6200800</v>
          </cell>
          <cell r="V847">
            <v>6200800</v>
          </cell>
        </row>
        <row r="848">
          <cell r="J848">
            <v>1794</v>
          </cell>
          <cell r="K848">
            <v>43203</v>
          </cell>
          <cell r="L848" t="str">
            <v>CAJA DE VIVIENDA POPULAR</v>
          </cell>
          <cell r="M848">
            <v>1</v>
          </cell>
          <cell r="N848" t="str">
            <v>RELACION DE AUTORIZACION</v>
          </cell>
          <cell r="O848">
            <v>27</v>
          </cell>
          <cell r="P848">
            <v>43203</v>
          </cell>
          <cell r="Q848" t="str">
            <v>PAGO DE MI PLANILLA SEGURIDAD SOCIAL Y PARAFISCALES DE LA PLANTA FIJA Y CONVENCIONADOS DE LA ENTIDAD DEL MES DE MARZO DE 2018</v>
          </cell>
          <cell r="R848">
            <v>6426900</v>
          </cell>
          <cell r="S848">
            <v>0</v>
          </cell>
          <cell r="T848">
            <v>0</v>
          </cell>
          <cell r="U848">
            <v>6426900</v>
          </cell>
          <cell r="V848">
            <v>6426900</v>
          </cell>
        </row>
        <row r="849">
          <cell r="J849">
            <v>1904</v>
          </cell>
          <cell r="K849">
            <v>43235</v>
          </cell>
          <cell r="L849" t="str">
            <v>CAJA DE VIVIENDA POPULAR</v>
          </cell>
          <cell r="M849">
            <v>1</v>
          </cell>
          <cell r="N849" t="str">
            <v>RELACION DE AUTORIZACION</v>
          </cell>
          <cell r="O849">
            <v>33</v>
          </cell>
          <cell r="P849">
            <v>43235</v>
          </cell>
          <cell r="Q849" t="str">
            <v>PAGO DE MI PLANILLA SEGURIDAD SOCIAL Y PARAFISCALES DE LA PLANTA FIJA Y CONVENCIONADOS DE LA ENTIDAD DEL MES DE ABRIL DE 2018</v>
          </cell>
          <cell r="R849">
            <v>6984200</v>
          </cell>
          <cell r="S849">
            <v>0</v>
          </cell>
          <cell r="T849">
            <v>0</v>
          </cell>
          <cell r="U849">
            <v>6984200</v>
          </cell>
          <cell r="V849">
            <v>6984200</v>
          </cell>
        </row>
        <row r="850">
          <cell r="J850">
            <v>2017</v>
          </cell>
          <cell r="K850">
            <v>43266</v>
          </cell>
          <cell r="L850" t="str">
            <v>CAJA DE VIVIENDA POPULAR</v>
          </cell>
          <cell r="M850">
            <v>1</v>
          </cell>
          <cell r="N850" t="str">
            <v>RELACION DE AUTORIZACION</v>
          </cell>
          <cell r="O850">
            <v>42</v>
          </cell>
          <cell r="P850">
            <v>43266</v>
          </cell>
          <cell r="Q850" t="str">
            <v>PAGO DE MI PLANILLA SEGURIDAD SOCIAL Y PARAFISCALES DE LA PLANTA FIJA Y CONVENCIONADOS DE LA ENTIDAD DEL MES DE MAYO DE 2018</v>
          </cell>
          <cell r="R850">
            <v>6854900</v>
          </cell>
          <cell r="S850">
            <v>0</v>
          </cell>
          <cell r="T850">
            <v>0</v>
          </cell>
          <cell r="U850">
            <v>6854900</v>
          </cell>
          <cell r="V850">
            <v>6854900</v>
          </cell>
        </row>
        <row r="851">
          <cell r="J851">
            <v>2489</v>
          </cell>
          <cell r="K851">
            <v>43298</v>
          </cell>
          <cell r="L851" t="str">
            <v>CAJA DE VIVIENDA POPULAR</v>
          </cell>
          <cell r="M851">
            <v>1</v>
          </cell>
          <cell r="N851" t="str">
            <v>RELACION DE AUTORIZACION</v>
          </cell>
          <cell r="O851">
            <v>48</v>
          </cell>
          <cell r="P851">
            <v>43298</v>
          </cell>
          <cell r="Q851" t="str">
            <v>PAGO DE MI PLANILLA SEGURIDAD SOCIAL Y PARAFISCALES DE LA PLANTA FIJA Y CONVENCIONADOS DE LA ENTIDAD DEL MES DE JUNIO DE 2018</v>
          </cell>
          <cell r="R851">
            <v>14703100</v>
          </cell>
          <cell r="S851">
            <v>0</v>
          </cell>
          <cell r="T851">
            <v>0</v>
          </cell>
          <cell r="U851">
            <v>14703100</v>
          </cell>
          <cell r="V851">
            <v>14703100</v>
          </cell>
        </row>
        <row r="852">
          <cell r="J852">
            <v>2638</v>
          </cell>
          <cell r="K852">
            <v>43326</v>
          </cell>
          <cell r="L852" t="str">
            <v>CAJA DE VIVIENDA POPULAR</v>
          </cell>
          <cell r="M852">
            <v>1</v>
          </cell>
          <cell r="N852" t="str">
            <v>RELACION DE AUTORIZACION</v>
          </cell>
          <cell r="O852">
            <v>54</v>
          </cell>
          <cell r="P852">
            <v>43326</v>
          </cell>
          <cell r="Q852" t="str">
            <v>PAGO DE MI PLANILLA SEGURIDAD SOCIAL Y PARAFISCALES DE LA PLANTA FIJA Y CONVENCIONADOS DE LA ENTIDAD DEL MES DE JULIO DE 2018</v>
          </cell>
          <cell r="R852">
            <v>6513500</v>
          </cell>
          <cell r="S852">
            <v>0</v>
          </cell>
          <cell r="T852">
            <v>0</v>
          </cell>
          <cell r="U852">
            <v>6513500</v>
          </cell>
          <cell r="V852">
            <v>6513500</v>
          </cell>
        </row>
        <row r="853">
          <cell r="J853">
            <v>755</v>
          </cell>
          <cell r="K853">
            <v>43137</v>
          </cell>
          <cell r="L853" t="str">
            <v>CAJA DE VIVIENDA POPULAR</v>
          </cell>
          <cell r="M853">
            <v>1</v>
          </cell>
          <cell r="N853" t="str">
            <v>RELACION DE AUTORIZACION</v>
          </cell>
          <cell r="O853">
            <v>10</v>
          </cell>
          <cell r="P853">
            <v>43137</v>
          </cell>
          <cell r="Q853" t="str">
            <v>PAGO DE LAS CESANTIAS DEL AÑO 2017 DE LA PLANTA TEMPORAL PROYECTO 3075</v>
          </cell>
          <cell r="R853">
            <v>37008030</v>
          </cell>
          <cell r="S853">
            <v>0</v>
          </cell>
          <cell r="T853">
            <v>0</v>
          </cell>
          <cell r="U853">
            <v>37008030</v>
          </cell>
          <cell r="V853">
            <v>37008030</v>
          </cell>
        </row>
        <row r="854">
          <cell r="J854">
            <v>1022</v>
          </cell>
          <cell r="K854">
            <v>43140</v>
          </cell>
          <cell r="L854" t="str">
            <v>CAJA DE VIVIENDA POPULAR</v>
          </cell>
          <cell r="M854">
            <v>1</v>
          </cell>
          <cell r="N854" t="str">
            <v>RELACION DE AUTORIZACION</v>
          </cell>
          <cell r="O854">
            <v>13</v>
          </cell>
          <cell r="P854">
            <v>43140</v>
          </cell>
          <cell r="Q854" t="str">
            <v>PAGO DE MI PLANILLA SEGURIDAD SOCIAL Y PARAFISCALES DE LA PLANTA TEMPORAL DE LA ENTIDAD DEL MES DE ENERO DE 2018 PROYECTO 3075</v>
          </cell>
          <cell r="R854">
            <v>40872400</v>
          </cell>
          <cell r="S854">
            <v>0</v>
          </cell>
          <cell r="T854">
            <v>0</v>
          </cell>
          <cell r="U854">
            <v>40872400</v>
          </cell>
          <cell r="V854">
            <v>40872400</v>
          </cell>
        </row>
        <row r="855">
          <cell r="J855">
            <v>1240</v>
          </cell>
          <cell r="K855">
            <v>43144</v>
          </cell>
          <cell r="L855" t="str">
            <v>CAJA DE VIVIENDA POPULAR</v>
          </cell>
          <cell r="M855">
            <v>1</v>
          </cell>
          <cell r="N855" t="str">
            <v>RELACION DE AUTORIZACION</v>
          </cell>
          <cell r="O855">
            <v>15</v>
          </cell>
          <cell r="P855">
            <v>43144</v>
          </cell>
          <cell r="Q855" t="str">
            <v>PAGO DE PARAFISCALES DE EXFUNCIONARIOS DE PLANTA TEMPORAL DE LA DIRECCIÓN DE REASENTAMIENTOS DE LA CAJA DE LA VIVIENDA POPULAR "</v>
          </cell>
          <cell r="R855">
            <v>2023800</v>
          </cell>
          <cell r="S855">
            <v>0</v>
          </cell>
          <cell r="T855">
            <v>0</v>
          </cell>
          <cell r="U855">
            <v>2023800</v>
          </cell>
          <cell r="V855">
            <v>2023800</v>
          </cell>
        </row>
        <row r="856">
          <cell r="J856">
            <v>1391</v>
          </cell>
          <cell r="K856">
            <v>43151</v>
          </cell>
          <cell r="L856" t="str">
            <v>CAJA DE VIVIENDA POPULAR</v>
          </cell>
          <cell r="M856">
            <v>1</v>
          </cell>
          <cell r="N856" t="str">
            <v>RELACION DE AUTORIZACION</v>
          </cell>
          <cell r="O856">
            <v>17</v>
          </cell>
          <cell r="P856">
            <v>43151</v>
          </cell>
          <cell r="Q856" t="str">
            <v>PAGO DE NOMINA DEL MES DE FEBRERO DE 2018 DE LA PLANTA TEMPORAL PROYECTO 3075</v>
          </cell>
          <cell r="R856">
            <v>109439448</v>
          </cell>
          <cell r="S856">
            <v>0</v>
          </cell>
          <cell r="T856">
            <v>0</v>
          </cell>
          <cell r="U856">
            <v>109439448</v>
          </cell>
          <cell r="V856">
            <v>109439448</v>
          </cell>
        </row>
        <row r="857">
          <cell r="J857">
            <v>1535</v>
          </cell>
          <cell r="K857">
            <v>43165</v>
          </cell>
          <cell r="L857" t="str">
            <v>CAJA DE VIVIENDA POPULAR</v>
          </cell>
          <cell r="M857">
            <v>1</v>
          </cell>
          <cell r="N857" t="str">
            <v>RELACION DE AUTORIZACION</v>
          </cell>
          <cell r="O857">
            <v>22</v>
          </cell>
          <cell r="P857">
            <v>43165</v>
          </cell>
          <cell r="Q857" t="str">
            <v>PAGO DE MI PLANILLA SEGURIDAD SOCIAL Y PARAFISCALES DE LA PLANTA TEMPORAL DE LA ENTIDAD DEL MES DE FEBRERO DE 2018 PROYECTO 3075</v>
          </cell>
          <cell r="R857">
            <v>32883000</v>
          </cell>
          <cell r="S857">
            <v>0</v>
          </cell>
          <cell r="T857">
            <v>0</v>
          </cell>
          <cell r="U857">
            <v>32883000</v>
          </cell>
          <cell r="V857">
            <v>32883000</v>
          </cell>
        </row>
        <row r="858">
          <cell r="J858">
            <v>1605</v>
          </cell>
          <cell r="K858">
            <v>43180</v>
          </cell>
          <cell r="L858" t="str">
            <v>CAJA DE VIVIENDA POPULAR</v>
          </cell>
          <cell r="M858">
            <v>1</v>
          </cell>
          <cell r="N858" t="str">
            <v>RELACION DE AUTORIZACION</v>
          </cell>
          <cell r="O858">
            <v>25</v>
          </cell>
          <cell r="P858">
            <v>43180</v>
          </cell>
          <cell r="Q858" t="str">
            <v>PAGO DE NÓMINA FUNCIONARIOS DE PLANTA TEMPORAL DE LA DIRECCIÓN DE REASENTAMIENTOS DE LA CAJA DE LA VIVIENDA POPULAR MES DE MARZO 2018"</v>
          </cell>
          <cell r="R858">
            <v>136345033</v>
          </cell>
          <cell r="S858">
            <v>0</v>
          </cell>
          <cell r="T858">
            <v>0</v>
          </cell>
          <cell r="U858">
            <v>136345033</v>
          </cell>
          <cell r="V858">
            <v>136345033</v>
          </cell>
        </row>
        <row r="859">
          <cell r="J859">
            <v>1798</v>
          </cell>
          <cell r="K859">
            <v>43203</v>
          </cell>
          <cell r="L859" t="str">
            <v>CAJA DE VIVIENDA POPULAR</v>
          </cell>
          <cell r="M859">
            <v>1</v>
          </cell>
          <cell r="N859" t="str">
            <v>RELACION DE AUTORIZACION</v>
          </cell>
          <cell r="O859">
            <v>28</v>
          </cell>
          <cell r="P859">
            <v>43203</v>
          </cell>
          <cell r="Q859" t="str">
            <v>PAGO DE SEGURIDAD SOCIAL Y PARAFISCALES DE FUNCIONARIOS DE PLANTA TEMPORAL DE LA DIRECCIÓN DE REASENTAMIENTOS DE LA CAJA DE LA VIVIENDA POPULAR  MES MARZO DE 2018"</v>
          </cell>
          <cell r="R859">
            <v>35468800</v>
          </cell>
          <cell r="S859">
            <v>0</v>
          </cell>
          <cell r="T859">
            <v>0</v>
          </cell>
          <cell r="U859">
            <v>35468800</v>
          </cell>
          <cell r="V859">
            <v>35468800</v>
          </cell>
        </row>
        <row r="860">
          <cell r="J860">
            <v>1836</v>
          </cell>
          <cell r="K860">
            <v>43213</v>
          </cell>
          <cell r="L860" t="str">
            <v>CAJA DE VIVIENDA POPULAR</v>
          </cell>
          <cell r="M860">
            <v>1</v>
          </cell>
          <cell r="N860" t="str">
            <v>RELACION DE AUTORIZACION</v>
          </cell>
          <cell r="O860">
            <v>31</v>
          </cell>
          <cell r="P860">
            <v>43213</v>
          </cell>
          <cell r="Q860" t="str">
            <v>PAGO DE NÓMINA DEL MES DE ABRIL 2018 DE LA PLANTA TEMPORAL, PROYECTO 3075"</v>
          </cell>
          <cell r="R860">
            <v>112968667</v>
          </cell>
          <cell r="S860">
            <v>0</v>
          </cell>
          <cell r="T860">
            <v>0</v>
          </cell>
          <cell r="U860">
            <v>112968667</v>
          </cell>
          <cell r="V860">
            <v>112968667</v>
          </cell>
        </row>
        <row r="861">
          <cell r="J861">
            <v>1901</v>
          </cell>
          <cell r="K861">
            <v>43235</v>
          </cell>
          <cell r="L861" t="str">
            <v>CAJA DE VIVIENDA POPULAR</v>
          </cell>
          <cell r="M861">
            <v>1</v>
          </cell>
          <cell r="N861" t="str">
            <v>RELACION DE AUTORIZACION</v>
          </cell>
          <cell r="O861">
            <v>34</v>
          </cell>
          <cell r="P861">
            <v>43235</v>
          </cell>
          <cell r="Q861" t="str">
            <v>PAGO DE  MI PLANILLA SEGURIDAD SOCIAL Y PARAFISCALES  DE FUNCIONARIOS DE PLANTA TEMPORAL DE LA DIRECCIÓN DE REASENTAMIENTOS DE LA CAJA DE LA VIVIENDA POPULAR "</v>
          </cell>
          <cell r="R861">
            <v>34694800</v>
          </cell>
          <cell r="S861">
            <v>0</v>
          </cell>
          <cell r="T861">
            <v>0</v>
          </cell>
          <cell r="U861">
            <v>34694800</v>
          </cell>
          <cell r="V861">
            <v>34694800</v>
          </cell>
        </row>
        <row r="862">
          <cell r="J862">
            <v>1945</v>
          </cell>
          <cell r="K862">
            <v>43243</v>
          </cell>
          <cell r="L862" t="str">
            <v>CAJA DE VIVIENDA POPULAR</v>
          </cell>
          <cell r="M862">
            <v>1</v>
          </cell>
          <cell r="N862" t="str">
            <v>RELACION DE AUTORIZACION</v>
          </cell>
          <cell r="O862">
            <v>37</v>
          </cell>
          <cell r="P862">
            <v>43243</v>
          </cell>
          <cell r="Q862" t="str">
            <v>PAGO DE NÓMINA DE FUNCIONARIOS DE PLANTA TEMPORAL DE LA DIRECCIÓN DE REASENTAMIENTOS DE LA CAJA DE LA VIVIENDA POPULAR MES MAYO DE 2018"</v>
          </cell>
          <cell r="R862">
            <v>139936994</v>
          </cell>
          <cell r="S862">
            <v>0</v>
          </cell>
          <cell r="T862">
            <v>0</v>
          </cell>
          <cell r="U862">
            <v>139936994</v>
          </cell>
          <cell r="V862">
            <v>139936994</v>
          </cell>
        </row>
        <row r="863">
          <cell r="J863">
            <v>1979</v>
          </cell>
          <cell r="K863">
            <v>43252</v>
          </cell>
          <cell r="L863" t="str">
            <v>CAJA DE VIVIENDA POPULAR</v>
          </cell>
          <cell r="M863">
            <v>1</v>
          </cell>
          <cell r="N863" t="str">
            <v>RELACION DE AUTORIZACION</v>
          </cell>
          <cell r="O863">
            <v>40</v>
          </cell>
          <cell r="P863">
            <v>43252</v>
          </cell>
          <cell r="Q863" t="str">
            <v>PAGO DE LA PRIMA SE SERVICIOS 2018  FUNCIONARIOS DE PLANTA TEMPORAL DE LA DIRECCIÓN DE REASENTAMIENTOS DE LA CAJA DE LA VIVIENDA POPULAR "</v>
          </cell>
          <cell r="R863">
            <v>147544748</v>
          </cell>
          <cell r="S863">
            <v>0</v>
          </cell>
          <cell r="T863">
            <v>0</v>
          </cell>
          <cell r="U863">
            <v>147544748</v>
          </cell>
          <cell r="V863">
            <v>147544748</v>
          </cell>
        </row>
        <row r="864">
          <cell r="J864">
            <v>2018</v>
          </cell>
          <cell r="K864">
            <v>43266</v>
          </cell>
          <cell r="L864" t="str">
            <v>CAJA DE VIVIENDA POPULAR</v>
          </cell>
          <cell r="M864">
            <v>1</v>
          </cell>
          <cell r="N864" t="str">
            <v>RELACION DE AUTORIZACION</v>
          </cell>
          <cell r="O864">
            <v>43</v>
          </cell>
          <cell r="P864">
            <v>43266</v>
          </cell>
          <cell r="Q864" t="str">
            <v>PAGO DE MI PLANILLA SEGURIDAD SOCIAL Y PARAFOSCALES  FUNCIONARIOS DE PLANTA TEMPORAL DE LA DIRECCIÓN DE REASENTAMIENTOS DE LA CAJA DE LA VIVIENDA POPULAR MES DE MAYO DE 2018"</v>
          </cell>
          <cell r="R864">
            <v>35637500</v>
          </cell>
          <cell r="S864">
            <v>0</v>
          </cell>
          <cell r="T864">
            <v>0</v>
          </cell>
          <cell r="U864">
            <v>35637500</v>
          </cell>
          <cell r="V864">
            <v>35637500</v>
          </cell>
        </row>
        <row r="865">
          <cell r="J865">
            <v>2048</v>
          </cell>
          <cell r="K865">
            <v>43271</v>
          </cell>
          <cell r="L865" t="str">
            <v>CAJA DE VIVIENDA POPULAR</v>
          </cell>
          <cell r="M865">
            <v>1</v>
          </cell>
          <cell r="N865" t="str">
            <v>RELACION DE AUTORIZACION</v>
          </cell>
          <cell r="O865">
            <v>46</v>
          </cell>
          <cell r="P865">
            <v>43271</v>
          </cell>
          <cell r="Q865" t="str">
            <v>PAGO DE NÓMIN DEL MES DE JUNIO 2018 PLANTA TEMPORAL, PROYECTO 3075</v>
          </cell>
          <cell r="R865">
            <v>111929375</v>
          </cell>
          <cell r="S865">
            <v>0</v>
          </cell>
          <cell r="T865">
            <v>0</v>
          </cell>
          <cell r="U865">
            <v>111929375</v>
          </cell>
          <cell r="V865">
            <v>111929375</v>
          </cell>
        </row>
        <row r="866">
          <cell r="J866">
            <v>2490</v>
          </cell>
          <cell r="K866">
            <v>43298</v>
          </cell>
          <cell r="L866" t="str">
            <v>CAJA DE VIVIENDA POPULAR</v>
          </cell>
          <cell r="M866">
            <v>1</v>
          </cell>
          <cell r="N866" t="str">
            <v>RELACION DE AUTORIZACION</v>
          </cell>
          <cell r="O866">
            <v>49</v>
          </cell>
          <cell r="P866">
            <v>43298</v>
          </cell>
          <cell r="Q866" t="str">
            <v>PAGO DE MI PLANILLA SEGURIDAD SOCIAL Y PARAFISCALES DE LA PLANTA TEMPORAL DE LA ENTIDAD DEL MES DE JUNIO DE 2018 PROYECTO 3075</v>
          </cell>
          <cell r="R866">
            <v>48170800</v>
          </cell>
          <cell r="S866">
            <v>0</v>
          </cell>
          <cell r="T866">
            <v>0</v>
          </cell>
          <cell r="U866">
            <v>48170800</v>
          </cell>
          <cell r="V866">
            <v>48170800</v>
          </cell>
        </row>
        <row r="867">
          <cell r="J867">
            <v>2525</v>
          </cell>
          <cell r="K867">
            <v>43305</v>
          </cell>
          <cell r="L867" t="str">
            <v>CAJA DE VIVIENDA POPULAR</v>
          </cell>
          <cell r="M867">
            <v>1</v>
          </cell>
          <cell r="N867" t="str">
            <v>RELACION DE AUTORIZACION</v>
          </cell>
          <cell r="O867">
            <v>52</v>
          </cell>
          <cell r="P867">
            <v>43305</v>
          </cell>
          <cell r="Q867" t="str">
            <v>PAGO DE NÓMINA A FUNCIONARIOS DE PLANTA TEMPORAL DE LA DIRECCIÓN DE REASENTAMIENTOS DE LA CAJA DE LA VIVIENDA POPULAR MES DE JULIO DE 2018"</v>
          </cell>
          <cell r="R867">
            <v>130000766</v>
          </cell>
          <cell r="S867">
            <v>0</v>
          </cell>
          <cell r="T867">
            <v>0</v>
          </cell>
          <cell r="U867">
            <v>130000766</v>
          </cell>
          <cell r="V867">
            <v>130000766</v>
          </cell>
        </row>
        <row r="868">
          <cell r="J868">
            <v>2640</v>
          </cell>
          <cell r="K868">
            <v>43326</v>
          </cell>
          <cell r="L868" t="str">
            <v>CAJA DE VIVIENDA POPULAR</v>
          </cell>
          <cell r="M868">
            <v>1</v>
          </cell>
          <cell r="N868" t="str">
            <v>RELACION DE AUTORIZACION</v>
          </cell>
          <cell r="O868">
            <v>55</v>
          </cell>
          <cell r="P868">
            <v>43326</v>
          </cell>
          <cell r="Q868" t="str">
            <v>PAGO DE MI PLANILLA SEGURIDAD SOCIAL Y PARAFISCALES  DE FUNCIONARIOS DE PLANTA TEMPORAL DE LA DIRECCIÓN DE REASENTAMIENTOS DE LA CAJA DE LA VIVIENDA POPULAR MES DE JULIO DE 2018"</v>
          </cell>
          <cell r="R868">
            <v>35375700</v>
          </cell>
          <cell r="S868">
            <v>0</v>
          </cell>
          <cell r="T868">
            <v>0</v>
          </cell>
          <cell r="U868">
            <v>35375700</v>
          </cell>
          <cell r="V868">
            <v>35375700</v>
          </cell>
        </row>
        <row r="869">
          <cell r="J869">
            <v>2733</v>
          </cell>
          <cell r="K869">
            <v>43336</v>
          </cell>
          <cell r="L869" t="str">
            <v>CAJA DE VIVIENDA POPULAR</v>
          </cell>
          <cell r="M869">
            <v>1</v>
          </cell>
          <cell r="N869" t="str">
            <v>RELACION DE AUTORIZACION</v>
          </cell>
          <cell r="O869">
            <v>58</v>
          </cell>
          <cell r="P869">
            <v>43336</v>
          </cell>
          <cell r="Q869" t="str">
            <v>PAGO  DE NÓMINA DEL MES DE AGOSTO 2018 DE LA PLANTA TEMPORAL, PROYECTO 3075</v>
          </cell>
          <cell r="R869">
            <v>104136800</v>
          </cell>
          <cell r="S869">
            <v>0</v>
          </cell>
          <cell r="T869">
            <v>0</v>
          </cell>
          <cell r="U869">
            <v>104136800</v>
          </cell>
          <cell r="V869">
            <v>104136800</v>
          </cell>
        </row>
        <row r="870">
          <cell r="J870">
            <v>1608</v>
          </cell>
          <cell r="K870">
            <v>43180</v>
          </cell>
          <cell r="L870" t="str">
            <v>CAJA DE VIVIENDA POPULAR</v>
          </cell>
          <cell r="M870">
            <v>1</v>
          </cell>
          <cell r="N870" t="str">
            <v>RELACION DE AUTORIZACION</v>
          </cell>
          <cell r="O870">
            <v>25</v>
          </cell>
          <cell r="P870">
            <v>43180</v>
          </cell>
          <cell r="Q870" t="str">
            <v>PAGO DE NOMINA A FUNCIONARIOS DE PLANTA TEMPORAL DE LA DIRECCION DE MEJORAMIENTO DE BARRIOS MES DE MARZO DE 2018</v>
          </cell>
          <cell r="R870">
            <v>17659299</v>
          </cell>
          <cell r="S870">
            <v>0</v>
          </cell>
          <cell r="T870">
            <v>0</v>
          </cell>
          <cell r="U870">
            <v>17659299</v>
          </cell>
          <cell r="V870">
            <v>17659299</v>
          </cell>
        </row>
        <row r="871">
          <cell r="J871">
            <v>1800</v>
          </cell>
          <cell r="K871">
            <v>43203</v>
          </cell>
          <cell r="L871" t="str">
            <v>CAJA DE VIVIENDA POPULAR</v>
          </cell>
          <cell r="M871">
            <v>1</v>
          </cell>
          <cell r="N871" t="str">
            <v>RELACION DE AUTORIZACION</v>
          </cell>
          <cell r="O871">
            <v>28</v>
          </cell>
          <cell r="P871">
            <v>43203</v>
          </cell>
          <cell r="Q871" t="str">
            <v>PPAGO DE SEGURIDAD SOCIAL Y PARAFISCALES DE FUNCIONARIOS DEPLANTA TEMPORAL DE LA DIRECCION DE MEJORAMIENTO DE BARRIOS MES DE MARZO 2018</v>
          </cell>
          <cell r="R871">
            <v>6036900</v>
          </cell>
          <cell r="S871">
            <v>0</v>
          </cell>
          <cell r="T871">
            <v>0</v>
          </cell>
          <cell r="U871">
            <v>6036900</v>
          </cell>
          <cell r="V871">
            <v>6036900</v>
          </cell>
        </row>
        <row r="872">
          <cell r="J872">
            <v>1837</v>
          </cell>
          <cell r="K872">
            <v>43213</v>
          </cell>
          <cell r="L872" t="str">
            <v>CAJA DE VIVIENDA POPULAR</v>
          </cell>
          <cell r="M872">
            <v>1</v>
          </cell>
          <cell r="N872" t="str">
            <v>RELACION DE AUTORIZACION</v>
          </cell>
          <cell r="O872">
            <v>31</v>
          </cell>
          <cell r="P872">
            <v>43213</v>
          </cell>
          <cell r="Q872" t="str">
            <v>PAGO DE NOMINA DEL MES DE ABRIL DE 2018 DE LA PLANTA TEMPORAL, PROYECTO 208</v>
          </cell>
          <cell r="R872">
            <v>23291350</v>
          </cell>
          <cell r="S872">
            <v>0</v>
          </cell>
          <cell r="T872">
            <v>0</v>
          </cell>
          <cell r="U872">
            <v>23291350</v>
          </cell>
          <cell r="V872">
            <v>23291350</v>
          </cell>
        </row>
        <row r="873">
          <cell r="J873">
            <v>1902</v>
          </cell>
          <cell r="K873">
            <v>43235</v>
          </cell>
          <cell r="L873" t="str">
            <v>CAJA DE VIVIENDA POPULAR</v>
          </cell>
          <cell r="M873">
            <v>1</v>
          </cell>
          <cell r="N873" t="str">
            <v>RELACION DE AUTORIZACION</v>
          </cell>
          <cell r="O873">
            <v>34</v>
          </cell>
          <cell r="P873">
            <v>43235</v>
          </cell>
          <cell r="Q873" t="str">
            <v>PAGO DE  MI PLANILLA SEGURIDAD SOCIAL Y PARAFISCALES DE FUNCIONARIOS DE PLANTA TEMPORAL DE LA DIRECCION DE MEJORAMIENTO DE BARRIOS MES DE ABRIL 2018</v>
          </cell>
          <cell r="R873">
            <v>6280800</v>
          </cell>
          <cell r="S873">
            <v>0</v>
          </cell>
          <cell r="T873">
            <v>0</v>
          </cell>
          <cell r="U873">
            <v>6280800</v>
          </cell>
          <cell r="V873">
            <v>6280800</v>
          </cell>
        </row>
        <row r="874">
          <cell r="J874">
            <v>1946</v>
          </cell>
          <cell r="K874">
            <v>43243</v>
          </cell>
          <cell r="L874" t="str">
            <v>CAJA DE VIVIENDA POPULAR</v>
          </cell>
          <cell r="M874">
            <v>1</v>
          </cell>
          <cell r="N874" t="str">
            <v>RELACION DE AUTORIZACION</v>
          </cell>
          <cell r="O874">
            <v>37</v>
          </cell>
          <cell r="P874">
            <v>43243</v>
          </cell>
          <cell r="Q874" t="str">
            <v>PAGO DE NOMINA DE FUNCIONARIOS DE PLANTA TEMPORAL DE LA DIRECCION DE MEJORAMIENTO DE BARRIOS MES MAYO DE 2018</v>
          </cell>
          <cell r="R874">
            <v>24494278</v>
          </cell>
          <cell r="S874">
            <v>0</v>
          </cell>
          <cell r="T874">
            <v>0</v>
          </cell>
          <cell r="U874">
            <v>24494278</v>
          </cell>
          <cell r="V874">
            <v>24494278</v>
          </cell>
        </row>
        <row r="875">
          <cell r="J875">
            <v>1978</v>
          </cell>
          <cell r="K875">
            <v>43252</v>
          </cell>
          <cell r="L875" t="str">
            <v>CAJA DE VIVIENDA POPULAR</v>
          </cell>
          <cell r="M875">
            <v>1</v>
          </cell>
          <cell r="N875" t="str">
            <v>RELACION DE AUTORIZACION</v>
          </cell>
          <cell r="O875">
            <v>40</v>
          </cell>
          <cell r="P875">
            <v>43221</v>
          </cell>
          <cell r="Q875" t="str">
            <v>PAGO DE LA PRIMA SE SERVICIOS 2018 FUNCIONARIOS DE PLANTA TEMPORAL DE LA DIRECCION DE MEJORAMIENTO DE BARRIOS</v>
          </cell>
          <cell r="R875">
            <v>22594833</v>
          </cell>
          <cell r="S875">
            <v>0</v>
          </cell>
          <cell r="T875">
            <v>0</v>
          </cell>
          <cell r="U875">
            <v>22594833</v>
          </cell>
          <cell r="V875">
            <v>22594833</v>
          </cell>
        </row>
        <row r="876">
          <cell r="J876">
            <v>2020</v>
          </cell>
          <cell r="K876">
            <v>43266</v>
          </cell>
          <cell r="L876" t="str">
            <v>CAJA DE VIVIENDA POPULAR</v>
          </cell>
          <cell r="M876">
            <v>1</v>
          </cell>
          <cell r="N876" t="str">
            <v>RELACION DE AUTORIZACION</v>
          </cell>
          <cell r="O876">
            <v>43</v>
          </cell>
          <cell r="P876">
            <v>43266</v>
          </cell>
          <cell r="Q876" t="str">
            <v>PAGO DE MI PLANILLA SEGURIDAD SOCIAL Y PARAFISCALES A FUNCIONARIOS DE PLANTA TEMPORAL DE LA DIRECCION DE MEJORAMIENTO DE BARRIOS MES MAYO 2018</v>
          </cell>
          <cell r="R876">
            <v>6483100</v>
          </cell>
          <cell r="S876">
            <v>0</v>
          </cell>
          <cell r="T876">
            <v>0</v>
          </cell>
          <cell r="U876">
            <v>6483100</v>
          </cell>
          <cell r="V876">
            <v>6483100</v>
          </cell>
        </row>
        <row r="877">
          <cell r="J877">
            <v>2050</v>
          </cell>
          <cell r="K877">
            <v>43271</v>
          </cell>
          <cell r="L877" t="str">
            <v>CAJA DE VIVIENDA POPULAR</v>
          </cell>
          <cell r="M877">
            <v>1</v>
          </cell>
          <cell r="N877" t="str">
            <v>RELACION DE AUTORIZACION</v>
          </cell>
          <cell r="O877">
            <v>46</v>
          </cell>
          <cell r="P877">
            <v>43271</v>
          </cell>
          <cell r="Q877" t="str">
            <v>PAGO DE NÓMIN DEL MES DE JUNIO 2018 PLANTA TEMPORAL, PROYECTO 208</v>
          </cell>
          <cell r="R877">
            <v>14000069</v>
          </cell>
          <cell r="S877">
            <v>0</v>
          </cell>
          <cell r="T877">
            <v>0</v>
          </cell>
          <cell r="U877">
            <v>14000069</v>
          </cell>
          <cell r="V877">
            <v>14000069</v>
          </cell>
        </row>
        <row r="878">
          <cell r="J878">
            <v>2492</v>
          </cell>
          <cell r="K878">
            <v>43298</v>
          </cell>
          <cell r="L878" t="str">
            <v>CAJA DE VIVIENDA POPULAR</v>
          </cell>
          <cell r="M878">
            <v>1</v>
          </cell>
          <cell r="N878" t="str">
            <v>RELACION DE AUTORIZACION</v>
          </cell>
          <cell r="O878">
            <v>49</v>
          </cell>
          <cell r="P878">
            <v>43298</v>
          </cell>
          <cell r="Q878" t="str">
            <v>PAGO DE MI PLANILLA SEGURIDAD SOCIAL Y PARAFISCALES DE LA PLANTA TEMPORAL DE LA ENTIDAD DEL MES DE JUNIO DE 2018. PROYECTO 208</v>
          </cell>
          <cell r="R878">
            <v>7935400</v>
          </cell>
          <cell r="S878">
            <v>0</v>
          </cell>
          <cell r="T878">
            <v>0</v>
          </cell>
          <cell r="U878">
            <v>7935400</v>
          </cell>
          <cell r="V878">
            <v>7935400</v>
          </cell>
        </row>
        <row r="879">
          <cell r="J879">
            <v>2526</v>
          </cell>
          <cell r="K879">
            <v>43305</v>
          </cell>
          <cell r="L879" t="str">
            <v>CAJA DE VIVIENDA POPULAR</v>
          </cell>
          <cell r="M879">
            <v>1</v>
          </cell>
          <cell r="N879" t="str">
            <v>RELACION DE AUTORIZACION</v>
          </cell>
          <cell r="O879">
            <v>52</v>
          </cell>
          <cell r="P879">
            <v>43305</v>
          </cell>
          <cell r="Q879" t="str">
            <v>PAGO DE NÓMINA A FUNCIONARIOS DE PLANTA TEMPORAL DE LA DIRECCION DE MEJORAMIENTO DE BARRIOS MES DE JULIO DE 2018</v>
          </cell>
          <cell r="R879">
            <v>24949340</v>
          </cell>
          <cell r="S879">
            <v>0</v>
          </cell>
          <cell r="T879">
            <v>0</v>
          </cell>
          <cell r="U879">
            <v>24949340</v>
          </cell>
          <cell r="V879">
            <v>24949340</v>
          </cell>
        </row>
        <row r="880">
          <cell r="J880">
            <v>2644</v>
          </cell>
          <cell r="K880">
            <v>43326</v>
          </cell>
          <cell r="L880" t="str">
            <v>CAJA DE VIVIENDA POPULAR</v>
          </cell>
          <cell r="M880">
            <v>1</v>
          </cell>
          <cell r="N880" t="str">
            <v>RELACION DE AUTORIZACION</v>
          </cell>
          <cell r="O880">
            <v>55</v>
          </cell>
          <cell r="P880">
            <v>43326</v>
          </cell>
          <cell r="Q880" t="str">
            <v>PAGO DE MI PLANILLA SEGURIDAD SOCIAL Y PARAFISCALES DE FUNCIONARIOS DE PLANTA TEMPORAL DE LA DIRECCION DE MEJORAMIENTO DE BARRIOS MES DE JULIO 2018</v>
          </cell>
          <cell r="R880">
            <v>6815800</v>
          </cell>
          <cell r="S880">
            <v>0</v>
          </cell>
          <cell r="T880">
            <v>0</v>
          </cell>
          <cell r="U880">
            <v>6815800</v>
          </cell>
          <cell r="V880">
            <v>6815800</v>
          </cell>
        </row>
        <row r="881">
          <cell r="J881">
            <v>2734</v>
          </cell>
          <cell r="K881">
            <v>43336</v>
          </cell>
          <cell r="L881" t="str">
            <v>CAJA DE VIVIENDA POPULAR</v>
          </cell>
          <cell r="M881">
            <v>1</v>
          </cell>
          <cell r="N881" t="str">
            <v>RELACION DE AUTORIZACION</v>
          </cell>
          <cell r="O881">
            <v>58</v>
          </cell>
          <cell r="P881">
            <v>43336</v>
          </cell>
          <cell r="Q881" t="str">
            <v>PAGO DE NOMINA DEL MES DE AGOSTO DE 2018 DE LA PLANTA TEMPORAL, PROYECTO 208</v>
          </cell>
          <cell r="R881">
            <v>14211872</v>
          </cell>
          <cell r="S881">
            <v>0</v>
          </cell>
          <cell r="T881">
            <v>0</v>
          </cell>
          <cell r="U881">
            <v>14211872</v>
          </cell>
          <cell r="V881">
            <v>14211872</v>
          </cell>
        </row>
        <row r="882">
          <cell r="J882">
            <v>1390</v>
          </cell>
          <cell r="K882">
            <v>43151</v>
          </cell>
          <cell r="L882" t="str">
            <v>CAJA DE VIVIENDA POPULAR</v>
          </cell>
          <cell r="M882">
            <v>1</v>
          </cell>
          <cell r="N882" t="str">
            <v>RELACION DE AUTORIZACION</v>
          </cell>
          <cell r="O882">
            <v>17</v>
          </cell>
          <cell r="P882">
            <v>43151</v>
          </cell>
          <cell r="Q882" t="str">
            <v>PAGO DE NOMINA DEL MES DE FEBRERO DE 2018 DE LA PLANTA TEMPORAL PROYECTO 471</v>
          </cell>
          <cell r="R882">
            <v>43840647</v>
          </cell>
          <cell r="S882">
            <v>0</v>
          </cell>
          <cell r="T882">
            <v>0</v>
          </cell>
          <cell r="U882">
            <v>43840647</v>
          </cell>
          <cell r="V882">
            <v>43840647</v>
          </cell>
        </row>
        <row r="883">
          <cell r="J883">
            <v>1533</v>
          </cell>
          <cell r="K883">
            <v>43165</v>
          </cell>
          <cell r="L883" t="str">
            <v>CAJA DE VIVIENDA POPULAR</v>
          </cell>
          <cell r="M883">
            <v>1</v>
          </cell>
          <cell r="N883" t="str">
            <v>RELACION DE AUTORIZACION</v>
          </cell>
          <cell r="O883">
            <v>22</v>
          </cell>
          <cell r="P883">
            <v>43165</v>
          </cell>
          <cell r="Q883" t="str">
            <v>PAGO DE MI PLANILLA SEGURIDAD SOCIAL Y PARAFISCALES DE LA PLANTA TEMPORAL DE LA ENTIDAD DEL MES DE FEBRERO DE 2018 PROYECTO 471</v>
          </cell>
          <cell r="R883">
            <v>20170300</v>
          </cell>
          <cell r="S883">
            <v>0</v>
          </cell>
          <cell r="T883">
            <v>0</v>
          </cell>
          <cell r="U883">
            <v>20170300</v>
          </cell>
          <cell r="V883">
            <v>20170300</v>
          </cell>
        </row>
        <row r="884">
          <cell r="J884">
            <v>1606</v>
          </cell>
          <cell r="K884">
            <v>43180</v>
          </cell>
          <cell r="L884" t="str">
            <v>CAJA DE VIVIENDA POPULAR</v>
          </cell>
          <cell r="M884">
            <v>1</v>
          </cell>
          <cell r="N884" t="str">
            <v>RELACION DE AUTORIZACION</v>
          </cell>
          <cell r="O884">
            <v>25</v>
          </cell>
          <cell r="P884">
            <v>43180</v>
          </cell>
          <cell r="Q884" t="str">
            <v>PAGO DE NOMINA A FUNCIONARIOS DE PLANTA TEMPORAL DE LA DIRECCIÓN DE URBANIZACIONES Y TITULACIÓN MES DE MARZO DE 2018</v>
          </cell>
          <cell r="R884">
            <v>69893901</v>
          </cell>
          <cell r="S884">
            <v>0</v>
          </cell>
          <cell r="T884">
            <v>0</v>
          </cell>
          <cell r="U884">
            <v>69893901</v>
          </cell>
          <cell r="V884">
            <v>69893901</v>
          </cell>
        </row>
        <row r="885">
          <cell r="J885">
            <v>1801</v>
          </cell>
          <cell r="K885">
            <v>43203</v>
          </cell>
          <cell r="L885" t="str">
            <v>CAJA DE VIVIENDA POPULAR</v>
          </cell>
          <cell r="M885">
            <v>1</v>
          </cell>
          <cell r="N885" t="str">
            <v>RELACION DE AUTORIZACION</v>
          </cell>
          <cell r="O885">
            <v>28</v>
          </cell>
          <cell r="P885">
            <v>43203</v>
          </cell>
          <cell r="Q885" t="str">
            <v>PAGO DE SEGURIDAD SOCIAL Y PARAFISCALES DE FUNCIONARIOS DE PLANTA TEMPORAL DE LA DIRECCIÓN DE URBANIZACIONES Y TITULACIÓN MES MARZO 2018</v>
          </cell>
          <cell r="R885">
            <v>20421900</v>
          </cell>
          <cell r="S885">
            <v>0</v>
          </cell>
          <cell r="T885">
            <v>0</v>
          </cell>
          <cell r="U885">
            <v>20421900</v>
          </cell>
          <cell r="V885">
            <v>20421900</v>
          </cell>
        </row>
        <row r="886">
          <cell r="J886">
            <v>1838</v>
          </cell>
          <cell r="K886">
            <v>43213</v>
          </cell>
          <cell r="L886" t="str">
            <v>CAJA DE VIVIENDA POPULAR</v>
          </cell>
          <cell r="M886">
            <v>1</v>
          </cell>
          <cell r="N886" t="str">
            <v>RELACION DE AUTORIZACION</v>
          </cell>
          <cell r="O886">
            <v>31</v>
          </cell>
          <cell r="P886">
            <v>43213</v>
          </cell>
          <cell r="Q886" t="str">
            <v>PAGO DE NOMINA DEL MES DE ABRIL DE 2018 DE LA PLANTA TEMPORAL, PROYECTO 471</v>
          </cell>
          <cell r="R886">
            <v>74912067</v>
          </cell>
          <cell r="S886">
            <v>0</v>
          </cell>
          <cell r="T886">
            <v>0</v>
          </cell>
          <cell r="U886">
            <v>74912067</v>
          </cell>
          <cell r="V886">
            <v>74912067</v>
          </cell>
        </row>
        <row r="887">
          <cell r="J887">
            <v>1903</v>
          </cell>
          <cell r="K887">
            <v>43235</v>
          </cell>
          <cell r="L887" t="str">
            <v>CAJA DE VIVIENDA POPULAR</v>
          </cell>
          <cell r="M887">
            <v>1</v>
          </cell>
          <cell r="N887" t="str">
            <v>RELACION DE AUTORIZACION</v>
          </cell>
          <cell r="O887">
            <v>34</v>
          </cell>
          <cell r="P887">
            <v>43235</v>
          </cell>
          <cell r="Q887" t="str">
            <v>PAGO DE  MI PLANILLA SEGURIDAD SOCIAL Y PARAFISCALES DE FUNCIONARIOS DE PLANTA TEMPORAL DE LA DIRECCIÓN DE URBANIZACIONES Y TITULACIÓN MES DE ABRIL 2018</v>
          </cell>
          <cell r="R887">
            <v>20823700</v>
          </cell>
          <cell r="S887">
            <v>0</v>
          </cell>
          <cell r="T887">
            <v>0</v>
          </cell>
          <cell r="U887">
            <v>20823700</v>
          </cell>
          <cell r="V887">
            <v>20823700</v>
          </cell>
        </row>
        <row r="888">
          <cell r="J888">
            <v>1948</v>
          </cell>
          <cell r="K888">
            <v>43243</v>
          </cell>
          <cell r="L888" t="str">
            <v>CAJA DE VIVIENDA POPULAR</v>
          </cell>
          <cell r="M888">
            <v>1</v>
          </cell>
          <cell r="N888" t="str">
            <v>RELACION DE AUTORIZACION</v>
          </cell>
          <cell r="O888">
            <v>37</v>
          </cell>
          <cell r="P888">
            <v>43243</v>
          </cell>
          <cell r="Q888" t="str">
            <v>PAGO DE NOMINA DE FUNCIONARIOS DE PLANTA TEMPORAL DE LA DIRECCIÓN DE URBANIZACIONES Y TITULACIÓN MES MAYO DE 2018</v>
          </cell>
          <cell r="R888">
            <v>63058562</v>
          </cell>
          <cell r="S888">
            <v>0</v>
          </cell>
          <cell r="T888">
            <v>0</v>
          </cell>
          <cell r="U888">
            <v>63058562</v>
          </cell>
          <cell r="V888">
            <v>63058562</v>
          </cell>
        </row>
        <row r="889">
          <cell r="J889">
            <v>1983</v>
          </cell>
          <cell r="K889">
            <v>43252</v>
          </cell>
          <cell r="L889" t="str">
            <v>CAJA DE VIVIENDA POPULAR</v>
          </cell>
          <cell r="M889">
            <v>1</v>
          </cell>
          <cell r="N889" t="str">
            <v>RELACION DE AUTORIZACION</v>
          </cell>
          <cell r="O889">
            <v>40</v>
          </cell>
          <cell r="P889">
            <v>43252</v>
          </cell>
          <cell r="Q889" t="str">
            <v>PAGO DE LA PRIMA SE SERVICIOS 2018 FUNCIONARIOS DE PLANTA TEMPORAL DE LA DIRECCIÓN DE URBANIZACIONES Y TITULACIÓN</v>
          </cell>
          <cell r="R889">
            <v>84957328</v>
          </cell>
          <cell r="S889">
            <v>0</v>
          </cell>
          <cell r="T889">
            <v>0</v>
          </cell>
          <cell r="U889">
            <v>84957328</v>
          </cell>
          <cell r="V889">
            <v>84957328</v>
          </cell>
        </row>
        <row r="890">
          <cell r="J890">
            <v>2021</v>
          </cell>
          <cell r="K890">
            <v>43266</v>
          </cell>
          <cell r="L890" t="str">
            <v>CAJA DE VIVIENDA POPULAR</v>
          </cell>
          <cell r="M890">
            <v>1</v>
          </cell>
          <cell r="N890" t="str">
            <v>RELACION DE AUTORIZACION</v>
          </cell>
          <cell r="O890">
            <v>43</v>
          </cell>
          <cell r="P890">
            <v>43266</v>
          </cell>
          <cell r="Q890" t="str">
            <v>PAGO DE MI PLANILLA SEGURIDAD SOCIAL Y PARAFISCALES DE  FUNCIONARIOS DE PLANTA TEMPORAL DE LA DIRECCIÓN DE URBANIZACIONES Y TITULACIÓN MES MAYO DE 2018</v>
          </cell>
          <cell r="R890">
            <v>19820900</v>
          </cell>
          <cell r="S890">
            <v>0</v>
          </cell>
          <cell r="T890">
            <v>0</v>
          </cell>
          <cell r="U890">
            <v>19820900</v>
          </cell>
          <cell r="V890">
            <v>19820900</v>
          </cell>
        </row>
        <row r="891">
          <cell r="J891">
            <v>2051</v>
          </cell>
          <cell r="K891">
            <v>43271</v>
          </cell>
          <cell r="L891" t="str">
            <v>CAJA DE VIVIENDA POPULAR</v>
          </cell>
          <cell r="M891">
            <v>1</v>
          </cell>
          <cell r="N891" t="str">
            <v>RELACION DE AUTORIZACION</v>
          </cell>
          <cell r="O891">
            <v>46</v>
          </cell>
          <cell r="P891">
            <v>43271</v>
          </cell>
          <cell r="Q891" t="str">
            <v>PAGO DE NÓMINA DEL MES DE JUNIO 2018 PLANTA TEMPORAL, PROYECTO 471</v>
          </cell>
          <cell r="R891">
            <v>77548868</v>
          </cell>
          <cell r="S891">
            <v>0</v>
          </cell>
          <cell r="T891">
            <v>0</v>
          </cell>
          <cell r="U891">
            <v>77548868</v>
          </cell>
          <cell r="V891">
            <v>77548868</v>
          </cell>
        </row>
        <row r="892">
          <cell r="J892">
            <v>2493</v>
          </cell>
          <cell r="K892">
            <v>43298</v>
          </cell>
          <cell r="L892" t="str">
            <v>CAJA DE VIVIENDA POPULAR</v>
          </cell>
          <cell r="M892">
            <v>1</v>
          </cell>
          <cell r="N892" t="str">
            <v>RELACION DE AUTORIZACION</v>
          </cell>
          <cell r="O892">
            <v>49</v>
          </cell>
          <cell r="P892">
            <v>43298</v>
          </cell>
          <cell r="Q892" t="str">
            <v>PAGO DE MI PLANILLA Y PARAFISCALES DE LA PLANTA TEMPORAL DE LA ENTIDAD DEL MES DE JUNIO DE 2018. PROYECTO 471</v>
          </cell>
          <cell r="R892">
            <v>27308200</v>
          </cell>
          <cell r="S892">
            <v>0</v>
          </cell>
          <cell r="T892">
            <v>0</v>
          </cell>
          <cell r="U892">
            <v>27308200</v>
          </cell>
          <cell r="V892">
            <v>27308200</v>
          </cell>
        </row>
        <row r="893">
          <cell r="J893">
            <v>2527</v>
          </cell>
          <cell r="K893">
            <v>43305</v>
          </cell>
          <cell r="L893" t="str">
            <v>CAJA DE VIVIENDA POPULAR</v>
          </cell>
          <cell r="M893">
            <v>1</v>
          </cell>
          <cell r="N893" t="str">
            <v>RELACION DE AUTORIZACION</v>
          </cell>
          <cell r="O893">
            <v>52</v>
          </cell>
          <cell r="P893">
            <v>43305</v>
          </cell>
          <cell r="Q893" t="str">
            <v>PAGO DE NÓMINA A FUNCIONARIOS DE PLANTA TEMPORAL DE LA DIRECCIÓN DE URBANIZACIONES Y TITULACIÓN MES DE JULIO DE 2018</v>
          </cell>
          <cell r="R893">
            <v>71607211</v>
          </cell>
          <cell r="S893">
            <v>0</v>
          </cell>
          <cell r="T893">
            <v>0</v>
          </cell>
          <cell r="U893">
            <v>71607211</v>
          </cell>
          <cell r="V893">
            <v>71607211</v>
          </cell>
        </row>
        <row r="894">
          <cell r="J894">
            <v>2648</v>
          </cell>
          <cell r="K894">
            <v>43326</v>
          </cell>
          <cell r="L894" t="str">
            <v>CAJA DE VIVIENDA POPULAR</v>
          </cell>
          <cell r="M894">
            <v>1</v>
          </cell>
          <cell r="N894" t="str">
            <v>RELACION DE AUTORIZACION</v>
          </cell>
          <cell r="O894">
            <v>55</v>
          </cell>
          <cell r="P894">
            <v>43326</v>
          </cell>
          <cell r="Q894" t="str">
            <v>PAGO DE MI PLANILLA SEGURIDAD SOCIAL Y PARAFISCALES DE LA PLANTA TEMPORAL DE LA ENTIDAD DEL MES DE JULIO DE 2018 PROYECTO 471</v>
          </cell>
          <cell r="R894">
            <v>20280200</v>
          </cell>
          <cell r="S894">
            <v>0</v>
          </cell>
          <cell r="T894">
            <v>0</v>
          </cell>
          <cell r="U894">
            <v>20280200</v>
          </cell>
          <cell r="V894">
            <v>20280200</v>
          </cell>
        </row>
        <row r="895">
          <cell r="J895">
            <v>2735</v>
          </cell>
          <cell r="K895">
            <v>43336</v>
          </cell>
          <cell r="L895" t="str">
            <v>CAJA DE VIVIENDA POPULAR</v>
          </cell>
          <cell r="M895">
            <v>1</v>
          </cell>
          <cell r="N895" t="str">
            <v>RELACION DE AUTORIZACION</v>
          </cell>
          <cell r="O895">
            <v>58</v>
          </cell>
          <cell r="P895">
            <v>43336</v>
          </cell>
          <cell r="Q895" t="str">
            <v>PAGO DE NOMINA DEL MES DE AGOSTO DE 2018 DE LA PLANTA TEMPORAL PROYECTO 471</v>
          </cell>
          <cell r="R895">
            <v>72303254</v>
          </cell>
          <cell r="S895">
            <v>0</v>
          </cell>
          <cell r="T895">
            <v>0</v>
          </cell>
          <cell r="U895">
            <v>72303254</v>
          </cell>
          <cell r="V895">
            <v>72303254</v>
          </cell>
        </row>
        <row r="896">
          <cell r="J896">
            <v>375</v>
          </cell>
          <cell r="K896">
            <v>43124</v>
          </cell>
          <cell r="L896" t="str">
            <v>CAJA DE VIVIENDA POPULAR</v>
          </cell>
          <cell r="M896">
            <v>1</v>
          </cell>
          <cell r="N896" t="str">
            <v>RELACION DE AUTORIZACION</v>
          </cell>
          <cell r="O896">
            <v>6</v>
          </cell>
          <cell r="P896">
            <v>43124</v>
          </cell>
          <cell r="Q896" t="str">
            <v>PAGO DE NÓMINA DEL MES DE ENERO DE 2018 DE LA PLANTA TEMPORAL, PROYECTO 7328</v>
          </cell>
          <cell r="R896">
            <v>32395026</v>
          </cell>
          <cell r="S896">
            <v>0</v>
          </cell>
          <cell r="T896">
            <v>0</v>
          </cell>
          <cell r="U896">
            <v>32395026</v>
          </cell>
          <cell r="V896">
            <v>25075162</v>
          </cell>
        </row>
        <row r="897">
          <cell r="J897">
            <v>378</v>
          </cell>
          <cell r="K897">
            <v>43124</v>
          </cell>
          <cell r="L897" t="str">
            <v>CAJA DE VIVIENDA POPULAR</v>
          </cell>
          <cell r="M897">
            <v>1</v>
          </cell>
          <cell r="N897" t="str">
            <v>RELACION DE AUTORIZACION</v>
          </cell>
          <cell r="O897">
            <v>7</v>
          </cell>
          <cell r="P897">
            <v>43124</v>
          </cell>
          <cell r="Q897" t="str">
            <v>PAGO DE NÓMINA DEL MES DE ENERO DE 2018 DE LA PLANTA TEMPORAL, PROYECTO 7328</v>
          </cell>
          <cell r="R897">
            <v>3643793</v>
          </cell>
          <cell r="S897">
            <v>0</v>
          </cell>
          <cell r="T897">
            <v>0</v>
          </cell>
          <cell r="U897">
            <v>3643793</v>
          </cell>
          <cell r="V897">
            <v>3643793</v>
          </cell>
        </row>
        <row r="898">
          <cell r="J898">
            <v>758</v>
          </cell>
          <cell r="K898">
            <v>43137</v>
          </cell>
          <cell r="L898" t="str">
            <v>CAJA DE VIVIENDA POPULAR</v>
          </cell>
          <cell r="M898">
            <v>1</v>
          </cell>
          <cell r="N898" t="str">
            <v>RELACION DE AUTORIZACION</v>
          </cell>
          <cell r="O898">
            <v>10</v>
          </cell>
          <cell r="P898">
            <v>43137</v>
          </cell>
          <cell r="Q898" t="str">
            <v>PAGO DE LAS CESANTIAS 2017 DE LA PLANTA TEMPORAL, PROYECTO 7328</v>
          </cell>
          <cell r="R898">
            <v>28804661</v>
          </cell>
          <cell r="S898">
            <v>0</v>
          </cell>
          <cell r="T898">
            <v>0</v>
          </cell>
          <cell r="U898">
            <v>28804661</v>
          </cell>
          <cell r="V898">
            <v>28804661</v>
          </cell>
        </row>
        <row r="899">
          <cell r="J899">
            <v>1021</v>
          </cell>
          <cell r="K899">
            <v>43140</v>
          </cell>
          <cell r="L899" t="str">
            <v>CAJA DE VIVIENDA POPULAR</v>
          </cell>
          <cell r="M899">
            <v>1</v>
          </cell>
          <cell r="N899" t="str">
            <v>RELACION DE AUTORIZACION</v>
          </cell>
          <cell r="O899">
            <v>13</v>
          </cell>
          <cell r="P899">
            <v>43140</v>
          </cell>
          <cell r="Q899" t="str">
            <v>PAGO DE MI PLANILLA SEGURIDAD SOCIAL Y PARAFISCALES DE LA PLANTA TEMPORAL DE LA ENTIDAD DEL MES DE ENERO DE 2018 PROYECTO 7328</v>
          </cell>
          <cell r="R899">
            <v>11586300</v>
          </cell>
          <cell r="S899">
            <v>0</v>
          </cell>
          <cell r="T899">
            <v>0</v>
          </cell>
          <cell r="U899">
            <v>11586300</v>
          </cell>
          <cell r="V899">
            <v>11586300</v>
          </cell>
        </row>
        <row r="900">
          <cell r="J900">
            <v>1386</v>
          </cell>
          <cell r="K900">
            <v>43151</v>
          </cell>
          <cell r="L900" t="str">
            <v>CAJA DE VIVIENDA POPULAR</v>
          </cell>
          <cell r="M900">
            <v>1</v>
          </cell>
          <cell r="N900" t="str">
            <v>RELACION DE AUTORIZACION</v>
          </cell>
          <cell r="O900">
            <v>17</v>
          </cell>
          <cell r="P900">
            <v>43151</v>
          </cell>
          <cell r="Q900" t="str">
            <v>PAGO DE NÓMINA DE FUNCIONARIOS DE PLANTA TEMPORAL DE LA DIRECCIÓN DE MEJORAMIENTO DE VIVIENDA MES DE FEBRERO 2018</v>
          </cell>
          <cell r="R900">
            <v>34931094</v>
          </cell>
          <cell r="S900">
            <v>0</v>
          </cell>
          <cell r="T900">
            <v>0</v>
          </cell>
          <cell r="U900">
            <v>34931094</v>
          </cell>
          <cell r="V900">
            <v>34931094</v>
          </cell>
        </row>
        <row r="901">
          <cell r="J901">
            <v>1531</v>
          </cell>
          <cell r="K901">
            <v>43165</v>
          </cell>
          <cell r="L901" t="str">
            <v>CAJA DE VIVIENDA POPULAR</v>
          </cell>
          <cell r="M901">
            <v>1</v>
          </cell>
          <cell r="N901" t="str">
            <v>RELACION DE AUTORIZACION</v>
          </cell>
          <cell r="O901">
            <v>22</v>
          </cell>
          <cell r="P901">
            <v>43165</v>
          </cell>
          <cell r="Q901" t="str">
            <v>PAGO DE PLANILLA SEGURIDAD SOCIAL Y PARAFISCALES DE LA PLANTA TEMPORAL DE LA ENTIDAD DEL MES DE FEBRERO DE 2018. PROYECTO 7328</v>
          </cell>
          <cell r="R901">
            <v>9883700</v>
          </cell>
          <cell r="S901">
            <v>0</v>
          </cell>
          <cell r="T901">
            <v>0</v>
          </cell>
          <cell r="U901">
            <v>9883700</v>
          </cell>
          <cell r="V901">
            <v>9883700</v>
          </cell>
        </row>
        <row r="902">
          <cell r="J902">
            <v>1607</v>
          </cell>
          <cell r="K902">
            <v>43180</v>
          </cell>
          <cell r="L902" t="str">
            <v>CAJA DE VIVIENDA POPULAR</v>
          </cell>
          <cell r="M902">
            <v>1</v>
          </cell>
          <cell r="N902" t="str">
            <v>RELACION DE AUTORIZACION</v>
          </cell>
          <cell r="O902">
            <v>25</v>
          </cell>
          <cell r="P902">
            <v>43180</v>
          </cell>
          <cell r="Q902" t="str">
            <v>PAGO DE NÓMINA A FUNCIONARIOS DE PLANTA TEMPORAL DE LA DIRECCIÓN DE MEJORAMIENTO DE VIVIENDA MES DE MARZO 2018</v>
          </cell>
          <cell r="R902">
            <v>28900340</v>
          </cell>
          <cell r="S902">
            <v>0</v>
          </cell>
          <cell r="T902">
            <v>0</v>
          </cell>
          <cell r="U902">
            <v>28900340</v>
          </cell>
          <cell r="V902">
            <v>28900340</v>
          </cell>
        </row>
        <row r="903">
          <cell r="J903">
            <v>1797</v>
          </cell>
          <cell r="K903">
            <v>43203</v>
          </cell>
          <cell r="L903" t="str">
            <v>CAJA DE VIVIENDA POPULAR</v>
          </cell>
          <cell r="M903">
            <v>1</v>
          </cell>
          <cell r="N903" t="str">
            <v>RELACION DE AUTORIZACION</v>
          </cell>
          <cell r="O903">
            <v>28</v>
          </cell>
          <cell r="P903">
            <v>43113</v>
          </cell>
          <cell r="Q903" t="str">
            <v>PAGO DE MI PLANILLA SEGURIDAD SOCIAL Y PARAFISCALES DE LA PLANTA TEMPORAL DE LA ENTIDAD DEL MES DE MARZO DE 2018. PROYECTO 7328</v>
          </cell>
          <cell r="R903">
            <v>9855800</v>
          </cell>
          <cell r="S903">
            <v>0</v>
          </cell>
          <cell r="T903">
            <v>0</v>
          </cell>
          <cell r="U903">
            <v>9855800</v>
          </cell>
          <cell r="V903">
            <v>9855800</v>
          </cell>
        </row>
        <row r="904">
          <cell r="J904">
            <v>1833</v>
          </cell>
          <cell r="K904">
            <v>43213</v>
          </cell>
          <cell r="L904" t="str">
            <v>CAJA DE VIVIENDA POPULAR</v>
          </cell>
          <cell r="M904">
            <v>1</v>
          </cell>
          <cell r="N904" t="str">
            <v>RELACION DE AUTORIZACION</v>
          </cell>
          <cell r="O904">
            <v>31</v>
          </cell>
          <cell r="P904">
            <v>43213</v>
          </cell>
          <cell r="Q904" t="str">
            <v>PAGO DE NÓMINA A FUNCIONARIOS DE PLANTA TEMPORAL DE LA DIRECCIÓN DE MEJORAMIENTO DE VIVIENDA MES DE ABRIL 2018</v>
          </cell>
          <cell r="R904">
            <v>28030021</v>
          </cell>
          <cell r="S904">
            <v>0</v>
          </cell>
          <cell r="T904">
            <v>0</v>
          </cell>
          <cell r="U904">
            <v>28030021</v>
          </cell>
          <cell r="V904">
            <v>28030021</v>
          </cell>
        </row>
        <row r="905">
          <cell r="J905">
            <v>1905</v>
          </cell>
          <cell r="K905">
            <v>43235</v>
          </cell>
          <cell r="L905" t="str">
            <v>CAJA DE VIVIENDA POPULAR</v>
          </cell>
          <cell r="M905">
            <v>1</v>
          </cell>
          <cell r="N905" t="str">
            <v>RELACION DE AUTORIZACION</v>
          </cell>
          <cell r="O905">
            <v>34</v>
          </cell>
          <cell r="P905">
            <v>43235</v>
          </cell>
          <cell r="Q905" t="str">
            <v>PAGO DE MI PLANILLA SEGURIDAD SOCIAL Y PARAFISCALES DE LA PLANTA TEMPORAL DE LA ENTIDAD DEL MES DE ABRIL DE 2018, PROYECTO 7328</v>
          </cell>
          <cell r="R905">
            <v>9989200</v>
          </cell>
          <cell r="S905">
            <v>0</v>
          </cell>
          <cell r="T905">
            <v>0</v>
          </cell>
          <cell r="U905">
            <v>9989200</v>
          </cell>
          <cell r="V905">
            <v>9989200</v>
          </cell>
        </row>
        <row r="906">
          <cell r="J906">
            <v>1951</v>
          </cell>
          <cell r="K906">
            <v>43243</v>
          </cell>
          <cell r="L906" t="str">
            <v>CAJA DE VIVIENDA POPULAR</v>
          </cell>
          <cell r="M906">
            <v>1</v>
          </cell>
          <cell r="N906" t="str">
            <v>RELACION DE AUTORIZACION</v>
          </cell>
          <cell r="O906">
            <v>37</v>
          </cell>
          <cell r="P906">
            <v>43243</v>
          </cell>
          <cell r="Q906" t="str">
            <v>PAGO DE NÓMINA DEL MES DE MAYO 2018 DE LA PLANTA TEMPORAL, PROYECTO 7328</v>
          </cell>
          <cell r="R906">
            <v>46020714</v>
          </cell>
          <cell r="S906">
            <v>0</v>
          </cell>
          <cell r="T906">
            <v>0</v>
          </cell>
          <cell r="U906">
            <v>46020714</v>
          </cell>
          <cell r="V906">
            <v>46020714</v>
          </cell>
        </row>
        <row r="907">
          <cell r="J907">
            <v>1985</v>
          </cell>
          <cell r="K907">
            <v>43252</v>
          </cell>
          <cell r="L907" t="str">
            <v>CAJA DE VIVIENDA POPULAR</v>
          </cell>
          <cell r="M907">
            <v>1</v>
          </cell>
          <cell r="N907" t="str">
            <v>RELACION DE AUTORIZACION</v>
          </cell>
          <cell r="O907">
            <v>40</v>
          </cell>
          <cell r="P907">
            <v>43252</v>
          </cell>
          <cell r="Q907" t="str">
            <v>PAGO DE LA PRIMA SE SERVICIOS 2018  FUNCIONARIOS DE PLANTA TEMPORAL DE LA DIRECCIÓN DE MEJORAMIENTO DE VIVIENDA</v>
          </cell>
          <cell r="R907">
            <v>36919090</v>
          </cell>
          <cell r="S907">
            <v>0</v>
          </cell>
          <cell r="T907">
            <v>0</v>
          </cell>
          <cell r="U907">
            <v>36919090</v>
          </cell>
          <cell r="V907">
            <v>36919090</v>
          </cell>
        </row>
        <row r="908">
          <cell r="J908">
            <v>2022</v>
          </cell>
          <cell r="K908">
            <v>43266</v>
          </cell>
          <cell r="L908" t="str">
            <v>CAJA DE VIVIENDA POPULAR</v>
          </cell>
          <cell r="M908">
            <v>1</v>
          </cell>
          <cell r="N908" t="str">
            <v>RELACION DE AUTORIZACION</v>
          </cell>
          <cell r="O908">
            <v>43</v>
          </cell>
          <cell r="P908">
            <v>43266</v>
          </cell>
          <cell r="Q908" t="str">
            <v>PAGO DE MI PLANILLA SEGURIDAD SOCIAL Y PARAFISCALES  DE FUNCIONARIOS DE PLANTA TEMPORAL DE LA DIRECCIÓN DE MEJORAMIENTO DE VIVIENDA MES MAYO DE 2018</v>
          </cell>
          <cell r="R908">
            <v>10737900</v>
          </cell>
          <cell r="S908">
            <v>0</v>
          </cell>
          <cell r="T908">
            <v>0</v>
          </cell>
          <cell r="U908">
            <v>10737900</v>
          </cell>
          <cell r="V908">
            <v>10737900</v>
          </cell>
        </row>
        <row r="909">
          <cell r="J909">
            <v>2049</v>
          </cell>
          <cell r="K909">
            <v>43271</v>
          </cell>
          <cell r="L909" t="str">
            <v>CAJA DE VIVIENDA POPULAR</v>
          </cell>
          <cell r="M909">
            <v>1</v>
          </cell>
          <cell r="N909" t="str">
            <v>RELACION DE AUTORIZACION</v>
          </cell>
          <cell r="O909">
            <v>46</v>
          </cell>
          <cell r="P909">
            <v>43271</v>
          </cell>
          <cell r="Q909" t="str">
            <v>PAGO DE NÓMINA  A FUNCIONARIOS DE PLANTA TEMPORAL DE LA DIRECCIÓN DE MEJORAMIENTO DE VIVIENDA MES DE JUNIO DE 2018</v>
          </cell>
          <cell r="R909">
            <v>23746108</v>
          </cell>
          <cell r="S909">
            <v>0</v>
          </cell>
          <cell r="T909">
            <v>0</v>
          </cell>
          <cell r="U909">
            <v>23746108</v>
          </cell>
          <cell r="V909">
            <v>23746108</v>
          </cell>
        </row>
        <row r="910">
          <cell r="J910">
            <v>2494</v>
          </cell>
          <cell r="K910">
            <v>43298</v>
          </cell>
          <cell r="L910" t="str">
            <v>CAJA DE VIVIENDA POPULAR</v>
          </cell>
          <cell r="M910">
            <v>1</v>
          </cell>
          <cell r="N910" t="str">
            <v>RELACION DE AUTORIZACION</v>
          </cell>
          <cell r="O910">
            <v>49</v>
          </cell>
          <cell r="P910">
            <v>43298</v>
          </cell>
          <cell r="Q910" t="str">
            <v>PAGO DE MI PLANILLA SEGURIDAD SOCIAL Y PARAFISCALES DE LA PLANTA TEMPÓRAL DE LA ENTIDAD DEL MES DE JUNIO DE 2018 . PROYECTO 7328</v>
          </cell>
          <cell r="R910">
            <v>13243600</v>
          </cell>
          <cell r="S910">
            <v>0</v>
          </cell>
          <cell r="T910">
            <v>0</v>
          </cell>
          <cell r="U910">
            <v>13243600</v>
          </cell>
          <cell r="V910">
            <v>13243600</v>
          </cell>
        </row>
        <row r="911">
          <cell r="J911">
            <v>2528</v>
          </cell>
          <cell r="K911">
            <v>43305</v>
          </cell>
          <cell r="L911" t="str">
            <v>CAJA DE VIVIENDA POPULAR</v>
          </cell>
          <cell r="M911">
            <v>1</v>
          </cell>
          <cell r="N911" t="str">
            <v>RELACION DE AUTORIZACION</v>
          </cell>
          <cell r="O911">
            <v>52</v>
          </cell>
          <cell r="P911">
            <v>43305</v>
          </cell>
          <cell r="Q911" t="str">
            <v>PAGO DE NÓMINA A FUNCIONARIOS DE PLANTA TEMPORAL DE LA DIRECCIÓN DE MEJORAMIENTO DE VIVIENDA MES JULIO DE 2018</v>
          </cell>
          <cell r="R911">
            <v>33432692</v>
          </cell>
          <cell r="S911">
            <v>0</v>
          </cell>
          <cell r="T911">
            <v>0</v>
          </cell>
          <cell r="U911">
            <v>33432692</v>
          </cell>
          <cell r="V911">
            <v>33432692</v>
          </cell>
        </row>
        <row r="912">
          <cell r="J912">
            <v>2649</v>
          </cell>
          <cell r="K912">
            <v>43326</v>
          </cell>
          <cell r="L912" t="str">
            <v>CAJA DE VIVIENDA POPULAR</v>
          </cell>
          <cell r="M912">
            <v>1</v>
          </cell>
          <cell r="N912" t="str">
            <v>RELACION DE AUTORIZACION</v>
          </cell>
          <cell r="O912">
            <v>55</v>
          </cell>
          <cell r="P912">
            <v>43326</v>
          </cell>
          <cell r="Q912" t="str">
            <v>PAGO  DE MI PLANILLA SEGURIDAD SOCIAL Y PARAFISCALES DE LA PLANTA TEMPORAL DE LA ENTIDAD DEL MES DE JULIO DE 2018 PROYECTO 7328</v>
          </cell>
          <cell r="R912">
            <v>10291400</v>
          </cell>
          <cell r="S912">
            <v>0</v>
          </cell>
          <cell r="T912">
            <v>0</v>
          </cell>
          <cell r="U912">
            <v>10291400</v>
          </cell>
          <cell r="V912">
            <v>10291400</v>
          </cell>
        </row>
        <row r="913">
          <cell r="J913">
            <v>2732</v>
          </cell>
          <cell r="K913">
            <v>43336</v>
          </cell>
          <cell r="L913" t="str">
            <v>CAJA DE VIVIENDA POPULAR</v>
          </cell>
          <cell r="M913">
            <v>1</v>
          </cell>
          <cell r="N913" t="str">
            <v>RELACION DE AUTORIZACION</v>
          </cell>
          <cell r="O913">
            <v>58</v>
          </cell>
          <cell r="P913">
            <v>43336</v>
          </cell>
          <cell r="Q913" t="str">
            <v>PAGO DE NÓMINA DEL MES DE AGOSTO 2018 DE LA PLANTA TEMPORAL, PROYECTO 7328.</v>
          </cell>
          <cell r="R913">
            <v>24950400</v>
          </cell>
          <cell r="S913">
            <v>0</v>
          </cell>
          <cell r="T913">
            <v>0</v>
          </cell>
          <cell r="U913">
            <v>24950400</v>
          </cell>
          <cell r="V913">
            <v>24950400</v>
          </cell>
        </row>
        <row r="914">
          <cell r="J914">
            <v>757</v>
          </cell>
          <cell r="K914">
            <v>43137</v>
          </cell>
          <cell r="L914" t="str">
            <v>CAJA DE VIVIENDA POPULAR</v>
          </cell>
          <cell r="M914">
            <v>1</v>
          </cell>
          <cell r="N914" t="str">
            <v>RELACION DE AUTORIZACION</v>
          </cell>
          <cell r="O914">
            <v>10</v>
          </cell>
          <cell r="P914">
            <v>43137</v>
          </cell>
          <cell r="Q914" t="str">
            <v>PAGO DE LAS CESANTIAS DEL AÑO 2017 DE LA PLANTA TEMPORAL Y TRANSITORIA, PROYECTO 404.</v>
          </cell>
          <cell r="R914">
            <v>46765412</v>
          </cell>
          <cell r="S914">
            <v>0</v>
          </cell>
          <cell r="T914">
            <v>0</v>
          </cell>
          <cell r="U914">
            <v>46765412</v>
          </cell>
          <cell r="V914">
            <v>46765412</v>
          </cell>
        </row>
        <row r="915">
          <cell r="J915">
            <v>1014</v>
          </cell>
          <cell r="K915">
            <v>43140</v>
          </cell>
          <cell r="L915" t="str">
            <v>CAJA DE VIVIENDA POPULAR</v>
          </cell>
          <cell r="M915">
            <v>1</v>
          </cell>
          <cell r="N915" t="str">
            <v>RELACION DE AUTORIZACION</v>
          </cell>
          <cell r="O915">
            <v>13</v>
          </cell>
          <cell r="P915">
            <v>43140</v>
          </cell>
          <cell r="Q915" t="str">
            <v>PAGO DE MI PLANILLA SEGURIDAD SOCIAL Y PARAFISCALES DE LA PLANTA TEMPORAL DE LA ENTIDAD DEL MES DE ENERO DE 2018.  PROYECTO 404</v>
          </cell>
          <cell r="R915">
            <v>13527500</v>
          </cell>
          <cell r="S915">
            <v>0</v>
          </cell>
          <cell r="T915">
            <v>0</v>
          </cell>
          <cell r="U915">
            <v>13527500</v>
          </cell>
          <cell r="V915">
            <v>13527500</v>
          </cell>
        </row>
        <row r="916">
          <cell r="J916">
            <v>1388</v>
          </cell>
          <cell r="K916">
            <v>43151</v>
          </cell>
          <cell r="L916" t="str">
            <v>CAJA DE VIVIENDA POPULAR</v>
          </cell>
          <cell r="M916">
            <v>1</v>
          </cell>
          <cell r="N916" t="str">
            <v>RELACION DE AUTORIZACION</v>
          </cell>
          <cell r="O916">
            <v>17</v>
          </cell>
          <cell r="P916">
            <v>43151</v>
          </cell>
          <cell r="Q916" t="str">
            <v>PAGO DE NÓMINA DE FUNCIONARIOS DE PLANTA TEMPORAL PROYECTO 404 MES DE FEBRERO DE 2018</v>
          </cell>
          <cell r="R916">
            <v>37705914</v>
          </cell>
          <cell r="S916">
            <v>0</v>
          </cell>
          <cell r="T916">
            <v>0</v>
          </cell>
          <cell r="U916">
            <v>37705914</v>
          </cell>
          <cell r="V916">
            <v>37705914</v>
          </cell>
        </row>
        <row r="917">
          <cell r="J917">
            <v>1389</v>
          </cell>
          <cell r="K917">
            <v>43151</v>
          </cell>
          <cell r="L917" t="str">
            <v>CAJA DE VIVIENDA POPULAR</v>
          </cell>
          <cell r="M917">
            <v>1</v>
          </cell>
          <cell r="N917" t="str">
            <v>RELACION DE AUTORIZACION</v>
          </cell>
          <cell r="O917">
            <v>17</v>
          </cell>
          <cell r="P917">
            <v>43151</v>
          </cell>
          <cell r="Q917" t="str">
            <v>PAGO DE NÓMINA DE FUNCIONARIOS DE PLANTA TRANSITORIA PROYECTO 404 MES DE FEBRERO DE 2018.</v>
          </cell>
          <cell r="R917">
            <v>4317097</v>
          </cell>
          <cell r="S917">
            <v>0</v>
          </cell>
          <cell r="T917">
            <v>0</v>
          </cell>
          <cell r="U917">
            <v>4317097</v>
          </cell>
          <cell r="V917">
            <v>4317097</v>
          </cell>
        </row>
        <row r="918">
          <cell r="J918">
            <v>1532</v>
          </cell>
          <cell r="K918">
            <v>43165</v>
          </cell>
          <cell r="L918" t="str">
            <v>CAJA DE VIVIENDA POPULAR</v>
          </cell>
          <cell r="M918">
            <v>1</v>
          </cell>
          <cell r="N918" t="str">
            <v>RELACION DE AUTORIZACION</v>
          </cell>
          <cell r="O918">
            <v>21</v>
          </cell>
          <cell r="P918">
            <v>43165</v>
          </cell>
          <cell r="Q918" t="str">
            <v>PAGO DE SEGURIDAD SOCIAL Y PARAFISCALES DE FUNCIONARIOS DE PLANTA TRANSITORIA PROYECTO 404 MES DE FEBRERO /2018</v>
          </cell>
          <cell r="R918">
            <v>1296400</v>
          </cell>
          <cell r="S918">
            <v>0</v>
          </cell>
          <cell r="T918">
            <v>0</v>
          </cell>
          <cell r="U918">
            <v>1296400</v>
          </cell>
          <cell r="V918">
            <v>1296400</v>
          </cell>
        </row>
        <row r="919">
          <cell r="J919">
            <v>1536</v>
          </cell>
          <cell r="K919">
            <v>43165</v>
          </cell>
          <cell r="L919" t="str">
            <v>CAJA DE VIVIENDA POPULAR</v>
          </cell>
          <cell r="M919">
            <v>1</v>
          </cell>
          <cell r="N919" t="str">
            <v>RELACION DE AUTORIZACION</v>
          </cell>
          <cell r="O919">
            <v>22</v>
          </cell>
          <cell r="P919">
            <v>43165</v>
          </cell>
          <cell r="Q919" t="str">
            <v>PAGO DE SEGURIDAD SOCIAL Y PARAFISCALES DE FUNCIONARIOS DE PLANTA TEMPORAL PROYECTO 404 MES DE FEBRERO /2018</v>
          </cell>
          <cell r="R919">
            <v>11308500</v>
          </cell>
          <cell r="S919">
            <v>0</v>
          </cell>
          <cell r="T919">
            <v>0</v>
          </cell>
          <cell r="U919">
            <v>11308500</v>
          </cell>
          <cell r="V919">
            <v>11308500</v>
          </cell>
        </row>
        <row r="920">
          <cell r="J920">
            <v>1604</v>
          </cell>
          <cell r="K920">
            <v>43180</v>
          </cell>
          <cell r="L920" t="str">
            <v>CAJA DE VIVIENDA POPULAR</v>
          </cell>
          <cell r="M920">
            <v>1</v>
          </cell>
          <cell r="N920" t="str">
            <v>RELACION DE AUTORIZACION</v>
          </cell>
          <cell r="O920">
            <v>26</v>
          </cell>
          <cell r="P920">
            <v>43180</v>
          </cell>
          <cell r="Q920" t="str">
            <v>PAGO DE NÓMINA DEL MES DE MARZO DE 2018 DE LA PLANTA TRANSITORIA PROYECTO 404</v>
          </cell>
          <cell r="R920">
            <v>5015176</v>
          </cell>
          <cell r="S920">
            <v>0</v>
          </cell>
          <cell r="T920">
            <v>0</v>
          </cell>
          <cell r="U920">
            <v>5015176</v>
          </cell>
          <cell r="V920">
            <v>5015176</v>
          </cell>
        </row>
        <row r="921">
          <cell r="J921">
            <v>1609</v>
          </cell>
          <cell r="K921">
            <v>43180</v>
          </cell>
          <cell r="L921" t="str">
            <v>CAJA DE VIVIENDA POPULAR</v>
          </cell>
          <cell r="M921">
            <v>1</v>
          </cell>
          <cell r="N921" t="str">
            <v>RELACION DE AUTORIZACION</v>
          </cell>
          <cell r="O921">
            <v>25</v>
          </cell>
          <cell r="P921">
            <v>43180</v>
          </cell>
          <cell r="Q921" t="str">
            <v>PAGO DE NÓMINA A FUNCIONARIOS DE PLANTA TEMPORAL PROYECTO 404 MES DE MARZO DE 2018</v>
          </cell>
          <cell r="R921">
            <v>45154734</v>
          </cell>
          <cell r="S921">
            <v>0</v>
          </cell>
          <cell r="T921">
            <v>0</v>
          </cell>
          <cell r="U921">
            <v>45154734</v>
          </cell>
          <cell r="V921">
            <v>45154734</v>
          </cell>
        </row>
        <row r="922">
          <cell r="J922">
            <v>1796</v>
          </cell>
          <cell r="K922">
            <v>43203</v>
          </cell>
          <cell r="L922" t="str">
            <v>CAJA DE VIVIENDA POPULAR</v>
          </cell>
          <cell r="M922">
            <v>1</v>
          </cell>
          <cell r="N922" t="str">
            <v>RELACION DE AUTORIZACION</v>
          </cell>
          <cell r="O922">
            <v>28</v>
          </cell>
          <cell r="P922">
            <v>43203</v>
          </cell>
          <cell r="Q922" t="str">
            <v>PAGO DE MI PLANILLA SEGURIDAD SOCIAL Y PARAFISCALES DE LA PLANTA TEMPORAL DE LA ENTIDAD DEL MES DE MARZO DE 2018. PROYECTO 404.</v>
          </cell>
          <cell r="R922">
            <v>12179100</v>
          </cell>
          <cell r="S922">
            <v>0</v>
          </cell>
          <cell r="T922">
            <v>0</v>
          </cell>
          <cell r="U922">
            <v>12179100</v>
          </cell>
          <cell r="V922">
            <v>12179100</v>
          </cell>
        </row>
        <row r="923">
          <cell r="J923">
            <v>1799</v>
          </cell>
          <cell r="K923">
            <v>43203</v>
          </cell>
          <cell r="L923" t="str">
            <v>CAJA DE VIVIENDA POPULAR</v>
          </cell>
          <cell r="M923">
            <v>1</v>
          </cell>
          <cell r="N923" t="str">
            <v>RELACION DE AUTORIZACION</v>
          </cell>
          <cell r="O923">
            <v>29</v>
          </cell>
          <cell r="P923">
            <v>43203</v>
          </cell>
          <cell r="Q923" t="str">
            <v>PAGO DE MI PLANILLA SEGURIDAD SOCIAL Y PARAFISCALES DE LA PLANTA TRANSITORIA DE LA ENTIDAD DEL MES DE MARZO DE 2018. PROYECTO 404</v>
          </cell>
          <cell r="R923">
            <v>1366100</v>
          </cell>
          <cell r="S923">
            <v>0</v>
          </cell>
          <cell r="T923">
            <v>0</v>
          </cell>
          <cell r="U923">
            <v>1366100</v>
          </cell>
          <cell r="V923">
            <v>1366100</v>
          </cell>
        </row>
        <row r="924">
          <cell r="J924">
            <v>1834</v>
          </cell>
          <cell r="K924">
            <v>43213</v>
          </cell>
          <cell r="L924" t="str">
            <v>CAJA DE VIVIENDA POPULAR</v>
          </cell>
          <cell r="M924">
            <v>1</v>
          </cell>
          <cell r="N924" t="str">
            <v>RELACION DE AUTORIZACION</v>
          </cell>
          <cell r="O924">
            <v>31</v>
          </cell>
          <cell r="P924">
            <v>43213</v>
          </cell>
          <cell r="Q924" t="str">
            <v>PAGO DE NÓMINA A FUNCIONARIOS DE PLANTA TEMPORAL PROYECTO 404 MES DE ABRIL DE 2018</v>
          </cell>
          <cell r="R924">
            <v>39714400</v>
          </cell>
          <cell r="S924">
            <v>0</v>
          </cell>
          <cell r="T924">
            <v>0</v>
          </cell>
          <cell r="U924">
            <v>39714400</v>
          </cell>
          <cell r="V924">
            <v>39714400</v>
          </cell>
        </row>
        <row r="925">
          <cell r="J925">
            <v>1835</v>
          </cell>
          <cell r="K925">
            <v>43213</v>
          </cell>
          <cell r="L925" t="str">
            <v>CAJA DE VIVIENDA POPULAR</v>
          </cell>
          <cell r="M925">
            <v>1</v>
          </cell>
          <cell r="N925" t="str">
            <v>RELACION DE AUTORIZACION</v>
          </cell>
          <cell r="O925">
            <v>30</v>
          </cell>
          <cell r="P925">
            <v>43213</v>
          </cell>
          <cell r="Q925" t="str">
            <v>PAGO DE NÓMINA A FUNCIONARIOS DE PLANTA TRANSITORIA PROYECTO 404 MES DE ABRIL 2018</v>
          </cell>
          <cell r="R925">
            <v>4549790</v>
          </cell>
          <cell r="S925">
            <v>0</v>
          </cell>
          <cell r="T925">
            <v>0</v>
          </cell>
          <cell r="U925">
            <v>4549790</v>
          </cell>
          <cell r="V925">
            <v>4549790</v>
          </cell>
        </row>
        <row r="926">
          <cell r="J926">
            <v>1906</v>
          </cell>
          <cell r="K926">
            <v>43235</v>
          </cell>
          <cell r="L926" t="str">
            <v>CAJA DE VIVIENDA POPULAR</v>
          </cell>
          <cell r="M926">
            <v>1</v>
          </cell>
          <cell r="N926" t="str">
            <v>RELACION DE AUTORIZACION</v>
          </cell>
          <cell r="O926">
            <v>34</v>
          </cell>
          <cell r="P926">
            <v>43235</v>
          </cell>
          <cell r="Q926" t="str">
            <v>PAGO DE MI PLANILLA SEGURIDAD SOCIAL Y PARAFISCALES DE LA PLANTA TEMPORAL DE LA ENTIDAD DEL MES DE ABRIL DE 2018, PROYECTO 404</v>
          </cell>
          <cell r="R926">
            <v>11924700</v>
          </cell>
          <cell r="S926">
            <v>0</v>
          </cell>
          <cell r="T926">
            <v>0</v>
          </cell>
          <cell r="U926">
            <v>11924700</v>
          </cell>
          <cell r="V926">
            <v>11924700</v>
          </cell>
        </row>
        <row r="927">
          <cell r="J927">
            <v>1907</v>
          </cell>
          <cell r="K927">
            <v>43235</v>
          </cell>
          <cell r="L927" t="str">
            <v>CAJA DE VIVIENDA POPULAR</v>
          </cell>
          <cell r="M927">
            <v>1</v>
          </cell>
          <cell r="N927" t="str">
            <v>RELACION DE AUTORIZACION</v>
          </cell>
          <cell r="O927">
            <v>35</v>
          </cell>
          <cell r="P927">
            <v>43235</v>
          </cell>
          <cell r="Q927" t="str">
            <v>PAGO DE MI PLANILLA SEGURIDAD SOCIAL Y PARAFISCALES DE LA PLANTA TRANSITORIA DE LA ENTIDAD DEL MES DE ABRIL DE 2018, PROYECTO 404</v>
          </cell>
          <cell r="R927">
            <v>1366100</v>
          </cell>
          <cell r="S927">
            <v>0</v>
          </cell>
          <cell r="T927">
            <v>0</v>
          </cell>
          <cell r="U927">
            <v>1366100</v>
          </cell>
          <cell r="V927">
            <v>1366100</v>
          </cell>
        </row>
        <row r="928">
          <cell r="J928">
            <v>1950</v>
          </cell>
          <cell r="K928">
            <v>43243</v>
          </cell>
          <cell r="L928" t="str">
            <v>CAJA DE VIVIENDA POPULAR</v>
          </cell>
          <cell r="M928">
            <v>1</v>
          </cell>
          <cell r="N928" t="str">
            <v>RELACION DE AUTORIZACION</v>
          </cell>
          <cell r="O928">
            <v>37</v>
          </cell>
          <cell r="P928">
            <v>43243</v>
          </cell>
          <cell r="Q928" t="str">
            <v>PAGO DE NÓMINA PARA FUNCIONARIOS DE PLANTA TEMPORAL MES DE MAYO DE 2018</v>
          </cell>
          <cell r="R928">
            <v>45934307</v>
          </cell>
          <cell r="S928">
            <v>0</v>
          </cell>
          <cell r="T928">
            <v>0</v>
          </cell>
          <cell r="U928">
            <v>45934307</v>
          </cell>
          <cell r="V928">
            <v>45934307</v>
          </cell>
        </row>
        <row r="929">
          <cell r="J929">
            <v>1952</v>
          </cell>
          <cell r="K929">
            <v>43243</v>
          </cell>
          <cell r="L929" t="str">
            <v>CAJA DE VIVIENDA POPULAR</v>
          </cell>
          <cell r="M929">
            <v>1</v>
          </cell>
          <cell r="N929" t="str">
            <v>RELACION DE AUTORIZACION</v>
          </cell>
          <cell r="O929">
            <v>38</v>
          </cell>
          <cell r="P929">
            <v>43243</v>
          </cell>
          <cell r="Q929" t="str">
            <v>PAGO DE NÓMINA PARA FUNCIONARIOS DE PLANTA TRANSITORIA PROYECTO 404 MES DE MAYO DE 2018</v>
          </cell>
          <cell r="R929">
            <v>4549790</v>
          </cell>
          <cell r="S929">
            <v>0</v>
          </cell>
          <cell r="T929">
            <v>0</v>
          </cell>
          <cell r="U929">
            <v>4549790</v>
          </cell>
          <cell r="V929">
            <v>4549790</v>
          </cell>
        </row>
        <row r="930">
          <cell r="J930">
            <v>1981</v>
          </cell>
          <cell r="K930">
            <v>43252</v>
          </cell>
          <cell r="L930" t="str">
            <v>CAJA DE VIVIENDA POPULAR</v>
          </cell>
          <cell r="M930">
            <v>1</v>
          </cell>
          <cell r="N930" t="str">
            <v>RELACION DE AUTORIZACION</v>
          </cell>
          <cell r="O930">
            <v>40</v>
          </cell>
          <cell r="P930">
            <v>43252</v>
          </cell>
          <cell r="Q930" t="str">
            <v>PAGO DE LA PRIMA SE SERVICIOS 2018 FUNCIONARIOS DE PLANTA TEMPORAL PROYECTO 404</v>
          </cell>
          <cell r="R930">
            <v>50287294</v>
          </cell>
          <cell r="S930">
            <v>0</v>
          </cell>
          <cell r="T930">
            <v>0</v>
          </cell>
          <cell r="U930">
            <v>50287294</v>
          </cell>
          <cell r="V930">
            <v>50287294</v>
          </cell>
        </row>
        <row r="931">
          <cell r="J931">
            <v>1988</v>
          </cell>
          <cell r="K931">
            <v>43252</v>
          </cell>
          <cell r="L931" t="str">
            <v>CAJA DE VIVIENDA POPULAR</v>
          </cell>
          <cell r="M931">
            <v>1</v>
          </cell>
          <cell r="N931" t="str">
            <v>RELACION DE AUTORIZACION</v>
          </cell>
          <cell r="O931">
            <v>41</v>
          </cell>
          <cell r="P931">
            <v>43252</v>
          </cell>
          <cell r="Q931" t="str">
            <v>PAGO DE LA PRIMA SE SERVICIOS 2018  FUNCIONARIOS DE PLANTA TRANSITORIA PROYECTO 404</v>
          </cell>
          <cell r="R931">
            <v>5722333</v>
          </cell>
          <cell r="S931">
            <v>0</v>
          </cell>
          <cell r="T931">
            <v>0</v>
          </cell>
          <cell r="U931">
            <v>5722333</v>
          </cell>
          <cell r="V931">
            <v>5722333</v>
          </cell>
        </row>
        <row r="932">
          <cell r="J932">
            <v>2019</v>
          </cell>
          <cell r="K932">
            <v>43266</v>
          </cell>
          <cell r="L932" t="str">
            <v>CAJA DE VIVIENDA POPULAR</v>
          </cell>
          <cell r="M932">
            <v>1</v>
          </cell>
          <cell r="N932" t="str">
            <v>RELACION DE AUTORIZACION</v>
          </cell>
          <cell r="O932">
            <v>44</v>
          </cell>
          <cell r="P932">
            <v>43266</v>
          </cell>
          <cell r="Q932" t="str">
            <v>PAGO DE MI PLANILLA SEGURIDAD SOCIAL Y PARAFISCALES DE LA PLANTA TRANSITORIA DE LA ENTIDAD DEL MES DE MAYO DE 2018. PROYECTO 404</v>
          </cell>
          <cell r="R932">
            <v>1366100</v>
          </cell>
          <cell r="S932">
            <v>0</v>
          </cell>
          <cell r="T932">
            <v>0</v>
          </cell>
          <cell r="U932">
            <v>1366100</v>
          </cell>
          <cell r="V932">
            <v>1366100</v>
          </cell>
        </row>
        <row r="933">
          <cell r="J933">
            <v>2023</v>
          </cell>
          <cell r="K933">
            <v>43266</v>
          </cell>
          <cell r="L933" t="str">
            <v>CAJA DE VIVIENDA POPULAR</v>
          </cell>
          <cell r="M933">
            <v>1</v>
          </cell>
          <cell r="N933" t="str">
            <v>RELACION DE AUTORIZACION</v>
          </cell>
          <cell r="O933">
            <v>43</v>
          </cell>
          <cell r="P933">
            <v>43266</v>
          </cell>
          <cell r="Q933" t="str">
            <v>PAGO DE MI PLANILLA SEGURIDAD SOCIAL Y PARAFISCALES DEFUNCIONARIOS DE PLANTA TEMPORAL PRPOYECTO 404 MES MAYO DE 2018</v>
          </cell>
          <cell r="R933">
            <v>12172900</v>
          </cell>
          <cell r="S933">
            <v>0</v>
          </cell>
          <cell r="T933">
            <v>0</v>
          </cell>
          <cell r="U933">
            <v>12172900</v>
          </cell>
          <cell r="V933">
            <v>12172900</v>
          </cell>
        </row>
        <row r="934">
          <cell r="J934">
            <v>2052</v>
          </cell>
          <cell r="K934">
            <v>43271</v>
          </cell>
          <cell r="L934" t="str">
            <v>CAJA DE VIVIENDA POPULAR</v>
          </cell>
          <cell r="M934">
            <v>1</v>
          </cell>
          <cell r="N934" t="str">
            <v>RELACION DE AUTORIZACION</v>
          </cell>
          <cell r="O934">
            <v>46</v>
          </cell>
          <cell r="P934">
            <v>43271</v>
          </cell>
          <cell r="Q934" t="str">
            <v>PAGO DE NÓMINA A FUNCIONARIOS DE PLANTA TEMPORAL PROYECTO 404 MES JUNIO DE 2018</v>
          </cell>
          <cell r="R934">
            <v>68557451</v>
          </cell>
          <cell r="S934">
            <v>0</v>
          </cell>
          <cell r="T934">
            <v>0</v>
          </cell>
          <cell r="U934">
            <v>68557451</v>
          </cell>
          <cell r="V934">
            <v>68557451</v>
          </cell>
        </row>
        <row r="935">
          <cell r="J935">
            <v>2055</v>
          </cell>
          <cell r="K935">
            <v>43271</v>
          </cell>
          <cell r="L935" t="str">
            <v>CAJA DE VIVIENDA POPULAR</v>
          </cell>
          <cell r="M935">
            <v>1</v>
          </cell>
          <cell r="N935" t="str">
            <v>RELACION DE AUTORIZACION</v>
          </cell>
          <cell r="O935">
            <v>47</v>
          </cell>
          <cell r="P935">
            <v>43271</v>
          </cell>
          <cell r="Q935" t="str">
            <v>PAGO DE NÓMINA A FUNCIONARIOS DE PLANTA TRANSITORIA PROYECTO 404 MES JUNIO DE 2018</v>
          </cell>
          <cell r="R935">
            <v>10166950</v>
          </cell>
          <cell r="S935">
            <v>0</v>
          </cell>
          <cell r="T935">
            <v>0</v>
          </cell>
          <cell r="U935">
            <v>10166950</v>
          </cell>
          <cell r="V935">
            <v>10166950</v>
          </cell>
        </row>
        <row r="936">
          <cell r="J936">
            <v>2491</v>
          </cell>
          <cell r="K936">
            <v>43298</v>
          </cell>
          <cell r="L936" t="str">
            <v>CAJA DE VIVIENDA POPULAR</v>
          </cell>
          <cell r="M936">
            <v>1</v>
          </cell>
          <cell r="N936" t="str">
            <v>RELACION DE AUTORIZACION</v>
          </cell>
          <cell r="O936">
            <v>49</v>
          </cell>
          <cell r="P936">
            <v>43298</v>
          </cell>
          <cell r="Q936" t="str">
            <v>PAGO DE MI PLANILLA SEGURIDAD SOCIAL Y PARAFISCALES DE LA PLANTA TEMPORAL DE LA ENTIDAD DEL MES DE JUNIO DE 2018 PROYECTO 404</v>
          </cell>
          <cell r="R936">
            <v>17764900</v>
          </cell>
          <cell r="S936">
            <v>0</v>
          </cell>
          <cell r="T936">
            <v>0</v>
          </cell>
          <cell r="U936">
            <v>17764900</v>
          </cell>
          <cell r="V936">
            <v>17764900</v>
          </cell>
        </row>
        <row r="937">
          <cell r="J937">
            <v>2495</v>
          </cell>
          <cell r="K937">
            <v>43298</v>
          </cell>
          <cell r="L937" t="str">
            <v>CAJA DE VIVIENDA POPULAR</v>
          </cell>
          <cell r="M937">
            <v>1</v>
          </cell>
          <cell r="N937" t="str">
            <v>RELACION DE AUTORIZACION</v>
          </cell>
          <cell r="O937">
            <v>50</v>
          </cell>
          <cell r="P937">
            <v>43298</v>
          </cell>
          <cell r="Q937" t="str">
            <v>PAGO DE MI PLANILLA SEGURIDAD SOCIAL Y PARAFISCALES DE LA PLANTA TRANSITORIA DE LA ENTIDAD DEL MES DE JUNIO DE 2018 PROYECTO 404</v>
          </cell>
          <cell r="R937">
            <v>2114100</v>
          </cell>
          <cell r="S937">
            <v>0</v>
          </cell>
          <cell r="T937">
            <v>0</v>
          </cell>
          <cell r="U937">
            <v>2114100</v>
          </cell>
          <cell r="V937">
            <v>2114100</v>
          </cell>
        </row>
        <row r="938">
          <cell r="J938">
            <v>2522</v>
          </cell>
          <cell r="K938">
            <v>43305</v>
          </cell>
          <cell r="L938" t="str">
            <v>CAJA DE VIVIENDA POPULAR</v>
          </cell>
          <cell r="M938">
            <v>1</v>
          </cell>
          <cell r="N938" t="str">
            <v>RELACION DE AUTORIZACION</v>
          </cell>
          <cell r="O938">
            <v>53</v>
          </cell>
          <cell r="P938">
            <v>43305</v>
          </cell>
          <cell r="Q938" t="str">
            <v>PAGO DE NÓMINA DEL MES DE JULIO DE 2018 DE PLANTA TRANSITORIA PROYECTO 404</v>
          </cell>
          <cell r="R938">
            <v>2123236</v>
          </cell>
          <cell r="S938">
            <v>0</v>
          </cell>
          <cell r="T938">
            <v>0</v>
          </cell>
          <cell r="U938">
            <v>2123236</v>
          </cell>
          <cell r="V938">
            <v>2123236</v>
          </cell>
        </row>
        <row r="939">
          <cell r="J939">
            <v>2530</v>
          </cell>
          <cell r="K939">
            <v>43305</v>
          </cell>
          <cell r="L939" t="str">
            <v>CAJA DE VIVIENDA POPULAR</v>
          </cell>
          <cell r="M939">
            <v>1</v>
          </cell>
          <cell r="N939" t="str">
            <v>RELACION DE AUTORIZACION</v>
          </cell>
          <cell r="O939">
            <v>52</v>
          </cell>
          <cell r="P939">
            <v>43305</v>
          </cell>
          <cell r="Q939" t="str">
            <v>PAGO DE NÓMINA A FUNCIONARIOS DE PLANTA TEMPORAL PROYECTO 404 MES JULIO DE 2018</v>
          </cell>
          <cell r="R939">
            <v>28560572</v>
          </cell>
          <cell r="S939">
            <v>0</v>
          </cell>
          <cell r="T939">
            <v>0</v>
          </cell>
          <cell r="U939">
            <v>28560572</v>
          </cell>
          <cell r="V939">
            <v>28560572</v>
          </cell>
        </row>
        <row r="940">
          <cell r="J940">
            <v>2645</v>
          </cell>
          <cell r="K940">
            <v>43326</v>
          </cell>
          <cell r="L940" t="str">
            <v>CAJA DE VIVIENDA POPULAR</v>
          </cell>
          <cell r="M940">
            <v>1</v>
          </cell>
          <cell r="N940" t="str">
            <v>RELACION DE AUTORIZACION</v>
          </cell>
          <cell r="O940">
            <v>56</v>
          </cell>
          <cell r="P940">
            <v>43326</v>
          </cell>
          <cell r="Q940" t="str">
            <v>PAGO DE MI PLANILLA SEGURIDAD SOCIAL Y PARAFISCALES A FUNCIONARIOS DE PLANTA TRANSITORIA PROYECTO 404 MES DE JULIO DE 2018</v>
          </cell>
          <cell r="R940">
            <v>1359900</v>
          </cell>
          <cell r="S940">
            <v>0</v>
          </cell>
          <cell r="T940">
            <v>0</v>
          </cell>
          <cell r="U940">
            <v>1359900</v>
          </cell>
          <cell r="V940">
            <v>1359900</v>
          </cell>
        </row>
        <row r="941">
          <cell r="J941">
            <v>2650</v>
          </cell>
          <cell r="K941">
            <v>43326</v>
          </cell>
          <cell r="L941" t="str">
            <v>CAJA DE VIVIENDA POPULAR</v>
          </cell>
          <cell r="M941">
            <v>1</v>
          </cell>
          <cell r="N941" t="str">
            <v>RELACION DE AUTORIZACION</v>
          </cell>
          <cell r="O941">
            <v>55</v>
          </cell>
          <cell r="P941">
            <v>43326</v>
          </cell>
          <cell r="Q941" t="str">
            <v>PAGO D EMI PLANILLA SEGURIDAD SOCIAL Y PARAFISCALES DE LA PLANTA TEMPORAL DE LA ENTIDAD DEL MES DE JULIO DE 2018 PROYECTO 404</v>
          </cell>
          <cell r="R941">
            <v>11921900</v>
          </cell>
          <cell r="S941">
            <v>0</v>
          </cell>
          <cell r="T941">
            <v>0</v>
          </cell>
          <cell r="U941">
            <v>11921900</v>
          </cell>
          <cell r="V941">
            <v>11921900</v>
          </cell>
        </row>
        <row r="942">
          <cell r="J942">
            <v>2667</v>
          </cell>
          <cell r="K942">
            <v>43328</v>
          </cell>
          <cell r="L942" t="str">
            <v>CAJA DE VIVIENDA POPULAR</v>
          </cell>
          <cell r="M942">
            <v>1</v>
          </cell>
          <cell r="N942" t="str">
            <v>RELACION DE AUTORIZACION</v>
          </cell>
          <cell r="O942">
            <v>50</v>
          </cell>
          <cell r="P942">
            <v>43328</v>
          </cell>
          <cell r="Q942" t="str">
            <v>PAGO DE MI PLANILLA SEGURIDAD SOCIAL Y PARAFISCALES DE LA PLANTA TRANSITORIA DE LA ENTIDAD DEL MES DE JUNIO DE 2018 (AJUSTE POR  MENOR VALOR PAGADO) . PROYECTO 404</v>
          </cell>
          <cell r="R942">
            <v>30000</v>
          </cell>
          <cell r="S942">
            <v>0</v>
          </cell>
          <cell r="T942">
            <v>0</v>
          </cell>
          <cell r="U942">
            <v>30000</v>
          </cell>
          <cell r="V942">
            <v>30000</v>
          </cell>
        </row>
        <row r="943">
          <cell r="J943">
            <v>2731</v>
          </cell>
          <cell r="K943">
            <v>43336</v>
          </cell>
          <cell r="L943" t="str">
            <v>CAJA DE VIVIENDA POPULAR</v>
          </cell>
          <cell r="M943">
            <v>1</v>
          </cell>
          <cell r="N943" t="str">
            <v>RELACION DE AUTORIZACION</v>
          </cell>
          <cell r="O943">
            <v>59</v>
          </cell>
          <cell r="P943">
            <v>43336</v>
          </cell>
          <cell r="Q943" t="str">
            <v>PAGO DE NÓMINA DEL MES DE AGOSTO DE 2018 DE LA PLANTA TRANSITORIA PROYECTO 404</v>
          </cell>
          <cell r="R943">
            <v>4549790</v>
          </cell>
          <cell r="S943">
            <v>0</v>
          </cell>
          <cell r="T943">
            <v>0</v>
          </cell>
          <cell r="U943">
            <v>4549790</v>
          </cell>
          <cell r="V943">
            <v>4549790</v>
          </cell>
        </row>
        <row r="944">
          <cell r="J944">
            <v>2736</v>
          </cell>
          <cell r="K944">
            <v>43336</v>
          </cell>
          <cell r="L944" t="str">
            <v>CAJA DE VIVIENDA POPULAR</v>
          </cell>
          <cell r="M944">
            <v>1</v>
          </cell>
          <cell r="N944" t="str">
            <v>RELACION DE AUTORIZACION</v>
          </cell>
          <cell r="O944">
            <v>58</v>
          </cell>
          <cell r="P944">
            <v>43336</v>
          </cell>
          <cell r="Q944" t="str">
            <v>PAGO DE NÓMINA DEL MES DE AGOSTO DE 2018 DE LA PLANTA TEMPORAL PROYECTO 404</v>
          </cell>
          <cell r="R944">
            <v>33252459</v>
          </cell>
          <cell r="S944">
            <v>0</v>
          </cell>
          <cell r="T944">
            <v>0</v>
          </cell>
          <cell r="U944">
            <v>33252459</v>
          </cell>
          <cell r="V944">
            <v>33252459</v>
          </cell>
        </row>
        <row r="945">
          <cell r="J945">
            <v>307</v>
          </cell>
          <cell r="K945">
            <v>43122</v>
          </cell>
          <cell r="L945" t="str">
            <v>EMPRESA DE TELECOMUNICACIONES DE BOGOTA SA ESP</v>
          </cell>
          <cell r="M945">
            <v>28</v>
          </cell>
          <cell r="N945" t="str">
            <v>FACTURAS</v>
          </cell>
          <cell r="O945">
            <v>565515</v>
          </cell>
          <cell r="P945">
            <v>43122</v>
          </cell>
          <cell r="Q945" t="str">
            <v>PAGO DE INTERNET DE LA CAJA DE LA VIVIENDA POPULAR, PERIODO FACTURADO 01 DE DICIEMBRE DE 2017-31 DE DICIEMBRE DE 2017</v>
          </cell>
          <cell r="R945">
            <v>747183</v>
          </cell>
          <cell r="S945">
            <v>0</v>
          </cell>
          <cell r="T945">
            <v>0</v>
          </cell>
          <cell r="U945">
            <v>747183</v>
          </cell>
          <cell r="V945">
            <v>747183</v>
          </cell>
        </row>
        <row r="946">
          <cell r="J946">
            <v>319</v>
          </cell>
          <cell r="K946">
            <v>43122</v>
          </cell>
          <cell r="L946" t="str">
            <v>EMPRESA DE TELECOMUNICACIONES DE BOGOTA SA ESP</v>
          </cell>
          <cell r="M946">
            <v>28</v>
          </cell>
          <cell r="N946" t="str">
            <v>FACTURAS</v>
          </cell>
          <cell r="O946">
            <v>565515</v>
          </cell>
          <cell r="P946">
            <v>43122</v>
          </cell>
          <cell r="Q946" t="str">
            <v>PAGO DE INTERNET DE LA CAJA DE LA VIVIENDA POPULAR, FACTURA 247565515</v>
          </cell>
          <cell r="R946">
            <v>191533</v>
          </cell>
          <cell r="S946">
            <v>0</v>
          </cell>
          <cell r="T946">
            <v>0</v>
          </cell>
          <cell r="U946">
            <v>191533</v>
          </cell>
          <cell r="V946">
            <v>191533</v>
          </cell>
        </row>
        <row r="947">
          <cell r="J947">
            <v>488</v>
          </cell>
          <cell r="K947">
            <v>43126</v>
          </cell>
          <cell r="L947" t="str">
            <v>COLOMBIA TELECOMUNICACIONES S A E S P</v>
          </cell>
          <cell r="M947">
            <v>28</v>
          </cell>
          <cell r="N947" t="str">
            <v>FACTURAS</v>
          </cell>
          <cell r="O947">
            <v>43506</v>
          </cell>
          <cell r="P947">
            <v>43126</v>
          </cell>
          <cell r="Q947" t="str">
            <v>PAGO DE SERVICIO DE TELEFONÍA CELULAR DE LA CAJA DE CICIENDA POPULAR, PERIODO FACTURADO 17 DE ENERO DE 2018- 16 DE FEBRERO DE 2018</v>
          </cell>
          <cell r="R947">
            <v>654012</v>
          </cell>
          <cell r="S947">
            <v>0</v>
          </cell>
          <cell r="T947">
            <v>0</v>
          </cell>
          <cell r="U947">
            <v>654012</v>
          </cell>
          <cell r="V947">
            <v>654012</v>
          </cell>
        </row>
        <row r="948">
          <cell r="J948">
            <v>1457</v>
          </cell>
          <cell r="K948">
            <v>43153</v>
          </cell>
          <cell r="L948" t="str">
            <v>EMPRESA DE TELECOMUNICACIONES DE BOGOTA SA ESP</v>
          </cell>
          <cell r="M948">
            <v>28</v>
          </cell>
          <cell r="N948" t="str">
            <v>FACTURAS</v>
          </cell>
          <cell r="O948">
            <v>37984</v>
          </cell>
          <cell r="P948">
            <v>43153</v>
          </cell>
          <cell r="Q948" t="str">
            <v>PAGO DE SERVICIO DE INTERNET DE LA CAJA DE VIVIENDA POPULAR, PERIODO FACTURADO 01 DE ENERO DE 2018 - 31 DE ENERO DE 2018</v>
          </cell>
          <cell r="R948">
            <v>747185</v>
          </cell>
          <cell r="S948">
            <v>0</v>
          </cell>
          <cell r="T948">
            <v>0</v>
          </cell>
          <cell r="U948">
            <v>747185</v>
          </cell>
          <cell r="V948">
            <v>747185</v>
          </cell>
        </row>
        <row r="949">
          <cell r="J949">
            <v>1467</v>
          </cell>
          <cell r="K949">
            <v>43154</v>
          </cell>
          <cell r="L949" t="str">
            <v>COLOMBIA TELECOMUNICACIONES S A E S P</v>
          </cell>
          <cell r="M949">
            <v>28</v>
          </cell>
          <cell r="N949" t="str">
            <v>FACTURAS</v>
          </cell>
          <cell r="O949">
            <v>16154</v>
          </cell>
          <cell r="P949">
            <v>43154</v>
          </cell>
          <cell r="Q949" t="str">
            <v>PAGO DE SERVICIO DE TELEFONÍA CELULAR DE LA CAJA DE VIVIENDA POPULAR, PERÍODO FACTURADO 17 DE FEBRERO DE 2018 - 16 DE MARZO DE 2018</v>
          </cell>
          <cell r="R949">
            <v>655108</v>
          </cell>
          <cell r="S949">
            <v>0</v>
          </cell>
          <cell r="T949">
            <v>0</v>
          </cell>
          <cell r="U949">
            <v>655108</v>
          </cell>
          <cell r="V949">
            <v>655108</v>
          </cell>
        </row>
        <row r="950">
          <cell r="J950">
            <v>1620</v>
          </cell>
          <cell r="K950">
            <v>43181</v>
          </cell>
          <cell r="L950" t="str">
            <v>EMPRESA DE TELECOMUNICACIONES DE BOGOTA SA ESP</v>
          </cell>
          <cell r="M950">
            <v>28</v>
          </cell>
          <cell r="N950" t="str">
            <v>FACTURAS</v>
          </cell>
          <cell r="O950">
            <v>20173</v>
          </cell>
          <cell r="P950">
            <v>43181</v>
          </cell>
          <cell r="Q950" t="str">
            <v>PAGO DE INTERNET DE LA CAJA DE LA VIVIENDA POPULAR PERIODO FACTURADO FEBRERO 01 AL 28 DE 2018</v>
          </cell>
          <cell r="R950">
            <v>748900</v>
          </cell>
          <cell r="S950">
            <v>0</v>
          </cell>
          <cell r="T950">
            <v>0</v>
          </cell>
          <cell r="U950">
            <v>748900</v>
          </cell>
          <cell r="V950">
            <v>748900</v>
          </cell>
        </row>
        <row r="951">
          <cell r="J951">
            <v>1659</v>
          </cell>
          <cell r="K951">
            <v>43185</v>
          </cell>
          <cell r="L951" t="str">
            <v>COLOMBIA TELECOMUNICACIONES S A E S P</v>
          </cell>
          <cell r="M951">
            <v>28</v>
          </cell>
          <cell r="N951" t="str">
            <v>FACTURAS</v>
          </cell>
          <cell r="O951">
            <v>11910</v>
          </cell>
          <cell r="P951">
            <v>43185</v>
          </cell>
          <cell r="Q951" t="str">
            <v>PAGO DE SERVICIO DE TELEFONÍA CELULAR DE LA CAJA DE VIVIENDA POPULAR, PERÍODO FACTURADO 17 DE MARZO AL 16 DE ABRIL DE 2018</v>
          </cell>
          <cell r="R951">
            <v>654012</v>
          </cell>
          <cell r="S951">
            <v>0</v>
          </cell>
          <cell r="T951">
            <v>0</v>
          </cell>
          <cell r="U951">
            <v>654012</v>
          </cell>
          <cell r="V951">
            <v>654012</v>
          </cell>
        </row>
        <row r="952">
          <cell r="J952">
            <v>1813</v>
          </cell>
          <cell r="K952">
            <v>43209</v>
          </cell>
          <cell r="L952" t="str">
            <v>EMPRESA DE TELECOMUNICACIONES DE BOGOTA SA ESP</v>
          </cell>
          <cell r="M952">
            <v>28</v>
          </cell>
          <cell r="N952" t="str">
            <v>FACTURAS</v>
          </cell>
          <cell r="O952">
            <v>971377</v>
          </cell>
          <cell r="P952">
            <v>43209</v>
          </cell>
          <cell r="Q952" t="str">
            <v>PAGO DE INTERNET DE LA CAJA DE LA VIVIENDA POPULAR PERIODO FACTURADO : MARZO 1-31 DE 2018</v>
          </cell>
          <cell r="R952">
            <v>748901</v>
          </cell>
          <cell r="S952">
            <v>0</v>
          </cell>
          <cell r="T952">
            <v>0</v>
          </cell>
          <cell r="U952">
            <v>748901</v>
          </cell>
          <cell r="V952">
            <v>748901</v>
          </cell>
        </row>
        <row r="953">
          <cell r="J953">
            <v>1847</v>
          </cell>
          <cell r="K953">
            <v>43217</v>
          </cell>
          <cell r="L953" t="str">
            <v>COLOMBIA TELECOMUNICACIONES S A E S P</v>
          </cell>
          <cell r="M953">
            <v>28</v>
          </cell>
          <cell r="N953" t="str">
            <v>FACTURAS</v>
          </cell>
          <cell r="O953">
            <v>493615</v>
          </cell>
          <cell r="P953">
            <v>43217</v>
          </cell>
          <cell r="Q953" t="str">
            <v>PAGO SERVICIO DE TELEFONÍA CELULAR CVP PERIODO 17 ABRIL A 16 MAYO DE 2018</v>
          </cell>
          <cell r="R953">
            <v>654012</v>
          </cell>
          <cell r="S953">
            <v>0</v>
          </cell>
          <cell r="T953">
            <v>0</v>
          </cell>
          <cell r="U953">
            <v>654012</v>
          </cell>
          <cell r="V953">
            <v>654012</v>
          </cell>
        </row>
        <row r="954">
          <cell r="J954">
            <v>1923</v>
          </cell>
          <cell r="K954">
            <v>43241</v>
          </cell>
          <cell r="L954" t="str">
            <v>EMPRESA DE TELECOMUNICACIONES DE BOGOTA SA ESP</v>
          </cell>
          <cell r="M954">
            <v>28</v>
          </cell>
          <cell r="N954" t="str">
            <v>FACTURAS</v>
          </cell>
          <cell r="O954">
            <v>249536</v>
          </cell>
          <cell r="P954">
            <v>43241</v>
          </cell>
          <cell r="Q954" t="str">
            <v>PAGO DE INTERNET DE LA CAJA DE LA VIVIENDA POPULAR PERIODO FACTURADO : ABRIL 1 A MAYO 31 DE 2018</v>
          </cell>
          <cell r="R954">
            <v>517301</v>
          </cell>
          <cell r="S954">
            <v>517301</v>
          </cell>
          <cell r="T954">
            <v>0</v>
          </cell>
          <cell r="U954">
            <v>0</v>
          </cell>
          <cell r="V954">
            <v>0</v>
          </cell>
        </row>
        <row r="955">
          <cell r="J955">
            <v>1931</v>
          </cell>
          <cell r="K955">
            <v>43242</v>
          </cell>
          <cell r="L955" t="str">
            <v>EMPRESA DE TELECOMUNICACIONES DE BOGOTA SA ESP</v>
          </cell>
          <cell r="M955">
            <v>28</v>
          </cell>
          <cell r="N955" t="str">
            <v>FACTURAS</v>
          </cell>
          <cell r="O955">
            <v>249536</v>
          </cell>
          <cell r="P955">
            <v>43242</v>
          </cell>
          <cell r="Q955" t="str">
            <v>PAGO DE INTERNET DE LA CAJA DE LA VIVIENDA POPULAR. PERIODO FACTURADO : ABRIL 1-30 DE 2018</v>
          </cell>
          <cell r="R955">
            <v>517301</v>
          </cell>
          <cell r="S955">
            <v>0</v>
          </cell>
          <cell r="T955">
            <v>0</v>
          </cell>
          <cell r="U955">
            <v>517301</v>
          </cell>
          <cell r="V955">
            <v>517301</v>
          </cell>
        </row>
        <row r="956">
          <cell r="J956">
            <v>1958</v>
          </cell>
          <cell r="K956">
            <v>43249</v>
          </cell>
          <cell r="L956" t="str">
            <v>COLOMBIA TELECOMUNICACIONES S A E S P</v>
          </cell>
          <cell r="M956">
            <v>28</v>
          </cell>
          <cell r="N956" t="str">
            <v>FACTURAS</v>
          </cell>
          <cell r="O956">
            <v>287285</v>
          </cell>
          <cell r="P956">
            <v>43249</v>
          </cell>
          <cell r="Q956" t="str">
            <v>SERVICIO DE TELEFONÍA CELULAR DE LA CAJA DE LA VIVIENDA POPULAR, PERIODO FACTURADO: MAYO 17 A JUNIO 16 DE 2018</v>
          </cell>
          <cell r="R956">
            <v>654012</v>
          </cell>
          <cell r="S956">
            <v>0</v>
          </cell>
          <cell r="T956">
            <v>0</v>
          </cell>
          <cell r="U956">
            <v>654012</v>
          </cell>
          <cell r="V956">
            <v>654012</v>
          </cell>
        </row>
        <row r="957">
          <cell r="J957">
            <v>2038</v>
          </cell>
          <cell r="K957">
            <v>43271</v>
          </cell>
          <cell r="L957" t="str">
            <v>EMPRESA DE TELECOMUNICACIONES DE BOGOTA SA ESP</v>
          </cell>
          <cell r="M957">
            <v>28</v>
          </cell>
          <cell r="N957" t="str">
            <v>FACTURAS</v>
          </cell>
          <cell r="O957">
            <v>545414</v>
          </cell>
          <cell r="P957">
            <v>43271</v>
          </cell>
          <cell r="Q957" t="str">
            <v>PAGO DE INTERNET DE LA CAJA DE LA VIVIENDA POPULAR, PERIODO FACTURADO : MAYO 1-31 DE 2018</v>
          </cell>
          <cell r="R957">
            <v>517301</v>
          </cell>
          <cell r="S957">
            <v>0</v>
          </cell>
          <cell r="T957">
            <v>0</v>
          </cell>
          <cell r="U957">
            <v>517301</v>
          </cell>
          <cell r="V957">
            <v>517301</v>
          </cell>
        </row>
        <row r="958">
          <cell r="J958">
            <v>2146</v>
          </cell>
          <cell r="K958">
            <v>43277</v>
          </cell>
          <cell r="L958" t="str">
            <v>COLOMBIA TELECOMUNICACIONES S A E S P</v>
          </cell>
          <cell r="M958">
            <v>28</v>
          </cell>
          <cell r="N958" t="str">
            <v>FACTURAS</v>
          </cell>
          <cell r="O958">
            <v>8061701</v>
          </cell>
          <cell r="P958">
            <v>43277</v>
          </cell>
          <cell r="Q958" t="str">
            <v>SERVICIO DE TELEFONÍA CELULAR CVP PERIODO JUNIO 17 A JULIO 16 DE 2018 S/G FACTURA EC178061701</v>
          </cell>
          <cell r="R958">
            <v>654012</v>
          </cell>
          <cell r="S958">
            <v>0</v>
          </cell>
          <cell r="T958">
            <v>0</v>
          </cell>
          <cell r="U958">
            <v>654012</v>
          </cell>
          <cell r="V958">
            <v>654012</v>
          </cell>
        </row>
        <row r="959">
          <cell r="J959">
            <v>2504</v>
          </cell>
          <cell r="K959">
            <v>43299</v>
          </cell>
          <cell r="L959" t="str">
            <v>EMPRESA DE TELECOMUNICACIONES DE BOGOTA SA ESP</v>
          </cell>
          <cell r="M959">
            <v>28</v>
          </cell>
          <cell r="N959" t="str">
            <v>FACTURAS</v>
          </cell>
          <cell r="O959">
            <v>944029</v>
          </cell>
          <cell r="P959">
            <v>43299</v>
          </cell>
          <cell r="Q959" t="str">
            <v>PAGO DE INTERNET DE LA CAJA DE LA VIVIENDA POPULAR, PERIODO FACTURADO : JUNIO1-30 DE 2018</v>
          </cell>
          <cell r="R959">
            <v>694800</v>
          </cell>
          <cell r="S959">
            <v>0</v>
          </cell>
          <cell r="T959">
            <v>0</v>
          </cell>
          <cell r="U959">
            <v>694800</v>
          </cell>
          <cell r="V959">
            <v>694800</v>
          </cell>
        </row>
        <row r="960">
          <cell r="J960">
            <v>2532</v>
          </cell>
          <cell r="K960">
            <v>43305</v>
          </cell>
          <cell r="L960" t="str">
            <v>COLOMBIA TELECOMUNICACIONES S A E S P</v>
          </cell>
          <cell r="M960">
            <v>28</v>
          </cell>
          <cell r="N960" t="str">
            <v>FACTURAS</v>
          </cell>
          <cell r="O960">
            <v>841394</v>
          </cell>
          <cell r="P960">
            <v>43305</v>
          </cell>
          <cell r="Q960" t="str">
            <v>PAGO SERVICIO DE TELEFONÍA CELULAR, PERIODO FACTURADO: JULIO 17 A AGOSTO 16 DE 2018.</v>
          </cell>
          <cell r="R960">
            <v>692722</v>
          </cell>
          <cell r="S960">
            <v>0</v>
          </cell>
          <cell r="T960">
            <v>0</v>
          </cell>
          <cell r="U960">
            <v>692722</v>
          </cell>
          <cell r="V960">
            <v>692722</v>
          </cell>
        </row>
        <row r="961">
          <cell r="J961">
            <v>2687</v>
          </cell>
          <cell r="K961">
            <v>43333</v>
          </cell>
          <cell r="L961" t="str">
            <v>EMPRESA DE TELECOMUNICACIONES DE BOGOTA SA ESP</v>
          </cell>
          <cell r="M961">
            <v>28</v>
          </cell>
          <cell r="N961" t="str">
            <v>FACTURAS</v>
          </cell>
          <cell r="O961">
            <v>132793</v>
          </cell>
          <cell r="P961">
            <v>43333</v>
          </cell>
          <cell r="Q961" t="str">
            <v>PAGO DE INTERNET DE LA CAJA DE LA VIVIENDA POPULAR. PERIODO FACTURADO : JULIO 1- 31 DE 2018</v>
          </cell>
          <cell r="R961">
            <v>745331</v>
          </cell>
          <cell r="S961">
            <v>0</v>
          </cell>
          <cell r="T961">
            <v>0</v>
          </cell>
          <cell r="U961">
            <v>745331</v>
          </cell>
          <cell r="V961">
            <v>745331</v>
          </cell>
        </row>
        <row r="962">
          <cell r="J962">
            <v>2751</v>
          </cell>
          <cell r="K962">
            <v>43336</v>
          </cell>
          <cell r="L962" t="str">
            <v>COLOMBIA TELECOMUNICACIONES S A E S P</v>
          </cell>
          <cell r="M962">
            <v>28</v>
          </cell>
          <cell r="N962" t="str">
            <v>FACTURAS</v>
          </cell>
          <cell r="O962">
            <v>652520</v>
          </cell>
          <cell r="P962">
            <v>43336</v>
          </cell>
          <cell r="Q962" t="str">
            <v>SERVICIO DE TELEFONÍA CELULAR PERIODO AGOSTO 17 A SEPTIEMBRE 16 DE 2018 S/F 183652520</v>
          </cell>
          <cell r="R962">
            <v>692357</v>
          </cell>
          <cell r="S962">
            <v>692357</v>
          </cell>
          <cell r="T962">
            <v>0</v>
          </cell>
          <cell r="U962">
            <v>0</v>
          </cell>
          <cell r="V962">
            <v>0</v>
          </cell>
        </row>
        <row r="963">
          <cell r="J963">
            <v>2753</v>
          </cell>
          <cell r="K963">
            <v>43339</v>
          </cell>
          <cell r="L963" t="str">
            <v>COLOMBIA TELECOMUNICACIONES S A E S P</v>
          </cell>
          <cell r="M963">
            <v>28</v>
          </cell>
          <cell r="N963" t="str">
            <v>FACTURAS</v>
          </cell>
          <cell r="O963">
            <v>652520</v>
          </cell>
          <cell r="P963">
            <v>43339</v>
          </cell>
          <cell r="Q963" t="str">
            <v>SERVICIO DE TELEFONÍA CELULAR PERIODO AGOSTO 17 A SEPTIEMBRE 16 DE 2018 S/F 183652520</v>
          </cell>
          <cell r="R963">
            <v>692357</v>
          </cell>
          <cell r="S963">
            <v>0</v>
          </cell>
          <cell r="T963">
            <v>0</v>
          </cell>
          <cell r="U963">
            <v>692357</v>
          </cell>
          <cell r="V963">
            <v>692357</v>
          </cell>
        </row>
        <row r="964">
          <cell r="J964">
            <v>122</v>
          </cell>
          <cell r="K964">
            <v>43117</v>
          </cell>
          <cell r="L964" t="str">
            <v>CODENSA S. A. ESP</v>
          </cell>
          <cell r="M964">
            <v>28</v>
          </cell>
          <cell r="N964" t="str">
            <v>FACTURAS</v>
          </cell>
          <cell r="O964">
            <v>608365</v>
          </cell>
          <cell r="P964">
            <v>43117</v>
          </cell>
          <cell r="Q964" t="str">
            <v>PAGO DEL SERVICIOS DE ENERGIA DE LA CAJA DE LA VIVIENDA POPULAR PERIODO DEL12 DICIEMBRE AL 11 DE ENERO 2018</v>
          </cell>
          <cell r="R964">
            <v>11671210</v>
          </cell>
          <cell r="S964">
            <v>0</v>
          </cell>
          <cell r="T964">
            <v>0</v>
          </cell>
          <cell r="U964">
            <v>11671210</v>
          </cell>
          <cell r="V964">
            <v>11671210</v>
          </cell>
        </row>
        <row r="965">
          <cell r="J965">
            <v>1378</v>
          </cell>
          <cell r="K965">
            <v>43147</v>
          </cell>
          <cell r="L965" t="str">
            <v>CODENSA S. A. ESP</v>
          </cell>
          <cell r="M965">
            <v>28</v>
          </cell>
          <cell r="N965" t="str">
            <v>FACTURAS</v>
          </cell>
          <cell r="O965">
            <v>697031</v>
          </cell>
          <cell r="P965">
            <v>43147</v>
          </cell>
          <cell r="Q965" t="str">
            <v>PAGO DEL SERVICIOS DE ENERGIA DE LA CAJA DE LA VIVIENDA POPULAR, PERIODO FACTURADO AL 11 DE ENERO DE 2018 AL 09 DE FEBRERO DE 2018.</v>
          </cell>
          <cell r="R965">
            <v>12461870</v>
          </cell>
          <cell r="S965">
            <v>0</v>
          </cell>
          <cell r="T965">
            <v>0</v>
          </cell>
          <cell r="U965">
            <v>12461870</v>
          </cell>
          <cell r="V965">
            <v>12461870</v>
          </cell>
        </row>
        <row r="966">
          <cell r="J966">
            <v>1600</v>
          </cell>
          <cell r="K966">
            <v>43179</v>
          </cell>
          <cell r="L966" t="str">
            <v>CODENSA S. A. ESP</v>
          </cell>
          <cell r="M966">
            <v>28</v>
          </cell>
          <cell r="N966" t="str">
            <v>FACTURAS</v>
          </cell>
          <cell r="O966">
            <v>818060</v>
          </cell>
          <cell r="P966">
            <v>43179</v>
          </cell>
          <cell r="Q966" t="str">
            <v>PAGO DEL SERVICIOS DE ENERGIA DE LA CAJA DE LA VIVIENDA POPULAR, PERIODO FACTURADO AL 09 DE FEBRERO DE 2018 AL 09 DE MARZO DE 2018</v>
          </cell>
          <cell r="R966">
            <v>12139210</v>
          </cell>
          <cell r="S966">
            <v>0</v>
          </cell>
          <cell r="T966">
            <v>0</v>
          </cell>
          <cell r="U966">
            <v>12139210</v>
          </cell>
          <cell r="V966">
            <v>12139210</v>
          </cell>
        </row>
        <row r="967">
          <cell r="J967">
            <v>1805</v>
          </cell>
          <cell r="K967">
            <v>43207</v>
          </cell>
          <cell r="L967" t="str">
            <v>CODENSA S. A. ESP</v>
          </cell>
          <cell r="M967">
            <v>28</v>
          </cell>
          <cell r="N967" t="str">
            <v>FACTURAS</v>
          </cell>
          <cell r="O967">
            <v>886232</v>
          </cell>
          <cell r="P967">
            <v>43207</v>
          </cell>
          <cell r="Q967" t="str">
            <v>PAGO DEL SERVICIOS DE ENERGIA DE LA CAJA DE LA VIVIENDA POPULAR- CUENTA N°0429213-0, PERIODO FACTURADO: MARZO 9- ABRIL 11 DE 2018</v>
          </cell>
          <cell r="R967">
            <v>14173580</v>
          </cell>
          <cell r="S967">
            <v>0</v>
          </cell>
          <cell r="T967">
            <v>0</v>
          </cell>
          <cell r="U967">
            <v>14173580</v>
          </cell>
          <cell r="V967">
            <v>14173580</v>
          </cell>
        </row>
        <row r="968">
          <cell r="J968">
            <v>1917</v>
          </cell>
          <cell r="K968">
            <v>43241</v>
          </cell>
          <cell r="L968" t="str">
            <v>CODENSA S. A. ESP</v>
          </cell>
          <cell r="M968">
            <v>28</v>
          </cell>
          <cell r="N968" t="str">
            <v>FACTURAS</v>
          </cell>
          <cell r="O968">
            <v>138680</v>
          </cell>
          <cell r="P968">
            <v>43241</v>
          </cell>
          <cell r="Q968" t="str">
            <v>PAGO DEL SERVICIOS DE ENERGIA DE LA CAJA DE LA VIVIENDA POPULAR- CUENTA N0429213-0,PERIODO FCATURADO: ABRIL 11 A MAYO 10 DE 2018</v>
          </cell>
          <cell r="R968">
            <v>13018290</v>
          </cell>
          <cell r="S968">
            <v>0</v>
          </cell>
          <cell r="T968">
            <v>0</v>
          </cell>
          <cell r="U968">
            <v>13018290</v>
          </cell>
          <cell r="V968">
            <v>13018290</v>
          </cell>
        </row>
        <row r="969">
          <cell r="J969">
            <v>2037</v>
          </cell>
          <cell r="K969">
            <v>43271</v>
          </cell>
          <cell r="L969" t="str">
            <v>CODENSA S. A. ESP</v>
          </cell>
          <cell r="M969">
            <v>28</v>
          </cell>
          <cell r="N969" t="str">
            <v>FACTURAS</v>
          </cell>
          <cell r="O969">
            <v>3023709</v>
          </cell>
          <cell r="P969">
            <v>43271</v>
          </cell>
          <cell r="Q969" t="str">
            <v>PAGO DEL SERVICIOS DE ENERGIA DE LA CAJA DE LA VIVIENDA POPULAR S/G FACTURA 513023709 PERIODO MAYO 10 A JUNIO 12 DE 2018</v>
          </cell>
          <cell r="R969">
            <v>12747380</v>
          </cell>
          <cell r="S969">
            <v>0</v>
          </cell>
          <cell r="T969">
            <v>0</v>
          </cell>
          <cell r="U969">
            <v>12747380</v>
          </cell>
          <cell r="V969">
            <v>12747380</v>
          </cell>
        </row>
        <row r="970">
          <cell r="J970">
            <v>2502</v>
          </cell>
          <cell r="K970">
            <v>43299</v>
          </cell>
          <cell r="L970" t="str">
            <v>CODENSA S. A. ESP</v>
          </cell>
          <cell r="M970">
            <v>28</v>
          </cell>
          <cell r="N970" t="str">
            <v>FACTURAS</v>
          </cell>
          <cell r="O970">
            <v>384559</v>
          </cell>
          <cell r="P970">
            <v>43299</v>
          </cell>
          <cell r="Q970" t="str">
            <v>PAGO DEL SERVICIOS DE ENERGIA DE LA CAJA DE LA VIVIENDA POPULAR S/G FACTURA 516384559 PERIODO 12 JUNIO A 11 JULIO DE 2018</v>
          </cell>
          <cell r="R970">
            <v>12613650</v>
          </cell>
          <cell r="S970">
            <v>0</v>
          </cell>
          <cell r="T970">
            <v>0</v>
          </cell>
          <cell r="U970">
            <v>12613650</v>
          </cell>
          <cell r="V970">
            <v>12613650</v>
          </cell>
        </row>
        <row r="971">
          <cell r="J971">
            <v>2720</v>
          </cell>
          <cell r="K971">
            <v>43335</v>
          </cell>
          <cell r="L971" t="str">
            <v>CODENSA S. A. ESP</v>
          </cell>
          <cell r="M971">
            <v>28</v>
          </cell>
          <cell r="N971" t="str">
            <v>FACTURAS</v>
          </cell>
          <cell r="O971">
            <v>994486</v>
          </cell>
          <cell r="P971">
            <v>43335</v>
          </cell>
          <cell r="Q971" t="str">
            <v>PAGO DEL SERVICIOS DE ENERGIA DE LA CAJA DE LA VIVIENDA POPULAR CUENTA N°0429213-0, PERIODO FACTURADO : 11 DE JULIO A AGOSTO 10 DE 2018</v>
          </cell>
          <cell r="R971">
            <v>12687370</v>
          </cell>
          <cell r="S971">
            <v>0</v>
          </cell>
          <cell r="T971">
            <v>0</v>
          </cell>
          <cell r="U971">
            <v>12687370</v>
          </cell>
          <cell r="V971">
            <v>12687370</v>
          </cell>
        </row>
        <row r="972">
          <cell r="J972">
            <v>1360</v>
          </cell>
          <cell r="K972">
            <v>43146</v>
          </cell>
          <cell r="L972" t="str">
            <v>EMPRESA DE ACUEDUCTO ALCANTARILLADO Y ASEO DE BOGOTA ESP</v>
          </cell>
          <cell r="M972">
            <v>115</v>
          </cell>
          <cell r="N972" t="str">
            <v>RECIBO</v>
          </cell>
          <cell r="O972">
            <v>416516</v>
          </cell>
          <cell r="P972">
            <v>43146</v>
          </cell>
          <cell r="Q972" t="str">
            <v>PAGO DEL SERVICIO DE ACUEDUCTO Y ALCANTARILLADO DE LA CAJA DE LA VIVIENDA POPULAR, PERIODO FACTURADO 16 DE NOVIEMBRE DE 2017-16 DE ENERO DE 2018</v>
          </cell>
          <cell r="R972">
            <v>3148870</v>
          </cell>
          <cell r="S972">
            <v>3148870</v>
          </cell>
          <cell r="T972">
            <v>0</v>
          </cell>
          <cell r="U972">
            <v>0</v>
          </cell>
          <cell r="V972">
            <v>0</v>
          </cell>
        </row>
        <row r="973">
          <cell r="J973">
            <v>1379</v>
          </cell>
          <cell r="K973">
            <v>43147</v>
          </cell>
          <cell r="L973" t="str">
            <v>EMPRESA DE ACUEDUCTO ALCANTARILLADO Y ASEO DE BOGOTA ESP</v>
          </cell>
          <cell r="M973">
            <v>28</v>
          </cell>
          <cell r="N973" t="str">
            <v>FACTURAS</v>
          </cell>
          <cell r="O973">
            <v>416516</v>
          </cell>
          <cell r="P973">
            <v>43147</v>
          </cell>
          <cell r="Q973" t="str">
            <v>PAGO DEL SERVICIO DE ACUEDUCTO Y ALCANTARILLADO DE LA CAJA DE LA VIVIENDA POPULAR, PERIODO FACTURADO 16 DE NOVIEMBRE DE 2017-16 DE ENERO DE 2018</v>
          </cell>
          <cell r="R973">
            <v>3148870</v>
          </cell>
          <cell r="S973">
            <v>0</v>
          </cell>
          <cell r="T973">
            <v>0</v>
          </cell>
          <cell r="U973">
            <v>3148870</v>
          </cell>
          <cell r="V973">
            <v>3148870</v>
          </cell>
        </row>
        <row r="974">
          <cell r="J974">
            <v>1804</v>
          </cell>
          <cell r="K974">
            <v>43206</v>
          </cell>
          <cell r="L974" t="str">
            <v>EMPRESA DE ACUEDUCTO ALCANTARILLADO Y ASEO DE BOGOTA ESP</v>
          </cell>
          <cell r="M974">
            <v>28</v>
          </cell>
          <cell r="N974" t="str">
            <v>FACTURAS</v>
          </cell>
          <cell r="O974">
            <v>864118</v>
          </cell>
          <cell r="P974">
            <v>43206</v>
          </cell>
          <cell r="Q974" t="str">
            <v>PAGO DEL SERVICIO DE ACUEDUCTO DE LA CAJA DE LA VIVIENDA POPULAR- PERIODO FACTURADO: ENERO 17 A MARZO 15 DE 2018</v>
          </cell>
          <cell r="R974">
            <v>4058310</v>
          </cell>
          <cell r="S974">
            <v>0</v>
          </cell>
          <cell r="T974">
            <v>0</v>
          </cell>
          <cell r="U974">
            <v>4058310</v>
          </cell>
          <cell r="V974">
            <v>4058310</v>
          </cell>
        </row>
        <row r="975">
          <cell r="J975">
            <v>2016</v>
          </cell>
          <cell r="K975">
            <v>43266</v>
          </cell>
          <cell r="L975" t="str">
            <v>EMPRESA DE ACUEDUCTO ALCANTARILLADO Y ASEO DE BOGOTA ESP</v>
          </cell>
          <cell r="M975">
            <v>28</v>
          </cell>
          <cell r="N975" t="str">
            <v>FACTURAS</v>
          </cell>
          <cell r="O975">
            <v>961012</v>
          </cell>
          <cell r="P975">
            <v>43266</v>
          </cell>
          <cell r="Q975" t="str">
            <v>PAGO DEL SERVICIO DE ACUEDUCTO Y ALCANTARILLADO DE LA CAJA DE LA VIVIENDA POPULAR PERIODO FACTURADO MARZO 16 A MAYO 16 DE 2018 S/G FACTURA 29420961012</v>
          </cell>
          <cell r="R975">
            <v>1901250</v>
          </cell>
          <cell r="S975">
            <v>0</v>
          </cell>
          <cell r="T975">
            <v>0</v>
          </cell>
          <cell r="U975">
            <v>1901250</v>
          </cell>
          <cell r="V975">
            <v>1901250</v>
          </cell>
        </row>
        <row r="976">
          <cell r="J976">
            <v>2646</v>
          </cell>
          <cell r="K976">
            <v>43326</v>
          </cell>
          <cell r="L976" t="str">
            <v>EMPRESA DE ACUEDUCTO ALCANTARILLADO Y ASEO DE BOGOTA ESP</v>
          </cell>
          <cell r="M976">
            <v>28</v>
          </cell>
          <cell r="N976" t="str">
            <v>FACTURAS</v>
          </cell>
          <cell r="O976">
            <v>960615</v>
          </cell>
          <cell r="P976">
            <v>43326</v>
          </cell>
          <cell r="Q976" t="str">
            <v>PAGO DEL SERVICIO DE ACUEDUCTO Y ALCANTARILLADO DE LA CAJA DE LA VIVIENDA POPULAR, PERIODO FACTURADO: MAYO17 A JULIO 13 DE 2018</v>
          </cell>
          <cell r="R976">
            <v>2125180</v>
          </cell>
          <cell r="S976">
            <v>0</v>
          </cell>
          <cell r="T976">
            <v>0</v>
          </cell>
          <cell r="U976">
            <v>2125180</v>
          </cell>
          <cell r="V976">
            <v>2125180</v>
          </cell>
        </row>
        <row r="977">
          <cell r="J977">
            <v>1380</v>
          </cell>
          <cell r="K977">
            <v>43147</v>
          </cell>
          <cell r="L977" t="str">
            <v>EMPRESA DE ACUEDUCTO ALCANTARILLADO Y ASEO DE BOGOTA ESP</v>
          </cell>
          <cell r="M977">
            <v>28</v>
          </cell>
          <cell r="N977" t="str">
            <v>FACTURAS</v>
          </cell>
          <cell r="O977">
            <v>807319</v>
          </cell>
          <cell r="P977">
            <v>43147</v>
          </cell>
          <cell r="Q977" t="str">
            <v>PAGO DEL SERVICIO DE ASEO DE LA CAJA DE LA VIVIENDA POPULAR, PERIODO FACTURADO 18 DE OCTUBRE DE 2017- 16 DE DICIEMBRE DE 2017</v>
          </cell>
          <cell r="R977">
            <v>1730670</v>
          </cell>
          <cell r="S977">
            <v>0</v>
          </cell>
          <cell r="T977">
            <v>0</v>
          </cell>
          <cell r="U977">
            <v>1730670</v>
          </cell>
          <cell r="V977">
            <v>1730670</v>
          </cell>
        </row>
        <row r="978">
          <cell r="J978">
            <v>1803</v>
          </cell>
          <cell r="K978">
            <v>43206</v>
          </cell>
          <cell r="L978" t="str">
            <v>EMPRESA DE ACUEDUCTO ALCANTARILLADO Y ASEO DE BOGOTA ESP</v>
          </cell>
          <cell r="M978">
            <v>28</v>
          </cell>
          <cell r="N978" t="str">
            <v>FACTURAS</v>
          </cell>
          <cell r="O978">
            <v>272015</v>
          </cell>
          <cell r="P978">
            <v>43206</v>
          </cell>
          <cell r="Q978" t="str">
            <v>PAGO DEL SERVICIO DE ASEO DE LA CAJA DE LA VIVIENDA POPULAR- PERIODO FACTURADO : DICIEMBRE 17 DE 2017 A FEBRERO 14 DE 2018</v>
          </cell>
          <cell r="R978">
            <v>1863913</v>
          </cell>
          <cell r="S978">
            <v>0</v>
          </cell>
          <cell r="T978">
            <v>0</v>
          </cell>
          <cell r="U978">
            <v>1863913</v>
          </cell>
          <cell r="V978">
            <v>1863913</v>
          </cell>
        </row>
        <row r="979">
          <cell r="J979">
            <v>2586</v>
          </cell>
          <cell r="K979">
            <v>43315</v>
          </cell>
          <cell r="L979" t="str">
            <v>PROMOAMBIENTAL DISTRITO S A S ESP</v>
          </cell>
          <cell r="M979">
            <v>28</v>
          </cell>
          <cell r="N979" t="str">
            <v>FACTURAS</v>
          </cell>
          <cell r="O979">
            <v>666406</v>
          </cell>
          <cell r="P979">
            <v>43315</v>
          </cell>
          <cell r="Q979" t="str">
            <v>PAGO DEL SERVICIO DE ASEO DE LA CAJA DE LA VIVIENDA POPULAR- PERIODO FACTURADO: FEBRERO 12 A ABRIL 30 DE 2018</v>
          </cell>
          <cell r="R979">
            <v>1254380</v>
          </cell>
          <cell r="S979">
            <v>0</v>
          </cell>
          <cell r="T979">
            <v>0</v>
          </cell>
          <cell r="U979">
            <v>1254380</v>
          </cell>
          <cell r="V979">
            <v>1254380</v>
          </cell>
        </row>
        <row r="980">
          <cell r="J980">
            <v>313</v>
          </cell>
          <cell r="K980">
            <v>43122</v>
          </cell>
          <cell r="L980" t="str">
            <v>EMPRESA DE TELECOMUNICACIONES DE BOGOTA SA ESP</v>
          </cell>
          <cell r="M980">
            <v>28</v>
          </cell>
          <cell r="N980" t="str">
            <v>FACTURAS</v>
          </cell>
          <cell r="O980">
            <v>564832</v>
          </cell>
          <cell r="P980">
            <v>43122</v>
          </cell>
          <cell r="Q980" t="str">
            <v>PAGO DEL SERVICIO DE TELEFONO DE LA CAJA DE LA VIVIENDA POPULAR PERIODO FACTURADO DEL 01 DE DICIEMBRE AL 31 DICIEMBRE DE 2017</v>
          </cell>
          <cell r="R980">
            <v>5467334</v>
          </cell>
          <cell r="S980">
            <v>0</v>
          </cell>
          <cell r="T980">
            <v>0</v>
          </cell>
          <cell r="U980">
            <v>5467334</v>
          </cell>
          <cell r="V980">
            <v>5467334</v>
          </cell>
        </row>
        <row r="981">
          <cell r="J981">
            <v>1456</v>
          </cell>
          <cell r="K981">
            <v>43153</v>
          </cell>
          <cell r="L981" t="str">
            <v>EMPRESA DE TELECOMUNICACIONES DE BOGOTA SA ESP</v>
          </cell>
          <cell r="M981">
            <v>28</v>
          </cell>
          <cell r="N981" t="str">
            <v>FACTURAS</v>
          </cell>
          <cell r="O981">
            <v>37319</v>
          </cell>
          <cell r="P981">
            <v>43153</v>
          </cell>
          <cell r="Q981" t="str">
            <v>PAGO DE SERVICIO DE TELEFONO DE LA CAJA DE VIVIENDA POPULAR, PERIODO FACTURADO 01 DE ENERO DE 2018 - 31 DE ENERO DE 2018</v>
          </cell>
          <cell r="R981">
            <v>5852635</v>
          </cell>
          <cell r="S981">
            <v>0</v>
          </cell>
          <cell r="T981">
            <v>0</v>
          </cell>
          <cell r="U981">
            <v>5852635</v>
          </cell>
          <cell r="V981">
            <v>5852635</v>
          </cell>
        </row>
        <row r="982">
          <cell r="J982">
            <v>1619</v>
          </cell>
          <cell r="K982">
            <v>43181</v>
          </cell>
          <cell r="L982" t="str">
            <v>EMPRESA DE TELECOMUNICACIONES DE BOGOTA SA ESP</v>
          </cell>
          <cell r="M982">
            <v>28</v>
          </cell>
          <cell r="N982" t="str">
            <v>FACTURAS</v>
          </cell>
          <cell r="O982">
            <v>19533</v>
          </cell>
          <cell r="P982">
            <v>43181</v>
          </cell>
          <cell r="Q982" t="str">
            <v>PAGO DEL SERVICIO DE TELEFO DE LA CAJA DE LA VIVIENDA POPULAR PERIODO FACTURADO FEBRERO 01 AL 28 DE 2018</v>
          </cell>
          <cell r="R982">
            <v>5483480</v>
          </cell>
          <cell r="S982">
            <v>0</v>
          </cell>
          <cell r="T982">
            <v>0</v>
          </cell>
          <cell r="U982">
            <v>5483480</v>
          </cell>
          <cell r="V982">
            <v>5483480</v>
          </cell>
        </row>
        <row r="983">
          <cell r="J983">
            <v>1812</v>
          </cell>
          <cell r="K983">
            <v>43209</v>
          </cell>
          <cell r="L983" t="str">
            <v>EMPRESA DE TELECOMUNICACIONES DE BOGOTA SA ESP</v>
          </cell>
          <cell r="M983">
            <v>28</v>
          </cell>
          <cell r="N983" t="str">
            <v>FACTURAS</v>
          </cell>
          <cell r="O983">
            <v>970711</v>
          </cell>
          <cell r="P983">
            <v>43209</v>
          </cell>
          <cell r="Q983" t="str">
            <v>PAGO DEL SERVICIO DE TELEFO DE LA CAJA DE LA VIVIENDA POPULAR PERIODO FACTURADO: MARZO 1-31 DE 2018</v>
          </cell>
          <cell r="R983">
            <v>5483369</v>
          </cell>
          <cell r="S983">
            <v>0</v>
          </cell>
          <cell r="T983">
            <v>0</v>
          </cell>
          <cell r="U983">
            <v>5483369</v>
          </cell>
          <cell r="V983">
            <v>5483369</v>
          </cell>
        </row>
        <row r="984">
          <cell r="J984">
            <v>1922</v>
          </cell>
          <cell r="K984">
            <v>43241</v>
          </cell>
          <cell r="L984" t="str">
            <v>EMPRESA DE TELECOMUNICACIONES DE BOGOTA SA ESP</v>
          </cell>
          <cell r="M984">
            <v>28</v>
          </cell>
          <cell r="N984" t="str">
            <v>FACTURAS</v>
          </cell>
          <cell r="O984">
            <v>249536</v>
          </cell>
          <cell r="P984">
            <v>43241</v>
          </cell>
          <cell r="Q984" t="str">
            <v>PAGO DEL SERVICIO DE TELEFO DE LA CAJA DE LA VIVIENDA POPULAR PERIODO FACTURADO: MARZO1-31 DE 2018</v>
          </cell>
          <cell r="R984">
            <v>6302510</v>
          </cell>
          <cell r="S984">
            <v>6302510</v>
          </cell>
          <cell r="T984">
            <v>0</v>
          </cell>
          <cell r="U984">
            <v>0</v>
          </cell>
          <cell r="V984">
            <v>0</v>
          </cell>
        </row>
        <row r="985">
          <cell r="J985">
            <v>1930</v>
          </cell>
          <cell r="K985">
            <v>43242</v>
          </cell>
          <cell r="L985" t="str">
            <v>EMPRESA DE TELECOMUNICACIONES DE BOGOTA SA ESP</v>
          </cell>
          <cell r="M985">
            <v>28</v>
          </cell>
          <cell r="N985" t="str">
            <v>FACTURAS</v>
          </cell>
          <cell r="O985">
            <v>249536</v>
          </cell>
          <cell r="P985">
            <v>43242</v>
          </cell>
          <cell r="Q985" t="str">
            <v>PAGO DEL SERVICIO DE TELEFO DE LA CAJA DE LA VIVIENDA POPULAR. PERIODO FACTURADO : ABRIL 1-30 DE 2018</v>
          </cell>
          <cell r="R985">
            <v>6302510</v>
          </cell>
          <cell r="S985">
            <v>0</v>
          </cell>
          <cell r="T985">
            <v>0</v>
          </cell>
          <cell r="U985">
            <v>6302510</v>
          </cell>
          <cell r="V985">
            <v>6302510</v>
          </cell>
        </row>
        <row r="986">
          <cell r="J986">
            <v>2039</v>
          </cell>
          <cell r="K986">
            <v>43271</v>
          </cell>
          <cell r="L986" t="str">
            <v>EMPRESA DE TELECOMUNICACIONES DE BOGOTA SA ESP</v>
          </cell>
          <cell r="M986">
            <v>28</v>
          </cell>
          <cell r="N986" t="str">
            <v>FACTURAS</v>
          </cell>
          <cell r="O986">
            <v>545414</v>
          </cell>
          <cell r="P986">
            <v>43271</v>
          </cell>
          <cell r="Q986" t="str">
            <v>PAGO DEL SERVICIO DE TELEFONO DE LA CAJA DE LA VIVIENDA POPULAR, PERIODO FACTURADO : MAYO 1-31 DE 2018</v>
          </cell>
          <cell r="R986">
            <v>5786059</v>
          </cell>
          <cell r="S986">
            <v>0</v>
          </cell>
          <cell r="T986">
            <v>0</v>
          </cell>
          <cell r="U986">
            <v>5786059</v>
          </cell>
          <cell r="V986">
            <v>5786059</v>
          </cell>
        </row>
        <row r="987">
          <cell r="J987">
            <v>2503</v>
          </cell>
          <cell r="K987">
            <v>43299</v>
          </cell>
          <cell r="L987" t="str">
            <v>EMPRESA DE TELECOMUNICACIONES DE BOGOTA SA ESP</v>
          </cell>
          <cell r="M987">
            <v>28</v>
          </cell>
          <cell r="N987" t="str">
            <v>FACTURAS</v>
          </cell>
          <cell r="O987">
            <v>943433</v>
          </cell>
          <cell r="P987">
            <v>43299</v>
          </cell>
          <cell r="Q987" t="str">
            <v>PAGO DEL SERVICIO DE TELEFONO DE LA CAJA DE LA VIVIENDA POPULAR, PERIODO FACTURADO : JUNIO1-30 DE 2018</v>
          </cell>
          <cell r="R987">
            <v>5786759</v>
          </cell>
          <cell r="S987">
            <v>0</v>
          </cell>
          <cell r="T987">
            <v>0</v>
          </cell>
          <cell r="U987">
            <v>5786759</v>
          </cell>
          <cell r="V987">
            <v>5786759</v>
          </cell>
        </row>
        <row r="988">
          <cell r="J988">
            <v>2688</v>
          </cell>
          <cell r="K988">
            <v>43333</v>
          </cell>
          <cell r="L988" t="str">
            <v>EMPRESA DE TELECOMUNICACIONES DE BOGOTA SA ESP</v>
          </cell>
          <cell r="M988">
            <v>28</v>
          </cell>
          <cell r="N988" t="str">
            <v>FACTURAS</v>
          </cell>
          <cell r="O988">
            <v>132207</v>
          </cell>
          <cell r="P988">
            <v>43333</v>
          </cell>
          <cell r="Q988" t="str">
            <v>PAGO DEL SERVICIO DE TELEFO DE LA CAJA DE LA VIVIENDA POPULAR. PERIODO FACTURADO: JULIO 1-31 DE 2018</v>
          </cell>
          <cell r="R988">
            <v>5794509</v>
          </cell>
          <cell r="S988">
            <v>0</v>
          </cell>
          <cell r="T988">
            <v>0</v>
          </cell>
          <cell r="U988">
            <v>5794509</v>
          </cell>
          <cell r="V988">
            <v>5794509</v>
          </cell>
        </row>
        <row r="989">
          <cell r="J989">
            <v>220</v>
          </cell>
          <cell r="K989">
            <v>43118</v>
          </cell>
          <cell r="L989" t="str">
            <v>CODENSA S. A. ESP</v>
          </cell>
          <cell r="M989">
            <v>28</v>
          </cell>
          <cell r="N989" t="str">
            <v>FACTURAS</v>
          </cell>
          <cell r="O989">
            <v>608364</v>
          </cell>
          <cell r="P989">
            <v>43118</v>
          </cell>
          <cell r="Q989" t="str">
            <v>PAGO DE SERVICIOS PUBLICOS CAJA DE LA VIVIENDA POPULAR LOCAL CARRERA 13 54-21  PERIODO DICIEMBRE 12 AL 11 ENERO DE 2018</v>
          </cell>
          <cell r="R989">
            <v>255180</v>
          </cell>
          <cell r="S989">
            <v>0</v>
          </cell>
          <cell r="T989">
            <v>0</v>
          </cell>
          <cell r="U989">
            <v>255180</v>
          </cell>
          <cell r="V989">
            <v>255180</v>
          </cell>
        </row>
        <row r="990">
          <cell r="J990">
            <v>316</v>
          </cell>
          <cell r="K990">
            <v>43122</v>
          </cell>
          <cell r="L990" t="str">
            <v>EMPRESA DE ACUEDUCTO ALCANTARILLADO Y ASEO DE BOGOTA ESP</v>
          </cell>
          <cell r="M990">
            <v>28</v>
          </cell>
          <cell r="N990" t="str">
            <v>FACTURAS</v>
          </cell>
          <cell r="O990">
            <v>303816</v>
          </cell>
          <cell r="P990">
            <v>43122</v>
          </cell>
          <cell r="Q990" t="str">
            <v>PAGO DE SERVICIOS PUBLICOS CAJA DE LA VIVIENDA POPULAR LOCAL CARRERA 13 N. 54 13 PERIODO 19 OCTUBRE A DICIEMBRE 16 DE 2017</v>
          </cell>
          <cell r="R990">
            <v>253880</v>
          </cell>
          <cell r="S990">
            <v>0</v>
          </cell>
          <cell r="T990">
            <v>0</v>
          </cell>
          <cell r="U990">
            <v>253880</v>
          </cell>
          <cell r="V990">
            <v>253880</v>
          </cell>
        </row>
        <row r="991">
          <cell r="J991">
            <v>446</v>
          </cell>
          <cell r="K991">
            <v>43125</v>
          </cell>
          <cell r="L991" t="str">
            <v>CODENSA S. A. ESP</v>
          </cell>
          <cell r="M991">
            <v>28</v>
          </cell>
          <cell r="N991" t="str">
            <v>FACTURAS</v>
          </cell>
          <cell r="O991">
            <v>56370</v>
          </cell>
          <cell r="P991">
            <v>43125</v>
          </cell>
          <cell r="Q991" t="str">
            <v>PAGO DE SERVICIOS PUBLICOS CAJA DE LA VIVIENDA POPULAR CIUDAD BOLIVAR KR 73 57 R SUR- 12 LC 120   S/G FACTURA 496356370-0 PERIODO FACTURADO DICIEMBRE 16 DE 2017 A ENERO 17 DE 2018.</v>
          </cell>
          <cell r="R991">
            <v>28780</v>
          </cell>
          <cell r="S991">
            <v>0</v>
          </cell>
          <cell r="T991">
            <v>0</v>
          </cell>
          <cell r="U991">
            <v>28780</v>
          </cell>
          <cell r="V991">
            <v>28780</v>
          </cell>
        </row>
        <row r="992">
          <cell r="J992">
            <v>447</v>
          </cell>
          <cell r="K992">
            <v>43125</v>
          </cell>
          <cell r="L992" t="str">
            <v>EMPRESA DE ACUEDUCTO ALCANTARILLADO Y ASEO DE BOGOTA ESP</v>
          </cell>
          <cell r="M992">
            <v>28</v>
          </cell>
          <cell r="N992" t="str">
            <v>FACTURAS</v>
          </cell>
          <cell r="O992">
            <v>25015</v>
          </cell>
          <cell r="P992">
            <v>43125</v>
          </cell>
          <cell r="Q992" t="str">
            <v>PAGO DE SERVICIOS PUBLICOS CAJA DE LA VIVIENDA POPULAR BODEGA CL 70 NO. 23 46   S/G FACTURA 38909125015PERIODO FACTURADO OCTUBRE 24 DE 2017 A DICIEMBRE 21 DE 2017.</v>
          </cell>
          <cell r="R992">
            <v>148030</v>
          </cell>
          <cell r="S992">
            <v>0</v>
          </cell>
          <cell r="T992">
            <v>0</v>
          </cell>
          <cell r="U992">
            <v>148030</v>
          </cell>
          <cell r="V992">
            <v>148030</v>
          </cell>
        </row>
        <row r="993">
          <cell r="J993">
            <v>448</v>
          </cell>
          <cell r="K993">
            <v>43125</v>
          </cell>
          <cell r="L993" t="str">
            <v>EMPRESA DE ACUEDUCTO ALCANTARILLADO Y ASEO DE BOGOTA ESP</v>
          </cell>
          <cell r="M993">
            <v>28</v>
          </cell>
          <cell r="N993" t="str">
            <v>FACTURAS</v>
          </cell>
          <cell r="O993">
            <v>30012</v>
          </cell>
          <cell r="P993">
            <v>43125</v>
          </cell>
          <cell r="Q993" t="str">
            <v>PAGO DE SERVICIOS PUBLICOS CAJA DE LA VIVIENDA POPULAR CIUDAD BOLIVAR KR 73 59 SUR LC 120   S/G FACTURA 10783730012PERIODO FACTURADO OCTUBRE 24 DE 2017 A DICIEMBRE 21 DE 2017.</v>
          </cell>
          <cell r="R993">
            <v>63330</v>
          </cell>
          <cell r="S993">
            <v>0</v>
          </cell>
          <cell r="T993">
            <v>0</v>
          </cell>
          <cell r="U993">
            <v>63330</v>
          </cell>
          <cell r="V993">
            <v>63330</v>
          </cell>
        </row>
        <row r="994">
          <cell r="J994">
            <v>487</v>
          </cell>
          <cell r="K994">
            <v>43126</v>
          </cell>
          <cell r="L994" t="str">
            <v>COLOMBIA TELECOMUNICACIONES S A E S P</v>
          </cell>
          <cell r="M994">
            <v>28</v>
          </cell>
          <cell r="N994" t="str">
            <v>FACTURAS</v>
          </cell>
          <cell r="O994">
            <v>43506</v>
          </cell>
          <cell r="P994">
            <v>43126</v>
          </cell>
          <cell r="Q994" t="str">
            <v>PAGO DE SERVICIO DE TELEFONÍA CELULAR DE LA CAJA DE LA VIVIENDA POPULAR, PERIODO FACTURADO 17 DE ENERO DE 2018- 116 DE FEBRERO DE 2018</v>
          </cell>
          <cell r="R994">
            <v>534012</v>
          </cell>
          <cell r="S994">
            <v>0</v>
          </cell>
          <cell r="T994">
            <v>0</v>
          </cell>
          <cell r="U994">
            <v>534012</v>
          </cell>
          <cell r="V994">
            <v>534012</v>
          </cell>
        </row>
        <row r="995">
          <cell r="J995">
            <v>514</v>
          </cell>
          <cell r="K995">
            <v>43130</v>
          </cell>
          <cell r="L995" t="str">
            <v>CODENSA S. A. ESP</v>
          </cell>
          <cell r="M995">
            <v>28</v>
          </cell>
          <cell r="N995" t="str">
            <v>FACTURAS</v>
          </cell>
          <cell r="O995">
            <v>149404</v>
          </cell>
          <cell r="P995">
            <v>43130</v>
          </cell>
          <cell r="Q995" t="str">
            <v>PAGO DE SERVICIOS PUBLICOS CAJA DE LA VIVIENDA POPULAR, BODEGA CL 70 N° 23-46, FACTURA 1507149404.</v>
          </cell>
          <cell r="R995">
            <v>115640</v>
          </cell>
          <cell r="S995">
            <v>0</v>
          </cell>
          <cell r="T995">
            <v>0</v>
          </cell>
          <cell r="U995">
            <v>115640</v>
          </cell>
          <cell r="V995">
            <v>115640</v>
          </cell>
        </row>
        <row r="996">
          <cell r="J996">
            <v>753</v>
          </cell>
          <cell r="K996">
            <v>43137</v>
          </cell>
          <cell r="L996" t="str">
            <v>EMPRESA DE ACUEDUCTO ALCANTARILLADO Y ASEO DE BOGOTA ESP</v>
          </cell>
          <cell r="M996">
            <v>28</v>
          </cell>
          <cell r="N996" t="str">
            <v>FACTURAS</v>
          </cell>
          <cell r="O996">
            <v>58315</v>
          </cell>
          <cell r="P996">
            <v>43137</v>
          </cell>
          <cell r="Q996" t="str">
            <v>PAGO DE SERVICIOS PUBLICOS CAJA DE LA VIVIENDA POPULAR -OTROS PREDIOS. S/G FACTURA NO. 32760558315 PERIODO FACTURADO AGOSTO 19 DE 2017 A OCTUBRE 17 DE 2017.</v>
          </cell>
          <cell r="R996">
            <v>12390</v>
          </cell>
          <cell r="S996">
            <v>0</v>
          </cell>
          <cell r="T996">
            <v>0</v>
          </cell>
          <cell r="U996">
            <v>12390</v>
          </cell>
          <cell r="V996">
            <v>12390</v>
          </cell>
        </row>
        <row r="997">
          <cell r="J997">
            <v>754</v>
          </cell>
          <cell r="K997">
            <v>43137</v>
          </cell>
          <cell r="L997" t="str">
            <v>EMPRESA DE ACUEDUCTO ALCANTARILLADO Y ASEO DE BOGOTA ESP</v>
          </cell>
          <cell r="M997">
            <v>28</v>
          </cell>
          <cell r="N997" t="str">
            <v>FACTURAS</v>
          </cell>
          <cell r="O997">
            <v>1315</v>
          </cell>
          <cell r="P997">
            <v>43137</v>
          </cell>
          <cell r="Q997" t="str">
            <v>PAGO DE SERVICIOS PUBLICOS CAJA DE LA VIVIENDA POPULAR -OTROS PREDIOS. S/G FACTURA NO. 31385401315 PERIODO FACTURADO AGOSTO 19 DE 2017 A OCTUBRE 17 DE 2017.</v>
          </cell>
          <cell r="R997">
            <v>6200</v>
          </cell>
          <cell r="S997">
            <v>0</v>
          </cell>
          <cell r="T997">
            <v>0</v>
          </cell>
          <cell r="U997">
            <v>6200</v>
          </cell>
          <cell r="V997">
            <v>6200</v>
          </cell>
        </row>
        <row r="998">
          <cell r="J998">
            <v>1362</v>
          </cell>
          <cell r="K998">
            <v>43147</v>
          </cell>
          <cell r="L998" t="str">
            <v>CODENSA S. A. ESP</v>
          </cell>
          <cell r="M998">
            <v>28</v>
          </cell>
          <cell r="N998" t="str">
            <v>FACTURAS</v>
          </cell>
          <cell r="O998">
            <v>969702</v>
          </cell>
          <cell r="P998">
            <v>43147</v>
          </cell>
          <cell r="Q998" t="str">
            <v>PAGO DE SERVICIOS PUBLICOS CARRERA 13 # 54-21 S/G FACTURA 498969702 PERIODO FACTURO ENERO 11 DE 2018 A FEBRERO 09 DE 2018</v>
          </cell>
          <cell r="R998">
            <v>300200</v>
          </cell>
          <cell r="S998">
            <v>0</v>
          </cell>
          <cell r="T998">
            <v>0</v>
          </cell>
          <cell r="U998">
            <v>300200</v>
          </cell>
          <cell r="V998">
            <v>300200</v>
          </cell>
        </row>
        <row r="999">
          <cell r="J999">
            <v>1459</v>
          </cell>
          <cell r="K999">
            <v>43154</v>
          </cell>
          <cell r="L999" t="str">
            <v>CODENSA S. A. ESP</v>
          </cell>
          <cell r="M999">
            <v>28</v>
          </cell>
          <cell r="N999" t="str">
            <v>FACTURAS</v>
          </cell>
          <cell r="O999">
            <v>911907</v>
          </cell>
          <cell r="P999">
            <v>43154</v>
          </cell>
          <cell r="Q999" t="str">
            <v>PAGO DE SERVICIOS PUBLICOS CAJA DE LA VIVIENDA POPULAR CIUDAD BODEGA CL 70 N°23-46 S/G FACTURA N°499791190-7 PERIODO FACTURADO ENERO 18 DE 2018 A FEBRERO 16 DE 2018</v>
          </cell>
          <cell r="R999">
            <v>123440</v>
          </cell>
          <cell r="S999">
            <v>0</v>
          </cell>
          <cell r="T999">
            <v>0</v>
          </cell>
          <cell r="U999">
            <v>123440</v>
          </cell>
          <cell r="V999">
            <v>123440</v>
          </cell>
        </row>
        <row r="1000">
          <cell r="J1000">
            <v>1460</v>
          </cell>
          <cell r="K1000">
            <v>43154</v>
          </cell>
          <cell r="L1000" t="str">
            <v>CODENSA S. A. ESP</v>
          </cell>
          <cell r="M1000">
            <v>28</v>
          </cell>
          <cell r="N1000" t="str">
            <v>FACTURAS</v>
          </cell>
          <cell r="O1000">
            <v>164835</v>
          </cell>
          <cell r="P1000">
            <v>43154</v>
          </cell>
          <cell r="Q1000" t="str">
            <v>PAGO DE SERVICIOS PUBLICOS CAJA DE LA VIVIENDA POPULAR CIUDAD BOLIVAR KR 73 57 R SUR- 12 LC 120 S/G FACTURA N°499716483-5 PERIODO FACTURADO ENERO 17 DE 2018 A FEBRERO 15 DE 2018</v>
          </cell>
          <cell r="R1000">
            <v>22540</v>
          </cell>
          <cell r="S1000">
            <v>0</v>
          </cell>
          <cell r="T1000">
            <v>0</v>
          </cell>
          <cell r="U1000">
            <v>22540</v>
          </cell>
          <cell r="V1000">
            <v>22540</v>
          </cell>
        </row>
        <row r="1001">
          <cell r="J1001">
            <v>1466</v>
          </cell>
          <cell r="K1001">
            <v>43154</v>
          </cell>
          <cell r="L1001" t="str">
            <v>COLOMBIA TELECOMUNICACIONES S A E S P</v>
          </cell>
          <cell r="M1001">
            <v>28</v>
          </cell>
          <cell r="N1001" t="str">
            <v>FACTURAS</v>
          </cell>
          <cell r="O1001">
            <v>16154</v>
          </cell>
          <cell r="P1001">
            <v>43154</v>
          </cell>
          <cell r="Q1001" t="str">
            <v>PAGO DE SERVICIO DE TELEFONÍA CELULAR DE LA CAJA DE VIVIENDA POPULAR, PERÍODO FACTURADO 17 DE FEBRERO DE 2018 - 16 DE MARZO DE 2018</v>
          </cell>
          <cell r="R1001">
            <v>533942</v>
          </cell>
          <cell r="S1001">
            <v>0</v>
          </cell>
          <cell r="T1001">
            <v>0</v>
          </cell>
          <cell r="U1001">
            <v>533942</v>
          </cell>
          <cell r="V1001">
            <v>533942</v>
          </cell>
        </row>
        <row r="1002">
          <cell r="J1002">
            <v>1588</v>
          </cell>
          <cell r="K1002">
            <v>43174</v>
          </cell>
          <cell r="L1002" t="str">
            <v>EMPRESA DE ACUEDUCTO ALCANTARILLADO Y ASEO DE BOGOTA ESP</v>
          </cell>
          <cell r="M1002">
            <v>28</v>
          </cell>
          <cell r="N1002" t="str">
            <v>FACTURAS</v>
          </cell>
          <cell r="O1002">
            <v>49013</v>
          </cell>
          <cell r="P1002">
            <v>43174</v>
          </cell>
          <cell r="Q1002" t="str">
            <v>PAGO DE SERVICIOS PUBLICOS CAJA DE LA VIVIENDA POPULAR CARRERA 13 N. 54-21 FACTURA 30074049013 PERIODO FACTURADO DICIEMBRE 17 DEL 2017 AL 14 DE FEBRERO 2018</v>
          </cell>
          <cell r="R1002">
            <v>217148</v>
          </cell>
          <cell r="S1002">
            <v>0</v>
          </cell>
          <cell r="T1002">
            <v>0</v>
          </cell>
          <cell r="U1002">
            <v>217148</v>
          </cell>
          <cell r="V1002">
            <v>217148</v>
          </cell>
        </row>
        <row r="1003">
          <cell r="J1003">
            <v>1590</v>
          </cell>
          <cell r="K1003">
            <v>43175</v>
          </cell>
          <cell r="L1003" t="str">
            <v>CODENSA S. A. ESP</v>
          </cell>
          <cell r="M1003">
            <v>28</v>
          </cell>
          <cell r="N1003" t="str">
            <v>FACTURAS</v>
          </cell>
          <cell r="O1003">
            <v>681805</v>
          </cell>
          <cell r="P1003">
            <v>43175</v>
          </cell>
          <cell r="Q1003" t="str">
            <v>PAGO DE SERVICIOS PUBLICOS CAJA DE LA VIVIENDA POPULAR CARRERA 13 # 54-21 S/G FACTURA 502681802 PERIODO FEBRERO 09 DE 2018 A MARZO 09 DE 2018</v>
          </cell>
          <cell r="R1003">
            <v>317770</v>
          </cell>
          <cell r="S1003">
            <v>0</v>
          </cell>
          <cell r="T1003">
            <v>0</v>
          </cell>
          <cell r="U1003">
            <v>317770</v>
          </cell>
          <cell r="V1003">
            <v>317770</v>
          </cell>
        </row>
        <row r="1004">
          <cell r="J1004">
            <v>1614</v>
          </cell>
          <cell r="K1004">
            <v>43181</v>
          </cell>
          <cell r="L1004" t="str">
            <v>CODENSA S. A. ESP</v>
          </cell>
          <cell r="M1004">
            <v>28</v>
          </cell>
          <cell r="N1004" t="str">
            <v>FACTURAS</v>
          </cell>
          <cell r="O1004">
            <v>595915</v>
          </cell>
          <cell r="P1004">
            <v>43181</v>
          </cell>
          <cell r="Q1004" t="str">
            <v>PAGO DE SERVICIOS PUBLICOS CAJA DE LA VIVIENDA POPULAR CIUDADA BOLIVAR KR 73 # 57 R SUR -12 LC 120 PERIODO 15 FEBRERO A 15 MARZO 2018</v>
          </cell>
          <cell r="R1004">
            <v>24570</v>
          </cell>
          <cell r="S1004">
            <v>0</v>
          </cell>
          <cell r="T1004">
            <v>0</v>
          </cell>
          <cell r="U1004">
            <v>24570</v>
          </cell>
          <cell r="V1004">
            <v>24570</v>
          </cell>
        </row>
        <row r="1005">
          <cell r="J1005">
            <v>1616</v>
          </cell>
          <cell r="K1005">
            <v>43181</v>
          </cell>
          <cell r="L1005" t="str">
            <v>EMPRESA DE ACUEDUCTO ALCANTARILLADO Y ASEO DE BOGOTA ESP</v>
          </cell>
          <cell r="M1005">
            <v>28</v>
          </cell>
          <cell r="N1005" t="str">
            <v>FACTURAS</v>
          </cell>
          <cell r="O1005">
            <v>444713</v>
          </cell>
          <cell r="P1005">
            <v>43181</v>
          </cell>
          <cell r="Q1005" t="str">
            <v>PAGO DE SERVICIOS PUBLICOS CAJA DE LA VIVIENDA POPULAR CIUDAD BOLIVAR KR 73 59 SUR LC 120 FACTURA 28033444713 PERIODO DICIEMBRE 22 DE 2017 A FEBRERO 20 DE 2018</v>
          </cell>
          <cell r="R1005">
            <v>61453</v>
          </cell>
          <cell r="S1005">
            <v>0</v>
          </cell>
          <cell r="T1005">
            <v>0</v>
          </cell>
          <cell r="U1005">
            <v>61453</v>
          </cell>
          <cell r="V1005">
            <v>61453</v>
          </cell>
        </row>
        <row r="1006">
          <cell r="J1006">
            <v>1617</v>
          </cell>
          <cell r="K1006">
            <v>43181</v>
          </cell>
          <cell r="L1006" t="str">
            <v>CODENSA S. A. ESP</v>
          </cell>
          <cell r="M1006">
            <v>28</v>
          </cell>
          <cell r="N1006" t="str">
            <v>FACTURAS</v>
          </cell>
          <cell r="O1006">
            <v>713430</v>
          </cell>
          <cell r="P1006">
            <v>43181</v>
          </cell>
          <cell r="Q1006" t="str">
            <v>PAGO DE SERVICIOS PUBLICOS CAJA DE LA VIVIENDA POPULAR BODEGA CL 70 # 23 46 S/G FACTURA 503713430 PERIODO FEBRERO 16 DE 2018 A MARZO 16 DE 2018</v>
          </cell>
          <cell r="R1006">
            <v>140590</v>
          </cell>
          <cell r="S1006">
            <v>0</v>
          </cell>
          <cell r="T1006">
            <v>0</v>
          </cell>
          <cell r="U1006">
            <v>140590</v>
          </cell>
          <cell r="V1006">
            <v>140590</v>
          </cell>
        </row>
        <row r="1007">
          <cell r="J1007">
            <v>1618</v>
          </cell>
          <cell r="K1007">
            <v>43181</v>
          </cell>
          <cell r="L1007" t="str">
            <v>EMPRESA DE ACUEDUCTO ALCANTARILLADO Y ASEO DE BOGOTA ESP</v>
          </cell>
          <cell r="M1007">
            <v>28</v>
          </cell>
          <cell r="N1007" t="str">
            <v>FACTURAS</v>
          </cell>
          <cell r="O1007">
            <v>5319811</v>
          </cell>
          <cell r="P1007">
            <v>43181</v>
          </cell>
          <cell r="Q1007" t="str">
            <v>PAGO DE SERVICIOS PUBLICOS CAJA DE LA VIVIENDA POPULAR BODEGA CL 70 A BIS 23-26 S/G FACTURA 30075319811 PERIODO DICIEMBRE 22 DE 2017 A FEBRERO 20 DE 2018</v>
          </cell>
          <cell r="R1007">
            <v>133258</v>
          </cell>
          <cell r="S1007">
            <v>0</v>
          </cell>
          <cell r="T1007">
            <v>0</v>
          </cell>
          <cell r="U1007">
            <v>133258</v>
          </cell>
          <cell r="V1007">
            <v>133258</v>
          </cell>
        </row>
        <row r="1008">
          <cell r="J1008">
            <v>1660</v>
          </cell>
          <cell r="K1008">
            <v>43185</v>
          </cell>
          <cell r="L1008" t="str">
            <v>COLOMBIA TELECOMUNICACIONES S A E S P</v>
          </cell>
          <cell r="M1008">
            <v>28</v>
          </cell>
          <cell r="N1008" t="str">
            <v>FACTURAS</v>
          </cell>
          <cell r="O1008">
            <v>11910</v>
          </cell>
          <cell r="P1008">
            <v>43185</v>
          </cell>
          <cell r="Q1008" t="str">
            <v>PAGO DE SERVICIO DE TELEFONÍA CELULAR DE LA CAJA DE VIVIENDA POPULAR, PERÍODO FACTURADO 17 DE MARZO AL 16 DE ABRIL DE 2018</v>
          </cell>
          <cell r="R1008">
            <v>534012</v>
          </cell>
          <cell r="S1008">
            <v>0</v>
          </cell>
          <cell r="T1008">
            <v>0</v>
          </cell>
          <cell r="U1008">
            <v>534012</v>
          </cell>
          <cell r="V1008">
            <v>534012</v>
          </cell>
        </row>
        <row r="1009">
          <cell r="J1009">
            <v>1811</v>
          </cell>
          <cell r="K1009">
            <v>43209</v>
          </cell>
          <cell r="L1009" t="str">
            <v>CODENSA S. A. ESP</v>
          </cell>
          <cell r="M1009">
            <v>28</v>
          </cell>
          <cell r="N1009" t="str">
            <v>FACTURAS</v>
          </cell>
          <cell r="O1009">
            <v>45478</v>
          </cell>
          <cell r="P1009">
            <v>43209</v>
          </cell>
          <cell r="Q1009" t="str">
            <v>PAGO DE SERVICIOS PUBLICOS CAJA DE LA VIVIENDA POPULAR CARRERA 13 N°54-21 S/G COMPROBANTE DE PAGO N°163004547-8 PERIODO FACTURADO MARZO09 DE 2018 A 11 DE ABRIL DE 2018</v>
          </cell>
          <cell r="R1009">
            <v>340895</v>
          </cell>
          <cell r="S1009">
            <v>0</v>
          </cell>
          <cell r="T1009">
            <v>0</v>
          </cell>
          <cell r="U1009">
            <v>340895</v>
          </cell>
          <cell r="V1009">
            <v>340895</v>
          </cell>
        </row>
        <row r="1010">
          <cell r="J1010">
            <v>1839</v>
          </cell>
          <cell r="K1010">
            <v>43214</v>
          </cell>
          <cell r="L1010" t="str">
            <v>CODENSA S. A. ESP</v>
          </cell>
          <cell r="M1010">
            <v>28</v>
          </cell>
          <cell r="N1010" t="str">
            <v>FACTURAS</v>
          </cell>
          <cell r="O1010">
            <v>391458</v>
          </cell>
          <cell r="P1010">
            <v>43214</v>
          </cell>
          <cell r="Q1010" t="str">
            <v>PAGO DE SERVICIOS PUBLICOS CAJA DE LA VIVIENDA POPULAR CIUDAD BOLIVAR KR 73 57 R SUR-12 LC 120 S/G FACTURA 507139145-8 PERIODO FACTURADO MARZO 15 DE 2018 A 17 ABRIL DE 2018</v>
          </cell>
          <cell r="R1010">
            <v>27270</v>
          </cell>
          <cell r="S1010">
            <v>0</v>
          </cell>
          <cell r="T1010">
            <v>0</v>
          </cell>
          <cell r="U1010">
            <v>27270</v>
          </cell>
          <cell r="V1010">
            <v>27270</v>
          </cell>
        </row>
        <row r="1011">
          <cell r="J1011">
            <v>1841</v>
          </cell>
          <cell r="K1011">
            <v>43214</v>
          </cell>
          <cell r="L1011" t="str">
            <v>CODENSA S. A. ESP</v>
          </cell>
          <cell r="M1011">
            <v>28</v>
          </cell>
          <cell r="N1011" t="str">
            <v>FACTURAS</v>
          </cell>
          <cell r="O1011">
            <v>106676</v>
          </cell>
          <cell r="P1011">
            <v>43214</v>
          </cell>
          <cell r="Q1011" t="str">
            <v>PAGO DE SERVICIOS PUBLICOS CAJA DE LA VIVIENDA POPULAR BODEGA CL 70A BIS N°23-46 S/G FACTURA 507210667-6 PERIODO FACTURADO MARZO16 DE 2018 A 17 ABRIL DE 2018</v>
          </cell>
          <cell r="R1011">
            <v>149870</v>
          </cell>
          <cell r="S1011">
            <v>0</v>
          </cell>
          <cell r="T1011">
            <v>0</v>
          </cell>
          <cell r="U1011">
            <v>149870</v>
          </cell>
          <cell r="V1011">
            <v>149870</v>
          </cell>
        </row>
        <row r="1012">
          <cell r="J1012">
            <v>1848</v>
          </cell>
          <cell r="K1012">
            <v>43217</v>
          </cell>
          <cell r="L1012" t="str">
            <v>COLOMBIA TELECOMUNICACIONES S A E S P</v>
          </cell>
          <cell r="M1012">
            <v>28</v>
          </cell>
          <cell r="N1012" t="str">
            <v>FACTURAS</v>
          </cell>
          <cell r="O1012">
            <v>493615</v>
          </cell>
          <cell r="P1012">
            <v>43217</v>
          </cell>
          <cell r="Q1012" t="str">
            <v>PAGO SERVICIO DE TELEFONÍA CELULAR CVP PERIODO 17 ABRIL A 16 MAYO DE 2018</v>
          </cell>
          <cell r="R1012">
            <v>534012</v>
          </cell>
          <cell r="S1012">
            <v>0</v>
          </cell>
          <cell r="T1012">
            <v>0</v>
          </cell>
          <cell r="U1012">
            <v>534012</v>
          </cell>
          <cell r="V1012">
            <v>534012</v>
          </cell>
        </row>
        <row r="1013">
          <cell r="J1013">
            <v>1849</v>
          </cell>
          <cell r="K1013">
            <v>43220</v>
          </cell>
          <cell r="L1013" t="str">
            <v>EMPRESA DE ACUEDUCTO ALCANTARILLADO Y ASEO DE BOGOTA ESP</v>
          </cell>
          <cell r="M1013">
            <v>28</v>
          </cell>
          <cell r="N1013" t="str">
            <v>FACTURAS</v>
          </cell>
          <cell r="O1013">
            <v>446714</v>
          </cell>
          <cell r="P1013">
            <v>43220</v>
          </cell>
          <cell r="Q1013" t="str">
            <v>PAGO DE SERVICIOS PUBLICOS PREDIOS - DE LA ENTIDAD S/G FACTURA 3278144614 PERIODO FACTURADO DICIEMBRE 21 A 14 DE FEBRERO DE 2018</v>
          </cell>
          <cell r="R1013">
            <v>511229</v>
          </cell>
          <cell r="S1013">
            <v>0</v>
          </cell>
          <cell r="T1013">
            <v>0</v>
          </cell>
          <cell r="U1013">
            <v>511229</v>
          </cell>
          <cell r="V1013">
            <v>511229</v>
          </cell>
        </row>
        <row r="1014">
          <cell r="J1014">
            <v>1919</v>
          </cell>
          <cell r="K1014">
            <v>43241</v>
          </cell>
          <cell r="L1014" t="str">
            <v>EMPRESA DE ACUEDUCTO ALCANTARILLADO Y ASEO DE BOGOTA ESP</v>
          </cell>
          <cell r="M1014">
            <v>28</v>
          </cell>
          <cell r="N1014" t="str">
            <v>FACTURAS</v>
          </cell>
          <cell r="O1014">
            <v>572214</v>
          </cell>
          <cell r="P1014">
            <v>43241</v>
          </cell>
          <cell r="Q1014" t="str">
            <v>PAGO DE SERVICIOS PUBLICOS CAJA DE LA VIVIENDA POPULAR CRA 13 54-13 S/G FACTURA 31419572214 PERIODO FEBRERO 15 AL 16 ABRIL 2018</v>
          </cell>
          <cell r="R1014">
            <v>302740</v>
          </cell>
          <cell r="S1014">
            <v>0</v>
          </cell>
          <cell r="T1014">
            <v>0</v>
          </cell>
          <cell r="U1014">
            <v>302740</v>
          </cell>
          <cell r="V1014">
            <v>302740</v>
          </cell>
        </row>
        <row r="1015">
          <cell r="J1015">
            <v>1921</v>
          </cell>
          <cell r="K1015">
            <v>43241</v>
          </cell>
          <cell r="L1015" t="str">
            <v>CODENSA S. A. ESP</v>
          </cell>
          <cell r="M1015">
            <v>28</v>
          </cell>
          <cell r="N1015" t="str">
            <v>FACTURAS</v>
          </cell>
          <cell r="O1015">
            <v>138673</v>
          </cell>
          <cell r="P1015">
            <v>43241</v>
          </cell>
          <cell r="Q1015" t="str">
            <v>PAGO DE SERVICIOS PUBLICOS CAJA DE LA VIVIENDA POPULAR LOCAL CARRERA 13 N°54-21 S/G FACTURA N°509713867-3 PERIODO FACTURADO ABRIL 11 DE 2018 A 10 DE MAYO DE 2018</v>
          </cell>
          <cell r="R1015">
            <v>332760</v>
          </cell>
          <cell r="S1015">
            <v>0</v>
          </cell>
          <cell r="T1015">
            <v>0</v>
          </cell>
          <cell r="U1015">
            <v>332760</v>
          </cell>
          <cell r="V1015">
            <v>332760</v>
          </cell>
        </row>
        <row r="1016">
          <cell r="J1016">
            <v>1943</v>
          </cell>
          <cell r="K1016">
            <v>43243</v>
          </cell>
          <cell r="L1016" t="str">
            <v>EMPRESA DE ACUEDUCTO ALCANTARILLADO Y ASEO DE BOGOTA ESP</v>
          </cell>
          <cell r="M1016">
            <v>28</v>
          </cell>
          <cell r="N1016" t="str">
            <v>FACTURAS</v>
          </cell>
          <cell r="O1016">
            <v>730313</v>
          </cell>
          <cell r="P1016">
            <v>43243</v>
          </cell>
          <cell r="Q1016" t="str">
            <v>PAGO DE SERVICIOS PUBLICOS CAJA DE LA VIVIENDA POPULAR BODEGA CL 70 BIS A BIS N.23 - 46 S/G FACTURA 28054730313 PERIODO FACTURADO 21 FEBRERO AL 21 ABRIL DE 2018</v>
          </cell>
          <cell r="R1016">
            <v>150690</v>
          </cell>
          <cell r="S1016">
            <v>0</v>
          </cell>
          <cell r="T1016">
            <v>0</v>
          </cell>
          <cell r="U1016">
            <v>150690</v>
          </cell>
          <cell r="V1016">
            <v>150690</v>
          </cell>
        </row>
        <row r="1017">
          <cell r="J1017">
            <v>1944</v>
          </cell>
          <cell r="K1017">
            <v>43243</v>
          </cell>
          <cell r="L1017" t="str">
            <v>EMPRESA DE ACUEDUCTO ALCANTARILLADO Y ASEO DE BOGOTA ESP</v>
          </cell>
          <cell r="M1017">
            <v>115</v>
          </cell>
          <cell r="N1017" t="str">
            <v>RECIBO</v>
          </cell>
          <cell r="O1017">
            <v>337012</v>
          </cell>
          <cell r="P1017">
            <v>43243</v>
          </cell>
          <cell r="Q1017" t="str">
            <v>PAGO DE SERVICIOS PUBLICOS CAJA DE LA VIVIENDA POPULAR, CIUDAD BOLIVAR KR 73 59 SUR 12 LC 120 FACTURA 25363337012</v>
          </cell>
          <cell r="R1017">
            <v>65780</v>
          </cell>
          <cell r="S1017">
            <v>0</v>
          </cell>
          <cell r="T1017">
            <v>0</v>
          </cell>
          <cell r="U1017">
            <v>65780</v>
          </cell>
          <cell r="V1017">
            <v>65780</v>
          </cell>
        </row>
        <row r="1018">
          <cell r="J1018">
            <v>1953</v>
          </cell>
          <cell r="K1018">
            <v>43244</v>
          </cell>
          <cell r="L1018" t="str">
            <v>CODENSA S. A. ESP</v>
          </cell>
          <cell r="M1018">
            <v>28</v>
          </cell>
          <cell r="N1018" t="str">
            <v>FACTURAS</v>
          </cell>
          <cell r="O1018">
            <v>469599</v>
          </cell>
          <cell r="P1018">
            <v>43244</v>
          </cell>
          <cell r="Q1018" t="str">
            <v>PAGO DE SERVICIOS PUBLICOS CAJA DE LA VIVIENDA POPULAR CIUDAD BOLIVAR KR 73 57 SUR CL 120 S/G FACTURA 510469599 PERIODO 17 ABRIL A MAYO 17 DE 2018</v>
          </cell>
          <cell r="R1018">
            <v>24300</v>
          </cell>
          <cell r="S1018">
            <v>0</v>
          </cell>
          <cell r="T1018">
            <v>0</v>
          </cell>
          <cell r="U1018">
            <v>24300</v>
          </cell>
          <cell r="V1018">
            <v>24300</v>
          </cell>
        </row>
        <row r="1019">
          <cell r="J1019">
            <v>1954</v>
          </cell>
          <cell r="K1019">
            <v>43244</v>
          </cell>
          <cell r="L1019" t="str">
            <v>CODENSA S. A. ESP</v>
          </cell>
          <cell r="M1019">
            <v>28</v>
          </cell>
          <cell r="N1019" t="str">
            <v>FACTURAS</v>
          </cell>
          <cell r="O1019">
            <v>545051</v>
          </cell>
          <cell r="P1019">
            <v>43244</v>
          </cell>
          <cell r="Q1019" t="str">
            <v>PAGO DE SERVICIOS PUBLICOS CAJA DE LA VIVIENDA POPULAR BODEGA CL 70 A BIS 23-46 S/G FACTURA 510545051 PERIODO ABRIL 18 A MAYO 18 DE 2018</v>
          </cell>
          <cell r="R1019">
            <v>149380</v>
          </cell>
          <cell r="S1019">
            <v>0</v>
          </cell>
          <cell r="T1019">
            <v>0</v>
          </cell>
          <cell r="U1019">
            <v>149380</v>
          </cell>
          <cell r="V1019">
            <v>149380</v>
          </cell>
        </row>
        <row r="1020">
          <cell r="J1020">
            <v>1955</v>
          </cell>
          <cell r="K1020">
            <v>43244</v>
          </cell>
          <cell r="L1020" t="str">
            <v>EMPRESA DE ACUEDUCTO ALCANTARILLADO Y ASEO DE BOGOTA ESP</v>
          </cell>
          <cell r="M1020">
            <v>28</v>
          </cell>
          <cell r="N1020" t="str">
            <v>FACTURAS</v>
          </cell>
          <cell r="O1020">
            <v>362114</v>
          </cell>
          <cell r="P1020">
            <v>43244</v>
          </cell>
          <cell r="Q1020" t="str">
            <v>PAGO DE SERVICIOS PUBLICOS CAJA DE LA VIVIENDA POPULAR OTROS PREDIOS DG 9B SUR ESTE 41 S/G FACTURA 27364362114</v>
          </cell>
          <cell r="R1020">
            <v>310064</v>
          </cell>
          <cell r="S1020">
            <v>0</v>
          </cell>
          <cell r="T1020">
            <v>0</v>
          </cell>
          <cell r="U1020">
            <v>310064</v>
          </cell>
          <cell r="V1020">
            <v>310064</v>
          </cell>
        </row>
        <row r="1021">
          <cell r="J1021">
            <v>1959</v>
          </cell>
          <cell r="K1021">
            <v>43249</v>
          </cell>
          <cell r="L1021" t="str">
            <v>COLOMBIA TELECOMUNICACIONES S A E S P</v>
          </cell>
          <cell r="M1021">
            <v>28</v>
          </cell>
          <cell r="N1021" t="str">
            <v>FACTURAS</v>
          </cell>
          <cell r="O1021">
            <v>287285</v>
          </cell>
          <cell r="P1021">
            <v>43249</v>
          </cell>
          <cell r="Q1021" t="str">
            <v>SERVICIO DE TELEFONÍA CELULAR DE LA CAJA DE LA VIVIENDA POPULAR, PERIODO FACTURADO: MAYO 17 A JUNIO 16 DE 2018</v>
          </cell>
          <cell r="R1021">
            <v>534012</v>
          </cell>
          <cell r="S1021">
            <v>0</v>
          </cell>
          <cell r="T1021">
            <v>0</v>
          </cell>
          <cell r="U1021">
            <v>534012</v>
          </cell>
          <cell r="V1021">
            <v>534012</v>
          </cell>
        </row>
        <row r="1022">
          <cell r="J1022">
            <v>2031</v>
          </cell>
          <cell r="K1022">
            <v>43269</v>
          </cell>
          <cell r="L1022" t="str">
            <v>CODENSA S. A. ESP</v>
          </cell>
          <cell r="M1022">
            <v>28</v>
          </cell>
          <cell r="N1022" t="str">
            <v>FACTURAS</v>
          </cell>
          <cell r="O1022">
            <v>3023708</v>
          </cell>
          <cell r="P1022">
            <v>43269</v>
          </cell>
          <cell r="Q1022" t="str">
            <v>PAGO DE SERVICIOS PUBLICOS CAJA DE LA VIVIENDA POPULAR LOCAL CARRERA 13 N. 54-21 S/G FACTURA 513023708 PERIODO FACTURADO MAYO 10 A 12 JUNIO DE2018</v>
          </cell>
          <cell r="R1022">
            <v>259090</v>
          </cell>
          <cell r="S1022">
            <v>0</v>
          </cell>
          <cell r="T1022">
            <v>0</v>
          </cell>
          <cell r="U1022">
            <v>259090</v>
          </cell>
          <cell r="V1022">
            <v>259090</v>
          </cell>
        </row>
        <row r="1023">
          <cell r="J1023">
            <v>2145</v>
          </cell>
          <cell r="K1023">
            <v>43276</v>
          </cell>
          <cell r="L1023" t="str">
            <v>CODENSA S. A. ESP</v>
          </cell>
          <cell r="M1023">
            <v>28</v>
          </cell>
          <cell r="N1023" t="str">
            <v>FACTURAS</v>
          </cell>
          <cell r="O1023">
            <v>874119</v>
          </cell>
          <cell r="P1023">
            <v>43276</v>
          </cell>
          <cell r="Q1023" t="str">
            <v>PAGO DE SERVICIOS PUBLICOS CAJA DE LA VIVIENDA POPULAR BODEGA CL 70 A BIS 23-46 S/G FACTURA 513874119 PERIODO MAYO 18 A 19 DE JUNIO DE 2018</v>
          </cell>
          <cell r="R1023">
            <v>146070</v>
          </cell>
          <cell r="S1023">
            <v>0</v>
          </cell>
          <cell r="T1023">
            <v>0</v>
          </cell>
          <cell r="U1023">
            <v>146070</v>
          </cell>
          <cell r="V1023">
            <v>146070</v>
          </cell>
        </row>
        <row r="1024">
          <cell r="J1024">
            <v>2147</v>
          </cell>
          <cell r="K1024">
            <v>43277</v>
          </cell>
          <cell r="L1024" t="str">
            <v>COLOMBIA TELECOMUNICACIONES S A E S P</v>
          </cell>
          <cell r="M1024">
            <v>28</v>
          </cell>
          <cell r="N1024" t="str">
            <v>FACTURAS</v>
          </cell>
          <cell r="O1024">
            <v>8061701</v>
          </cell>
          <cell r="P1024">
            <v>43277</v>
          </cell>
          <cell r="Q1024" t="str">
            <v>SERVICIO DE TELEFONÍA CELULAR CVP PERIODO JUNIO 17 A JULIO 16 DE 2018 S/G FACTURA EC178061701</v>
          </cell>
          <cell r="R1024">
            <v>534012</v>
          </cell>
          <cell r="S1024">
            <v>0</v>
          </cell>
          <cell r="T1024">
            <v>0</v>
          </cell>
          <cell r="U1024">
            <v>534012</v>
          </cell>
          <cell r="V1024">
            <v>534012</v>
          </cell>
        </row>
        <row r="1025">
          <cell r="J1025">
            <v>2508</v>
          </cell>
          <cell r="K1025">
            <v>43299</v>
          </cell>
          <cell r="L1025" t="str">
            <v>EMPRESA DE ACUEDUCTO ALCANTARILLADO Y ASEO DE BOGOTA ESP</v>
          </cell>
          <cell r="M1025">
            <v>28</v>
          </cell>
          <cell r="N1025" t="str">
            <v>FACTURAS</v>
          </cell>
          <cell r="O1025">
            <v>941717</v>
          </cell>
          <cell r="P1025">
            <v>43299</v>
          </cell>
          <cell r="Q1025" t="str">
            <v>PAGO DE SERVICIOS PUBLICOS CAJA DE LA VIVIENDA POPULAR LOCAL CARRERA 13 N. 54 21 PERIODO 17 ABRIL A JUNIO 15 DE 2018</v>
          </cell>
          <cell r="R1025">
            <v>366980</v>
          </cell>
          <cell r="S1025">
            <v>0</v>
          </cell>
          <cell r="T1025">
            <v>0</v>
          </cell>
          <cell r="U1025">
            <v>366980</v>
          </cell>
          <cell r="V1025">
            <v>366980</v>
          </cell>
        </row>
        <row r="1026">
          <cell r="J1026">
            <v>2509</v>
          </cell>
          <cell r="K1026">
            <v>43299</v>
          </cell>
          <cell r="L1026" t="str">
            <v>CODENSA S. A. ESP</v>
          </cell>
          <cell r="M1026">
            <v>28</v>
          </cell>
          <cell r="N1026" t="str">
            <v>FACTURAS</v>
          </cell>
          <cell r="O1026">
            <v>384923</v>
          </cell>
          <cell r="P1026">
            <v>43299</v>
          </cell>
          <cell r="Q1026" t="str">
            <v>PAGO DE SERVICIOS PUBLICOS CAJA DE LA VIVIENDA POPULAR CARRERA 13 54-21 PERIODO JUNIO 12 A JULIO 11 DE 2018</v>
          </cell>
          <cell r="R1026">
            <v>269200</v>
          </cell>
          <cell r="S1026">
            <v>0</v>
          </cell>
          <cell r="T1026">
            <v>0</v>
          </cell>
          <cell r="U1026">
            <v>269200</v>
          </cell>
          <cell r="V1026">
            <v>269200</v>
          </cell>
        </row>
        <row r="1027">
          <cell r="J1027">
            <v>2510</v>
          </cell>
          <cell r="K1027">
            <v>43299</v>
          </cell>
          <cell r="L1027" t="str">
            <v>EMPRESA DE ACUEDUCTO ALCANTARILLADO Y ASEO DE BOGOTA ESP</v>
          </cell>
          <cell r="M1027">
            <v>28</v>
          </cell>
          <cell r="N1027" t="str">
            <v>FACTURAS</v>
          </cell>
          <cell r="O1027">
            <v>4817318</v>
          </cell>
          <cell r="P1027">
            <v>43299</v>
          </cell>
          <cell r="Q1027" t="str">
            <v>PAGO DE SERVICIOS PUBLICOS CAJA DE LA VIVIENDA POPULAR BODEGA CL 70 BIS N. 23-46 PERIODO 22 ABRIL A 20 JUNIO DE 2018</v>
          </cell>
          <cell r="R1027">
            <v>139090</v>
          </cell>
          <cell r="S1027">
            <v>0</v>
          </cell>
          <cell r="T1027">
            <v>0</v>
          </cell>
          <cell r="U1027">
            <v>139090</v>
          </cell>
          <cell r="V1027">
            <v>139090</v>
          </cell>
        </row>
        <row r="1028">
          <cell r="J1028">
            <v>2531</v>
          </cell>
          <cell r="K1028">
            <v>43305</v>
          </cell>
          <cell r="L1028" t="str">
            <v>COLOMBIA TELECOMUNICACIONES S A E S P</v>
          </cell>
          <cell r="M1028">
            <v>28</v>
          </cell>
          <cell r="N1028" t="str">
            <v>FACTURAS</v>
          </cell>
          <cell r="O1028">
            <v>841394</v>
          </cell>
          <cell r="P1028">
            <v>43305</v>
          </cell>
          <cell r="Q1028" t="str">
            <v>SERVICIO DE TELEFONÍA CELULAR, PERIODO FACTURADO: JULIO 17 A AGOSTO 16 DE 2018.</v>
          </cell>
          <cell r="R1028">
            <v>565357</v>
          </cell>
          <cell r="S1028">
            <v>0</v>
          </cell>
          <cell r="T1028">
            <v>0</v>
          </cell>
          <cell r="U1028">
            <v>565357</v>
          </cell>
          <cell r="V1028">
            <v>565357</v>
          </cell>
        </row>
        <row r="1029">
          <cell r="J1029">
            <v>2543</v>
          </cell>
          <cell r="K1029">
            <v>43306</v>
          </cell>
          <cell r="L1029" t="str">
            <v>CODENSA S. A. ESP</v>
          </cell>
          <cell r="M1029">
            <v>28</v>
          </cell>
          <cell r="N1029" t="str">
            <v>FACTURAS</v>
          </cell>
          <cell r="O1029">
            <v>542832</v>
          </cell>
          <cell r="P1029">
            <v>43306</v>
          </cell>
          <cell r="Q1029" t="str">
            <v>PAGO DE SERVICIOS PUBLICOS CAJA DE LA VIVIENDA POPULAR - BODEGA CL 70 A BIS N. 23-46 PERIODO JUNIO 19 A JULIO 18 DE 2018</v>
          </cell>
          <cell r="R1029">
            <v>153000</v>
          </cell>
          <cell r="S1029">
            <v>0</v>
          </cell>
          <cell r="T1029">
            <v>0</v>
          </cell>
          <cell r="U1029">
            <v>153000</v>
          </cell>
          <cell r="V1029">
            <v>153000</v>
          </cell>
        </row>
        <row r="1030">
          <cell r="J1030">
            <v>2714</v>
          </cell>
          <cell r="K1030">
            <v>43334</v>
          </cell>
          <cell r="L1030" t="str">
            <v>CODENSA S. A. ESP</v>
          </cell>
          <cell r="M1030">
            <v>28</v>
          </cell>
          <cell r="N1030" t="str">
            <v>FACTURAS</v>
          </cell>
          <cell r="O1030">
            <v>98120</v>
          </cell>
          <cell r="P1030">
            <v>43334</v>
          </cell>
          <cell r="Q1030" t="str">
            <v>PAGO DE SERVICIO PUBLICO CAJA DE LA VIVIENDA POPULAR LOCAL CARRERA 13 N. 54 - 21 S/G FACTURA N. 519799812-0 PERÍODO FACTURADO JULIO 11 DE 2018 A 10 AGOSTO DE 2018.</v>
          </cell>
          <cell r="R1030">
            <v>244820</v>
          </cell>
          <cell r="S1030">
            <v>0</v>
          </cell>
          <cell r="T1030">
            <v>0</v>
          </cell>
          <cell r="U1030">
            <v>244820</v>
          </cell>
          <cell r="V1030">
            <v>244820</v>
          </cell>
        </row>
        <row r="1031">
          <cell r="J1031">
            <v>2743</v>
          </cell>
          <cell r="K1031">
            <v>43336</v>
          </cell>
          <cell r="L1031" t="str">
            <v>CODENSA S. A. ESP</v>
          </cell>
          <cell r="M1031">
            <v>28</v>
          </cell>
          <cell r="N1031" t="str">
            <v>FACTURAS</v>
          </cell>
          <cell r="O1031">
            <v>571772</v>
          </cell>
          <cell r="P1031">
            <v>43336</v>
          </cell>
          <cell r="Q1031" t="str">
            <v>PAGO DE SERVICIOS PUBLICOS CAJA DE LA VIVIENDA POPULAR BODEGA CL 70 A BIS 23-46  PERIODO JULIO 18 A 17 AGOSTO DE 2018</v>
          </cell>
          <cell r="R1031">
            <v>150970</v>
          </cell>
          <cell r="S1031">
            <v>0</v>
          </cell>
          <cell r="T1031">
            <v>0</v>
          </cell>
          <cell r="U1031">
            <v>150970</v>
          </cell>
          <cell r="V1031">
            <v>150970</v>
          </cell>
        </row>
        <row r="1032">
          <cell r="J1032">
            <v>2752</v>
          </cell>
          <cell r="K1032">
            <v>43336</v>
          </cell>
          <cell r="L1032" t="str">
            <v>COLOMBIA TELECOMUNICACIONES S A E S P</v>
          </cell>
          <cell r="M1032">
            <v>28</v>
          </cell>
          <cell r="N1032" t="str">
            <v>FACTURAS</v>
          </cell>
          <cell r="O1032">
            <v>652520</v>
          </cell>
          <cell r="P1032">
            <v>43336</v>
          </cell>
          <cell r="Q1032" t="str">
            <v>SERVICIO DE TELEFONÍA CELULAR PERIODO AGOSTO 17 A SEPTIEMBRE 16 DE 2018 S/F 183652520</v>
          </cell>
          <cell r="R1032">
            <v>565357</v>
          </cell>
          <cell r="S1032">
            <v>565357</v>
          </cell>
          <cell r="T1032">
            <v>0</v>
          </cell>
          <cell r="U1032">
            <v>0</v>
          </cell>
          <cell r="V1032">
            <v>0</v>
          </cell>
        </row>
        <row r="1033">
          <cell r="J1033">
            <v>2754</v>
          </cell>
          <cell r="K1033">
            <v>43339</v>
          </cell>
          <cell r="L1033" t="str">
            <v>COLOMBIA TELECOMUNICACIONES S A E S P</v>
          </cell>
          <cell r="M1033">
            <v>28</v>
          </cell>
          <cell r="N1033" t="str">
            <v>FACTURAS</v>
          </cell>
          <cell r="O1033">
            <v>652520</v>
          </cell>
          <cell r="P1033">
            <v>43339</v>
          </cell>
          <cell r="Q1033" t="str">
            <v>SERVICIO DE TELEFONÍA CELULAR PERIODO AGOSTO 17 A SEPTIEMBRE 16 DE 2018 S/F 183652520</v>
          </cell>
          <cell r="R1033">
            <v>565357</v>
          </cell>
          <cell r="S1033">
            <v>0</v>
          </cell>
          <cell r="T1033">
            <v>0</v>
          </cell>
          <cell r="U1033">
            <v>565357</v>
          </cell>
          <cell r="V1033">
            <v>565357</v>
          </cell>
        </row>
        <row r="1034">
          <cell r="J1034">
            <v>1585</v>
          </cell>
          <cell r="K1034">
            <v>43174</v>
          </cell>
          <cell r="L1034" t="str">
            <v>CAJA DE VIVIENDA POPULAR</v>
          </cell>
          <cell r="M1034">
            <v>27</v>
          </cell>
          <cell r="N1034" t="str">
            <v>CAJA MENOR</v>
          </cell>
          <cell r="O1034">
            <v>2</v>
          </cell>
          <cell r="P1034">
            <v>43174</v>
          </cell>
          <cell r="Q1034" t="str">
            <v>REEMBOLSO DE CAJA MENOR DEL MES DE FEBRERO DE 2018</v>
          </cell>
          <cell r="R1034">
            <v>114900</v>
          </cell>
          <cell r="S1034">
            <v>0</v>
          </cell>
          <cell r="T1034">
            <v>0</v>
          </cell>
          <cell r="U1034">
            <v>114900</v>
          </cell>
          <cell r="V1034">
            <v>114900</v>
          </cell>
        </row>
        <row r="1035">
          <cell r="J1035">
            <v>1820</v>
          </cell>
          <cell r="K1035">
            <v>43209</v>
          </cell>
          <cell r="L1035" t="str">
            <v>CAJA DE VIVIENDA POPULAR</v>
          </cell>
          <cell r="M1035">
            <v>27</v>
          </cell>
          <cell r="N1035" t="str">
            <v>CAJA MENOR</v>
          </cell>
          <cell r="O1035">
            <v>3</v>
          </cell>
          <cell r="P1035">
            <v>43209</v>
          </cell>
          <cell r="Q1035" t="str">
            <v>REEMBOLSO CAJA MENOR DEL MES DE MARZO DE 2018.</v>
          </cell>
          <cell r="R1035">
            <v>106000</v>
          </cell>
          <cell r="S1035">
            <v>0</v>
          </cell>
          <cell r="T1035">
            <v>0</v>
          </cell>
          <cell r="U1035">
            <v>106000</v>
          </cell>
          <cell r="V1035">
            <v>106000</v>
          </cell>
        </row>
        <row r="1036">
          <cell r="J1036">
            <v>1897</v>
          </cell>
          <cell r="K1036">
            <v>43231</v>
          </cell>
          <cell r="L1036" t="str">
            <v>CAJA DE VIVIENDA POPULAR</v>
          </cell>
          <cell r="M1036">
            <v>27</v>
          </cell>
          <cell r="N1036" t="str">
            <v>CAJA MENOR</v>
          </cell>
          <cell r="O1036">
            <v>4</v>
          </cell>
          <cell r="P1036">
            <v>43231</v>
          </cell>
          <cell r="Q1036" t="str">
            <v>REEMBOLSO DE CAJA MENOR MES ABRIL DEL 2018</v>
          </cell>
          <cell r="R1036">
            <v>13200</v>
          </cell>
          <cell r="S1036">
            <v>0</v>
          </cell>
          <cell r="T1036">
            <v>0</v>
          </cell>
          <cell r="U1036">
            <v>13200</v>
          </cell>
          <cell r="V1036">
            <v>13200</v>
          </cell>
        </row>
        <row r="1037">
          <cell r="J1037">
            <v>2042</v>
          </cell>
          <cell r="K1037">
            <v>43271</v>
          </cell>
          <cell r="L1037" t="str">
            <v>CAJA DE VIVIENDA POPULAR</v>
          </cell>
          <cell r="M1037">
            <v>27</v>
          </cell>
          <cell r="N1037" t="str">
            <v>CAJA MENOR</v>
          </cell>
          <cell r="O1037">
            <v>5</v>
          </cell>
          <cell r="P1037">
            <v>43271</v>
          </cell>
          <cell r="Q1037" t="str">
            <v>REEMBOLSO DE CAJA MENOR MES DE MAYO DE 2018</v>
          </cell>
          <cell r="R1037">
            <v>60000</v>
          </cell>
          <cell r="S1037">
            <v>0</v>
          </cell>
          <cell r="T1037">
            <v>0</v>
          </cell>
          <cell r="U1037">
            <v>60000</v>
          </cell>
          <cell r="V1037">
            <v>60000</v>
          </cell>
        </row>
        <row r="1038">
          <cell r="J1038">
            <v>2513</v>
          </cell>
          <cell r="K1038">
            <v>43300</v>
          </cell>
          <cell r="L1038" t="str">
            <v>CAJA DE VIVIENDA POPULAR</v>
          </cell>
          <cell r="M1038">
            <v>27</v>
          </cell>
          <cell r="N1038" t="str">
            <v>CAJA MENOR</v>
          </cell>
          <cell r="O1038">
            <v>6</v>
          </cell>
          <cell r="P1038">
            <v>43300</v>
          </cell>
          <cell r="Q1038" t="str">
            <v>REEMBOLSO DE CAJA MENOR MES DE JUNIO DE 2018</v>
          </cell>
          <cell r="R1038">
            <v>22000</v>
          </cell>
          <cell r="S1038">
            <v>0</v>
          </cell>
          <cell r="T1038">
            <v>0</v>
          </cell>
          <cell r="U1038">
            <v>22000</v>
          </cell>
          <cell r="V1038">
            <v>22000</v>
          </cell>
        </row>
        <row r="1039">
          <cell r="J1039">
            <v>2717</v>
          </cell>
          <cell r="K1039">
            <v>43335</v>
          </cell>
          <cell r="L1039" t="str">
            <v>CAJA DE VIVIENDA POPULAR</v>
          </cell>
          <cell r="M1039">
            <v>27</v>
          </cell>
          <cell r="N1039" t="str">
            <v>CAJA MENOR</v>
          </cell>
          <cell r="O1039">
            <v>7</v>
          </cell>
          <cell r="P1039">
            <v>43335</v>
          </cell>
          <cell r="Q1039" t="str">
            <v>REEMBOLSO DE CAJA MENOR DEL MES DE JULIO 2018</v>
          </cell>
          <cell r="R1039">
            <v>70686</v>
          </cell>
          <cell r="S1039">
            <v>0</v>
          </cell>
          <cell r="T1039">
            <v>0</v>
          </cell>
          <cell r="U1039">
            <v>70686</v>
          </cell>
          <cell r="V1039">
            <v>70686</v>
          </cell>
        </row>
        <row r="1040">
          <cell r="J1040">
            <v>1359</v>
          </cell>
          <cell r="K1040">
            <v>43146</v>
          </cell>
          <cell r="L1040" t="str">
            <v>CAJA DE VIVIENDA POPULAR</v>
          </cell>
          <cell r="M1040">
            <v>27</v>
          </cell>
          <cell r="N1040" t="str">
            <v>CAJA MENOR</v>
          </cell>
          <cell r="O1040">
            <v>1</v>
          </cell>
          <cell r="P1040">
            <v>43146</v>
          </cell>
          <cell r="Q1040" t="str">
            <v>REEMBOLSO DE CAJA MENOR DEL MES DE ENERO DE 2018</v>
          </cell>
          <cell r="R1040">
            <v>45200</v>
          </cell>
          <cell r="S1040">
            <v>0</v>
          </cell>
          <cell r="T1040">
            <v>0</v>
          </cell>
          <cell r="U1040">
            <v>45200</v>
          </cell>
          <cell r="V1040">
            <v>45200</v>
          </cell>
        </row>
        <row r="1041">
          <cell r="J1041">
            <v>1601</v>
          </cell>
          <cell r="K1041">
            <v>43179</v>
          </cell>
          <cell r="L1041" t="str">
            <v>CAJA DE VIVIENDA POPULAR</v>
          </cell>
          <cell r="M1041">
            <v>27</v>
          </cell>
          <cell r="N1041" t="str">
            <v>CAJA MENOR</v>
          </cell>
          <cell r="O1041">
            <v>2</v>
          </cell>
          <cell r="P1041">
            <v>43179</v>
          </cell>
          <cell r="Q1041" t="str">
            <v>REEMBOLSO DE CAJA MENOR DEL MES DE FEBRERO DE 2018</v>
          </cell>
          <cell r="R1041">
            <v>135800</v>
          </cell>
          <cell r="S1041">
            <v>0</v>
          </cell>
          <cell r="T1041">
            <v>0</v>
          </cell>
          <cell r="U1041">
            <v>135800</v>
          </cell>
          <cell r="V1041">
            <v>135800</v>
          </cell>
        </row>
        <row r="1042">
          <cell r="J1042">
            <v>1821</v>
          </cell>
          <cell r="K1042">
            <v>43209</v>
          </cell>
          <cell r="L1042" t="str">
            <v>CAJA DE VIVIENDA POPULAR</v>
          </cell>
          <cell r="M1042">
            <v>27</v>
          </cell>
          <cell r="N1042" t="str">
            <v>CAJA MENOR</v>
          </cell>
          <cell r="O1042">
            <v>3</v>
          </cell>
          <cell r="P1042">
            <v>43209</v>
          </cell>
          <cell r="Q1042" t="str">
            <v>REEMBOLSO DE CAJA MENOR DEL MES DE MARZO DE 2018</v>
          </cell>
          <cell r="R1042">
            <v>124700</v>
          </cell>
          <cell r="S1042">
            <v>0</v>
          </cell>
          <cell r="T1042">
            <v>0</v>
          </cell>
          <cell r="U1042">
            <v>124700</v>
          </cell>
          <cell r="V1042">
            <v>124700</v>
          </cell>
        </row>
        <row r="1043">
          <cell r="J1043">
            <v>1898</v>
          </cell>
          <cell r="K1043">
            <v>43231</v>
          </cell>
          <cell r="L1043" t="str">
            <v>CAJA DE VIVIENDA POPULAR</v>
          </cell>
          <cell r="M1043">
            <v>27</v>
          </cell>
          <cell r="N1043" t="str">
            <v>CAJA MENOR</v>
          </cell>
          <cell r="O1043">
            <v>4</v>
          </cell>
          <cell r="P1043">
            <v>43231</v>
          </cell>
          <cell r="Q1043" t="str">
            <v>REEMBOLSO DE CAJA MENOR MES ABRIL DEL 2018</v>
          </cell>
          <cell r="R1043">
            <v>153200</v>
          </cell>
          <cell r="S1043">
            <v>0</v>
          </cell>
          <cell r="T1043">
            <v>0</v>
          </cell>
          <cell r="U1043">
            <v>153200</v>
          </cell>
          <cell r="V1043">
            <v>153200</v>
          </cell>
        </row>
        <row r="1044">
          <cell r="J1044">
            <v>2043</v>
          </cell>
          <cell r="K1044">
            <v>43271</v>
          </cell>
          <cell r="L1044" t="str">
            <v>CAJA DE VIVIENDA POPULAR</v>
          </cell>
          <cell r="M1044">
            <v>27</v>
          </cell>
          <cell r="N1044" t="str">
            <v>CAJA MENOR</v>
          </cell>
          <cell r="O1044">
            <v>5</v>
          </cell>
          <cell r="P1044">
            <v>43271</v>
          </cell>
          <cell r="Q1044" t="str">
            <v>REEMBOLSO DE CAJA MENOR MES DE MAYO DE 2018</v>
          </cell>
          <cell r="R1044">
            <v>338815</v>
          </cell>
          <cell r="S1044">
            <v>0</v>
          </cell>
          <cell r="T1044">
            <v>0</v>
          </cell>
          <cell r="U1044">
            <v>338815</v>
          </cell>
          <cell r="V1044">
            <v>338815</v>
          </cell>
        </row>
        <row r="1045">
          <cell r="J1045">
            <v>2514</v>
          </cell>
          <cell r="K1045">
            <v>43300</v>
          </cell>
          <cell r="L1045" t="str">
            <v>CAJA DE VIVIENDA POPULAR</v>
          </cell>
          <cell r="M1045">
            <v>27</v>
          </cell>
          <cell r="N1045" t="str">
            <v>CAJA MENOR</v>
          </cell>
          <cell r="O1045">
            <v>6</v>
          </cell>
          <cell r="P1045">
            <v>43300</v>
          </cell>
          <cell r="Q1045" t="str">
            <v>REEMBOLSO DE CAJA MENOR MES DE JUNIO DE 2018</v>
          </cell>
          <cell r="R1045">
            <v>263500</v>
          </cell>
          <cell r="S1045">
            <v>0</v>
          </cell>
          <cell r="T1045">
            <v>0</v>
          </cell>
          <cell r="U1045">
            <v>263500</v>
          </cell>
          <cell r="V1045">
            <v>263500</v>
          </cell>
        </row>
        <row r="1046">
          <cell r="J1046">
            <v>2718</v>
          </cell>
          <cell r="K1046">
            <v>43335</v>
          </cell>
          <cell r="L1046" t="str">
            <v>CAJA DE VIVIENDA POPULAR</v>
          </cell>
          <cell r="M1046">
            <v>27</v>
          </cell>
          <cell r="N1046" t="str">
            <v>CAJA MENOR</v>
          </cell>
          <cell r="O1046">
            <v>7</v>
          </cell>
          <cell r="P1046">
            <v>43335</v>
          </cell>
          <cell r="Q1046" t="str">
            <v>REEMBOLSO DE CAJA MENOR DEL MES DE JULIO 2018</v>
          </cell>
          <cell r="R1046">
            <v>181210</v>
          </cell>
          <cell r="S1046">
            <v>0</v>
          </cell>
          <cell r="T1046">
            <v>0</v>
          </cell>
          <cell r="U1046">
            <v>181210</v>
          </cell>
          <cell r="V1046">
            <v>181210</v>
          </cell>
        </row>
        <row r="1047">
          <cell r="J1047">
            <v>1586</v>
          </cell>
          <cell r="K1047">
            <v>43174</v>
          </cell>
          <cell r="L1047" t="str">
            <v>CAJA DE VIVIENDA POPULAR</v>
          </cell>
          <cell r="M1047">
            <v>27</v>
          </cell>
          <cell r="N1047" t="str">
            <v>CAJA MENOR</v>
          </cell>
          <cell r="O1047">
            <v>2</v>
          </cell>
          <cell r="P1047">
            <v>43174</v>
          </cell>
          <cell r="Q1047" t="str">
            <v>REEMBOLSO DE CAJA MENOR DEL MES DE FEBRERO DE 2018</v>
          </cell>
          <cell r="R1047">
            <v>120000</v>
          </cell>
          <cell r="S1047">
            <v>0</v>
          </cell>
          <cell r="T1047">
            <v>0</v>
          </cell>
          <cell r="U1047">
            <v>120000</v>
          </cell>
          <cell r="V1047">
            <v>120000</v>
          </cell>
        </row>
        <row r="1048">
          <cell r="J1048">
            <v>1899</v>
          </cell>
          <cell r="K1048">
            <v>43231</v>
          </cell>
          <cell r="L1048" t="str">
            <v>CAJA DE VIVIENDA POPULAR</v>
          </cell>
          <cell r="M1048">
            <v>27</v>
          </cell>
          <cell r="N1048" t="str">
            <v>CAJA MENOR</v>
          </cell>
          <cell r="O1048">
            <v>4</v>
          </cell>
          <cell r="P1048">
            <v>43231</v>
          </cell>
          <cell r="Q1048" t="str">
            <v>REEMBOLSO DE CAJA MENOR MES ABRIL DEL 2018</v>
          </cell>
          <cell r="R1048">
            <v>38556</v>
          </cell>
          <cell r="S1048">
            <v>0</v>
          </cell>
          <cell r="T1048">
            <v>0</v>
          </cell>
          <cell r="U1048">
            <v>38556</v>
          </cell>
          <cell r="V1048">
            <v>38556</v>
          </cell>
        </row>
        <row r="1049">
          <cell r="J1049">
            <v>2044</v>
          </cell>
          <cell r="K1049">
            <v>43271</v>
          </cell>
          <cell r="L1049" t="str">
            <v>CAJA DE VIVIENDA POPULAR</v>
          </cell>
          <cell r="M1049">
            <v>27</v>
          </cell>
          <cell r="N1049" t="str">
            <v>CAJA MENOR</v>
          </cell>
          <cell r="O1049">
            <v>5</v>
          </cell>
          <cell r="P1049">
            <v>43271</v>
          </cell>
          <cell r="Q1049" t="str">
            <v>REEMBOLSO DE CAJA MENOR MES DE MAYO DE 2018</v>
          </cell>
          <cell r="R1049">
            <v>33900</v>
          </cell>
          <cell r="S1049">
            <v>0</v>
          </cell>
          <cell r="T1049">
            <v>0</v>
          </cell>
          <cell r="U1049">
            <v>33900</v>
          </cell>
          <cell r="V1049">
            <v>33900</v>
          </cell>
        </row>
        <row r="1050">
          <cell r="J1050">
            <v>2515</v>
          </cell>
          <cell r="K1050">
            <v>43300</v>
          </cell>
          <cell r="L1050" t="str">
            <v>CAJA DE VIVIENDA POPULAR</v>
          </cell>
          <cell r="M1050">
            <v>27</v>
          </cell>
          <cell r="N1050" t="str">
            <v>CAJA MENOR</v>
          </cell>
          <cell r="O1050">
            <v>6</v>
          </cell>
          <cell r="P1050">
            <v>43300</v>
          </cell>
          <cell r="Q1050" t="str">
            <v>REEMBOLSO DE CAJA MENOR MES DE JUNIO DE 2018</v>
          </cell>
          <cell r="R1050">
            <v>56700</v>
          </cell>
          <cell r="S1050">
            <v>0</v>
          </cell>
          <cell r="T1050">
            <v>0</v>
          </cell>
          <cell r="U1050">
            <v>56700</v>
          </cell>
          <cell r="V1050">
            <v>56700</v>
          </cell>
        </row>
        <row r="1051">
          <cell r="J1051">
            <v>2719</v>
          </cell>
          <cell r="K1051">
            <v>43335</v>
          </cell>
          <cell r="L1051" t="str">
            <v>CAJA DE VIVIENDA POPULAR</v>
          </cell>
          <cell r="M1051">
            <v>27</v>
          </cell>
          <cell r="N1051" t="str">
            <v>CAJA MENOR</v>
          </cell>
          <cell r="O1051">
            <v>7</v>
          </cell>
          <cell r="P1051">
            <v>43335</v>
          </cell>
          <cell r="Q1051" t="str">
            <v>REEMBOLSO DE CAJA MENOR DEL MES DE JULIO 2018</v>
          </cell>
          <cell r="R1051">
            <v>29170</v>
          </cell>
          <cell r="S1051">
            <v>0</v>
          </cell>
          <cell r="T1051">
            <v>0</v>
          </cell>
          <cell r="U1051">
            <v>29170</v>
          </cell>
          <cell r="V1051">
            <v>29170</v>
          </cell>
        </row>
        <row r="1052">
          <cell r="J1052">
            <v>1822</v>
          </cell>
          <cell r="K1052">
            <v>43209</v>
          </cell>
          <cell r="L1052" t="str">
            <v>CAJA DE VIVIENDA POPULAR</v>
          </cell>
          <cell r="M1052">
            <v>27</v>
          </cell>
          <cell r="N1052" t="str">
            <v>CAJA MENOR</v>
          </cell>
          <cell r="O1052">
            <v>3</v>
          </cell>
          <cell r="P1052">
            <v>43209</v>
          </cell>
          <cell r="Q1052" t="str">
            <v>REEMBOLSO DE CAJA MENOR DEL MES DE MARZO DE 2018</v>
          </cell>
          <cell r="R1052">
            <v>128300</v>
          </cell>
          <cell r="S1052">
            <v>0</v>
          </cell>
          <cell r="T1052">
            <v>0</v>
          </cell>
          <cell r="U1052">
            <v>128300</v>
          </cell>
          <cell r="V1052">
            <v>128300</v>
          </cell>
        </row>
        <row r="1053">
          <cell r="J1053">
            <v>2045</v>
          </cell>
          <cell r="K1053">
            <v>43271</v>
          </cell>
          <cell r="L1053" t="str">
            <v>CAJA DE VIVIENDA POPULAR</v>
          </cell>
          <cell r="M1053">
            <v>27</v>
          </cell>
          <cell r="N1053" t="str">
            <v>CAJA MENOR</v>
          </cell>
          <cell r="O1053">
            <v>5</v>
          </cell>
          <cell r="P1053">
            <v>43271</v>
          </cell>
          <cell r="Q1053" t="str">
            <v>REEMBOLSO DE CAJA MENOR MES DE MAYO DE 2018</v>
          </cell>
          <cell r="R1053">
            <v>100000</v>
          </cell>
          <cell r="S1053">
            <v>0</v>
          </cell>
          <cell r="T1053">
            <v>0</v>
          </cell>
          <cell r="U1053">
            <v>100000</v>
          </cell>
          <cell r="V1053">
            <v>100000</v>
          </cell>
        </row>
        <row r="1054">
          <cell r="J1054">
            <v>2516</v>
          </cell>
          <cell r="K1054">
            <v>43300</v>
          </cell>
          <cell r="L1054" t="str">
            <v>CAJA DE VIVIENDA POPULAR</v>
          </cell>
          <cell r="M1054">
            <v>27</v>
          </cell>
          <cell r="N1054" t="str">
            <v>CAJA MENOR</v>
          </cell>
          <cell r="O1054">
            <v>6</v>
          </cell>
          <cell r="P1054">
            <v>43300</v>
          </cell>
          <cell r="Q1054" t="str">
            <v>REEMBOLSO DE CAJA MENOR MES DE JUNIO DE 2018</v>
          </cell>
          <cell r="R1054">
            <v>121900</v>
          </cell>
          <cell r="S1054">
            <v>0</v>
          </cell>
          <cell r="T1054">
            <v>0</v>
          </cell>
          <cell r="U1054">
            <v>121900</v>
          </cell>
          <cell r="V1054">
            <v>121900</v>
          </cell>
        </row>
        <row r="1055">
          <cell r="J1055">
            <v>1587</v>
          </cell>
          <cell r="K1055">
            <v>43174</v>
          </cell>
          <cell r="L1055" t="str">
            <v>CAJA DE VIVIENDA POPULAR</v>
          </cell>
          <cell r="M1055">
            <v>27</v>
          </cell>
          <cell r="N1055" t="str">
            <v>CAJA MENOR</v>
          </cell>
          <cell r="O1055">
            <v>2</v>
          </cell>
          <cell r="P1055">
            <v>43174</v>
          </cell>
          <cell r="Q1055" t="str">
            <v>REEMBOLSO DE CAJA MENOR DEL MES DE FEBRERO DE 2018</v>
          </cell>
          <cell r="R1055">
            <v>124288</v>
          </cell>
          <cell r="S1055">
            <v>0</v>
          </cell>
          <cell r="T1055">
            <v>0</v>
          </cell>
          <cell r="U1055">
            <v>124288</v>
          </cell>
          <cell r="V1055">
            <v>124288</v>
          </cell>
        </row>
        <row r="1056">
          <cell r="J1056">
            <v>1823</v>
          </cell>
          <cell r="K1056">
            <v>43209</v>
          </cell>
          <cell r="L1056" t="str">
            <v>CAJA DE VIVIENDA POPULAR</v>
          </cell>
          <cell r="M1056">
            <v>27</v>
          </cell>
          <cell r="N1056" t="str">
            <v>CAJA MENOR</v>
          </cell>
          <cell r="O1056">
            <v>3</v>
          </cell>
          <cell r="P1056">
            <v>43209</v>
          </cell>
          <cell r="Q1056" t="str">
            <v>REEMBOLSO DE CAJA MENOR DEL MES DE MARZO DE 2018</v>
          </cell>
          <cell r="R1056">
            <v>45972</v>
          </cell>
          <cell r="S1056">
            <v>0</v>
          </cell>
          <cell r="T1056">
            <v>0</v>
          </cell>
          <cell r="U1056">
            <v>45972</v>
          </cell>
          <cell r="V1056">
            <v>45972</v>
          </cell>
        </row>
        <row r="1057">
          <cell r="J1057">
            <v>1900</v>
          </cell>
          <cell r="K1057">
            <v>43231</v>
          </cell>
          <cell r="L1057" t="str">
            <v>CAJA DE VIVIENDA POPULAR</v>
          </cell>
          <cell r="M1057">
            <v>27</v>
          </cell>
          <cell r="N1057" t="str">
            <v>CAJA MENOR</v>
          </cell>
          <cell r="O1057">
            <v>4</v>
          </cell>
          <cell r="P1057">
            <v>43231</v>
          </cell>
          <cell r="Q1057" t="str">
            <v>REEMBOLSO DE CAJA MENOR MES ABRIL DEL 2018</v>
          </cell>
          <cell r="R1057">
            <v>42545</v>
          </cell>
          <cell r="S1057">
            <v>0</v>
          </cell>
          <cell r="T1057">
            <v>0</v>
          </cell>
          <cell r="U1057">
            <v>42545</v>
          </cell>
          <cell r="V1057">
            <v>42545</v>
          </cell>
        </row>
        <row r="1058">
          <cell r="J1058">
            <v>2046</v>
          </cell>
          <cell r="K1058">
            <v>43271</v>
          </cell>
          <cell r="L1058" t="str">
            <v>CAJA DE VIVIENDA POPULAR</v>
          </cell>
          <cell r="M1058">
            <v>27</v>
          </cell>
          <cell r="N1058" t="str">
            <v>CAJA MENOR</v>
          </cell>
          <cell r="O1058">
            <v>5</v>
          </cell>
          <cell r="P1058">
            <v>43271</v>
          </cell>
          <cell r="Q1058" t="str">
            <v>REEMBOLSO DE CAJA MENOR MES DE MAYO DE 2018</v>
          </cell>
          <cell r="R1058">
            <v>122094</v>
          </cell>
          <cell r="S1058">
            <v>0</v>
          </cell>
          <cell r="T1058">
            <v>0</v>
          </cell>
          <cell r="U1058">
            <v>122094</v>
          </cell>
          <cell r="V1058">
            <v>122094</v>
          </cell>
        </row>
        <row r="1059">
          <cell r="J1059">
            <v>2517</v>
          </cell>
          <cell r="K1059">
            <v>43300</v>
          </cell>
          <cell r="L1059" t="str">
            <v>CAJA DE VIVIENDA POPULAR</v>
          </cell>
          <cell r="M1059">
            <v>27</v>
          </cell>
          <cell r="N1059" t="str">
            <v>CAJA MENOR</v>
          </cell>
          <cell r="O1059">
            <v>6</v>
          </cell>
          <cell r="P1059">
            <v>43300</v>
          </cell>
          <cell r="Q1059" t="str">
            <v>REEMBOLSO DE CAJA MENOR MES DE JUNIO DE 2018</v>
          </cell>
          <cell r="R1059">
            <v>126187</v>
          </cell>
          <cell r="S1059">
            <v>0</v>
          </cell>
          <cell r="T1059">
            <v>0</v>
          </cell>
          <cell r="U1059">
            <v>126187</v>
          </cell>
          <cell r="V1059">
            <v>126187</v>
          </cell>
        </row>
        <row r="1060">
          <cell r="J1060">
            <v>457</v>
          </cell>
          <cell r="K1060">
            <v>43126</v>
          </cell>
          <cell r="L1060" t="str">
            <v>GERMAN ALBERTO BAHAMON JARAMILLO</v>
          </cell>
          <cell r="M1060">
            <v>31</v>
          </cell>
          <cell r="N1060" t="str">
            <v>RESOLUCION</v>
          </cell>
          <cell r="O1060">
            <v>198</v>
          </cell>
          <cell r="P1060">
            <v>43126</v>
          </cell>
          <cell r="Q1060" t="str">
            <v>PAGO DE PRESTACIONES SOCIALES DEFINITIVAS DE UN EXFUNCIONARIO DE LA ENTIDAD</v>
          </cell>
          <cell r="R1060">
            <v>1910032</v>
          </cell>
          <cell r="S1060">
            <v>1910032</v>
          </cell>
          <cell r="T1060">
            <v>0</v>
          </cell>
          <cell r="U1060">
            <v>0</v>
          </cell>
          <cell r="V1060">
            <v>0</v>
          </cell>
        </row>
        <row r="1061">
          <cell r="J1061">
            <v>471</v>
          </cell>
          <cell r="K1061">
            <v>43126</v>
          </cell>
          <cell r="L1061" t="str">
            <v>GERMAN ALBERTO BAHAMON JARAMILLO</v>
          </cell>
          <cell r="M1061">
            <v>31</v>
          </cell>
          <cell r="N1061" t="str">
            <v>RESOLUCION</v>
          </cell>
          <cell r="O1061">
            <v>198</v>
          </cell>
          <cell r="P1061">
            <v>43126</v>
          </cell>
          <cell r="Q1061" t="str">
            <v>PAGO DE PRESTACIONES SOCIALES DEFINITIVAS DE UN EXFUNCIONARIO DE LA ENTIDAD</v>
          </cell>
          <cell r="R1061">
            <v>1910302</v>
          </cell>
          <cell r="S1061">
            <v>0</v>
          </cell>
          <cell r="T1061">
            <v>0</v>
          </cell>
          <cell r="U1061">
            <v>1910302</v>
          </cell>
          <cell r="V1061">
            <v>1910302</v>
          </cell>
        </row>
        <row r="1062">
          <cell r="J1062">
            <v>1939</v>
          </cell>
          <cell r="K1062">
            <v>43242</v>
          </cell>
          <cell r="L1062" t="str">
            <v>GERMAN ALBERTO BAHAMON JARAMILLO</v>
          </cell>
          <cell r="M1062">
            <v>31</v>
          </cell>
          <cell r="N1062" t="str">
            <v>RESOLUCION</v>
          </cell>
          <cell r="O1062">
            <v>2068</v>
          </cell>
          <cell r="P1062">
            <v>43242</v>
          </cell>
          <cell r="Q1062" t="str">
            <v>PAGO DE REAJUSTE DE PRESTACIONES SOCIALES DEFINITIVAS DE UN EXFUNCIONARIO DE LA ENTIDAD</v>
          </cell>
          <cell r="R1062">
            <v>41186</v>
          </cell>
          <cell r="S1062">
            <v>0</v>
          </cell>
          <cell r="T1062">
            <v>0</v>
          </cell>
          <cell r="U1062">
            <v>41186</v>
          </cell>
          <cell r="V1062">
            <v>41186</v>
          </cell>
        </row>
        <row r="1063">
          <cell r="J1063">
            <v>2697</v>
          </cell>
          <cell r="K1063">
            <v>43334</v>
          </cell>
          <cell r="L1063" t="str">
            <v>JUAN PABLO VELASQUEZ SILVA</v>
          </cell>
          <cell r="M1063">
            <v>31</v>
          </cell>
          <cell r="N1063" t="str">
            <v>RESOLUCION</v>
          </cell>
          <cell r="O1063">
            <v>3143</v>
          </cell>
          <cell r="P1063">
            <v>43334</v>
          </cell>
          <cell r="Q1063" t="str">
            <v>PAGO DE PRESTACIONES SOCIALES DEFINITIVAS A EXFUNCIONARIO DE LA ENTIDAD</v>
          </cell>
          <cell r="R1063">
            <v>2350621</v>
          </cell>
          <cell r="S1063">
            <v>2350621</v>
          </cell>
          <cell r="T1063">
            <v>0</v>
          </cell>
          <cell r="U1063">
            <v>0</v>
          </cell>
          <cell r="V1063">
            <v>0</v>
          </cell>
        </row>
        <row r="1064">
          <cell r="J1064">
            <v>2721</v>
          </cell>
          <cell r="K1064">
            <v>43335</v>
          </cell>
          <cell r="L1064" t="str">
            <v>JUAN PABLO VELASQUEZ SILVA</v>
          </cell>
          <cell r="M1064">
            <v>31</v>
          </cell>
          <cell r="N1064" t="str">
            <v>RESOLUCION</v>
          </cell>
          <cell r="O1064">
            <v>3143</v>
          </cell>
          <cell r="P1064">
            <v>43335</v>
          </cell>
          <cell r="Q1064" t="str">
            <v>PAGO DE PRESTACIONES SOCIALES DEFINITIVAS A EXFUNCIONARIO DE LA ENTIDAD</v>
          </cell>
          <cell r="R1064">
            <v>2350621</v>
          </cell>
          <cell r="S1064">
            <v>0</v>
          </cell>
          <cell r="T1064">
            <v>0</v>
          </cell>
          <cell r="U1064">
            <v>2350621</v>
          </cell>
          <cell r="V1064">
            <v>2350621</v>
          </cell>
        </row>
        <row r="1065">
          <cell r="J1065">
            <v>1939</v>
          </cell>
          <cell r="K1065">
            <v>43242</v>
          </cell>
          <cell r="L1065" t="str">
            <v>GERMAN ALBERTO BAHAMON JARAMILLO</v>
          </cell>
          <cell r="M1065">
            <v>31</v>
          </cell>
          <cell r="N1065" t="str">
            <v>RESOLUCION</v>
          </cell>
          <cell r="O1065">
            <v>2068</v>
          </cell>
          <cell r="P1065">
            <v>43242</v>
          </cell>
          <cell r="Q1065" t="str">
            <v>PAGO DE REAJUSTE DE PRESTACIONES SOCIALES DEFINITIVAS DE UN EXFUNCIONARIO DE LA ENTIDAD</v>
          </cell>
          <cell r="R1065">
            <v>41186</v>
          </cell>
          <cell r="S1065">
            <v>0</v>
          </cell>
          <cell r="T1065">
            <v>0</v>
          </cell>
          <cell r="U1065">
            <v>41186</v>
          </cell>
          <cell r="V1065">
            <v>41186</v>
          </cell>
        </row>
        <row r="1066">
          <cell r="J1066">
            <v>2697</v>
          </cell>
          <cell r="K1066">
            <v>43334</v>
          </cell>
          <cell r="L1066" t="str">
            <v>JUAN PABLO VELASQUEZ SILVA</v>
          </cell>
          <cell r="M1066">
            <v>31</v>
          </cell>
          <cell r="N1066" t="str">
            <v>RESOLUCION</v>
          </cell>
          <cell r="O1066">
            <v>3143</v>
          </cell>
          <cell r="P1066">
            <v>43334</v>
          </cell>
          <cell r="Q1066" t="str">
            <v>PAGO DE PRESTACIONES SOCIALES DEFINITIVAS A EXFUNCIONARIO DE LA ENTIDAD</v>
          </cell>
          <cell r="R1066">
            <v>1175311</v>
          </cell>
          <cell r="S1066">
            <v>1175311</v>
          </cell>
          <cell r="T1066">
            <v>0</v>
          </cell>
          <cell r="U1066">
            <v>0</v>
          </cell>
          <cell r="V1066">
            <v>0</v>
          </cell>
        </row>
        <row r="1067">
          <cell r="J1067">
            <v>2721</v>
          </cell>
          <cell r="K1067">
            <v>43335</v>
          </cell>
          <cell r="L1067" t="str">
            <v>JUAN PABLO VELASQUEZ SILVA</v>
          </cell>
          <cell r="M1067">
            <v>31</v>
          </cell>
          <cell r="N1067" t="str">
            <v>RESOLUCION</v>
          </cell>
          <cell r="O1067">
            <v>3143</v>
          </cell>
          <cell r="P1067">
            <v>43335</v>
          </cell>
          <cell r="Q1067" t="str">
            <v>PAGO DE PRESTACIONES SOCIALES DEFINITIVAS A EXFUNCIONARIO DE LA ENTIDAD</v>
          </cell>
          <cell r="R1067">
            <v>940248</v>
          </cell>
          <cell r="S1067">
            <v>0</v>
          </cell>
          <cell r="T1067">
            <v>0</v>
          </cell>
          <cell r="U1067">
            <v>940248</v>
          </cell>
          <cell r="V1067">
            <v>940248</v>
          </cell>
        </row>
        <row r="1068">
          <cell r="J1068">
            <v>456</v>
          </cell>
          <cell r="K1068">
            <v>43126</v>
          </cell>
          <cell r="L1068" t="str">
            <v>GERMAN ALBERTO BAHAMON JARAMILLO</v>
          </cell>
          <cell r="M1068">
            <v>31</v>
          </cell>
          <cell r="N1068" t="str">
            <v>RESOLUCION</v>
          </cell>
          <cell r="O1068">
            <v>198</v>
          </cell>
          <cell r="P1068">
            <v>43126</v>
          </cell>
          <cell r="Q1068" t="str">
            <v>PAGO DE PRESTACIONES SOCIALES DEFINITIVAS DE UN EXFUNCIONARIO DE LA ENTIDAD</v>
          </cell>
          <cell r="R1068">
            <v>2103607</v>
          </cell>
          <cell r="S1068">
            <v>0</v>
          </cell>
          <cell r="T1068">
            <v>0</v>
          </cell>
          <cell r="U1068">
            <v>2103607</v>
          </cell>
          <cell r="V1068">
            <v>2103607</v>
          </cell>
        </row>
        <row r="1069">
          <cell r="J1069">
            <v>479</v>
          </cell>
          <cell r="K1069">
            <v>43126</v>
          </cell>
          <cell r="L1069" t="str">
            <v>MARCELA  SIERRA CUELLO</v>
          </cell>
          <cell r="M1069">
            <v>31</v>
          </cell>
          <cell r="N1069" t="str">
            <v>RESOLUCION</v>
          </cell>
          <cell r="O1069">
            <v>199</v>
          </cell>
          <cell r="P1069">
            <v>43126</v>
          </cell>
          <cell r="Q1069" t="str">
            <v>CUBRIR EL PAGO DE PRIMA DE NAVIDAD DE TRES EX FUNCIONARIOS DE LA ENTIDAD.</v>
          </cell>
          <cell r="R1069">
            <v>869758</v>
          </cell>
          <cell r="S1069">
            <v>0</v>
          </cell>
          <cell r="T1069">
            <v>0</v>
          </cell>
          <cell r="U1069">
            <v>869758</v>
          </cell>
          <cell r="V1069">
            <v>869758</v>
          </cell>
        </row>
        <row r="1070">
          <cell r="J1070">
            <v>551</v>
          </cell>
          <cell r="K1070">
            <v>43133</v>
          </cell>
          <cell r="L1070" t="str">
            <v>JUAN MANUEL RODRIGUEZ PARRA</v>
          </cell>
          <cell r="M1070">
            <v>31</v>
          </cell>
          <cell r="N1070" t="str">
            <v>RESOLUCION</v>
          </cell>
          <cell r="O1070">
            <v>200</v>
          </cell>
          <cell r="P1070">
            <v>43102</v>
          </cell>
          <cell r="Q1070" t="str">
            <v>PAGO DE PRTESTACIONES SOCIALES DEFINITIVAS A EXFUNCIONARIO DE LA ENTIDAD.</v>
          </cell>
          <cell r="R1070">
            <v>812003</v>
          </cell>
          <cell r="S1070">
            <v>0</v>
          </cell>
          <cell r="T1070">
            <v>0</v>
          </cell>
          <cell r="U1070">
            <v>812003</v>
          </cell>
          <cell r="V1070">
            <v>812003</v>
          </cell>
        </row>
        <row r="1071">
          <cell r="J1071">
            <v>1941</v>
          </cell>
          <cell r="K1071">
            <v>43242</v>
          </cell>
          <cell r="L1071" t="str">
            <v>GERMAN ALBERTO BAHAMON JARAMILLO</v>
          </cell>
          <cell r="M1071">
            <v>31</v>
          </cell>
          <cell r="N1071" t="str">
            <v>RESOLUCION</v>
          </cell>
          <cell r="O1071">
            <v>2068</v>
          </cell>
          <cell r="P1071">
            <v>43242</v>
          </cell>
          <cell r="Q1071" t="str">
            <v>PAGO DE REAJUSTE DE PRESTACIONES SOCIALES DEFINITIVAS DE UN EXFUNCIONARIO DE LA ENTIDAD</v>
          </cell>
          <cell r="R1071">
            <v>112850</v>
          </cell>
          <cell r="S1071">
            <v>0</v>
          </cell>
          <cell r="T1071">
            <v>0</v>
          </cell>
          <cell r="U1071">
            <v>112850</v>
          </cell>
          <cell r="V1071">
            <v>112850</v>
          </cell>
        </row>
        <row r="1072">
          <cell r="J1072">
            <v>2496</v>
          </cell>
          <cell r="K1072">
            <v>43298</v>
          </cell>
          <cell r="L1072" t="str">
            <v>CAROLINA  FERNANDEZ BOLAÑOS</v>
          </cell>
          <cell r="M1072">
            <v>31</v>
          </cell>
          <cell r="N1072" t="str">
            <v>RESOLUCION</v>
          </cell>
          <cell r="O1072">
            <v>2067</v>
          </cell>
          <cell r="P1072">
            <v>43298</v>
          </cell>
          <cell r="Q1072" t="str">
            <v>PAGO DE PRESTACIONES SOCIALES DEFINITIVAS DE UN EXFUNCIONARIO DE LA ENTIDAD</v>
          </cell>
          <cell r="R1072">
            <v>710864</v>
          </cell>
          <cell r="S1072">
            <v>0</v>
          </cell>
          <cell r="T1072">
            <v>0</v>
          </cell>
          <cell r="U1072">
            <v>710864</v>
          </cell>
          <cell r="V1072">
            <v>710864</v>
          </cell>
        </row>
        <row r="1073">
          <cell r="J1073">
            <v>2693</v>
          </cell>
          <cell r="K1073">
            <v>43334</v>
          </cell>
          <cell r="L1073" t="str">
            <v>GUILLERMO ANDRES ARCILA HOYOS</v>
          </cell>
          <cell r="M1073">
            <v>31</v>
          </cell>
          <cell r="N1073" t="str">
            <v>RESOLUCION</v>
          </cell>
          <cell r="O1073">
            <v>3144</v>
          </cell>
          <cell r="P1073">
            <v>43334</v>
          </cell>
          <cell r="Q1073" t="str">
            <v>PAGO DE PRESTACIONES SOCIALES DEFINITIVAS DE UN EXFUNCIONARIO DE LE ENTIDAD</v>
          </cell>
          <cell r="R1073">
            <v>8700133</v>
          </cell>
          <cell r="S1073">
            <v>0</v>
          </cell>
          <cell r="T1073">
            <v>0</v>
          </cell>
          <cell r="U1073">
            <v>8700133</v>
          </cell>
          <cell r="V1073">
            <v>8700133</v>
          </cell>
        </row>
        <row r="1074">
          <cell r="J1074">
            <v>2700</v>
          </cell>
          <cell r="K1074">
            <v>43334</v>
          </cell>
          <cell r="L1074" t="str">
            <v>JUAN PABLO VELASQUEZ SILVA</v>
          </cell>
          <cell r="M1074">
            <v>31</v>
          </cell>
          <cell r="N1074" t="str">
            <v>RESOLUCION</v>
          </cell>
          <cell r="O1074">
            <v>3143</v>
          </cell>
          <cell r="P1074">
            <v>43334</v>
          </cell>
          <cell r="Q1074" t="str">
            <v>PAGO DE PRIMA DE NAVIDAD A EXFUNCIONARIOS DE LA ENTIDAD.</v>
          </cell>
          <cell r="R1074">
            <v>8176237</v>
          </cell>
          <cell r="S1074">
            <v>0</v>
          </cell>
          <cell r="T1074">
            <v>0</v>
          </cell>
          <cell r="U1074">
            <v>8176237</v>
          </cell>
          <cell r="V1074">
            <v>8176237</v>
          </cell>
        </row>
        <row r="1075">
          <cell r="J1075">
            <v>2702</v>
          </cell>
          <cell r="K1075">
            <v>43334</v>
          </cell>
          <cell r="L1075" t="str">
            <v>JUAN PABLO TOVAR OCHOA</v>
          </cell>
          <cell r="M1075">
            <v>31</v>
          </cell>
          <cell r="N1075" t="str">
            <v>RESOLUCION</v>
          </cell>
          <cell r="O1075">
            <v>3145</v>
          </cell>
          <cell r="P1075">
            <v>43334</v>
          </cell>
          <cell r="Q1075" t="str">
            <v>PAGO DE PRESTACIONES SOCIALES DEFINITIVAS DE UN EXFUNCIONARIO DE LA ENTIDAD</v>
          </cell>
          <cell r="R1075">
            <v>9429253</v>
          </cell>
          <cell r="S1075">
            <v>0</v>
          </cell>
          <cell r="T1075">
            <v>0</v>
          </cell>
          <cell r="U1075">
            <v>9429253</v>
          </cell>
          <cell r="V1075">
            <v>9429253</v>
          </cell>
        </row>
        <row r="1076">
          <cell r="J1076">
            <v>457</v>
          </cell>
          <cell r="K1076">
            <v>43126</v>
          </cell>
          <cell r="L1076" t="str">
            <v>GERMAN ALBERTO BAHAMON JARAMILLO</v>
          </cell>
          <cell r="M1076">
            <v>31</v>
          </cell>
          <cell r="N1076" t="str">
            <v>RESOLUCION</v>
          </cell>
          <cell r="O1076">
            <v>198</v>
          </cell>
          <cell r="P1076">
            <v>43126</v>
          </cell>
          <cell r="Q1076" t="str">
            <v>PAGO DE PRESTACIONES SOCIALES DEFINITIVAS DE UN EXFUNCIONARIO DE LA ENTIDAD</v>
          </cell>
          <cell r="R1076">
            <v>9910663</v>
          </cell>
          <cell r="S1076">
            <v>9910663</v>
          </cell>
          <cell r="T1076">
            <v>0</v>
          </cell>
          <cell r="U1076">
            <v>0</v>
          </cell>
          <cell r="V1076">
            <v>0</v>
          </cell>
        </row>
        <row r="1077">
          <cell r="J1077">
            <v>471</v>
          </cell>
          <cell r="K1077">
            <v>43126</v>
          </cell>
          <cell r="L1077" t="str">
            <v>GERMAN ALBERTO BAHAMON JARAMILLO</v>
          </cell>
          <cell r="M1077">
            <v>31</v>
          </cell>
          <cell r="N1077" t="str">
            <v>RESOLUCION</v>
          </cell>
          <cell r="O1077">
            <v>198</v>
          </cell>
          <cell r="P1077">
            <v>43126</v>
          </cell>
          <cell r="Q1077" t="str">
            <v>PAGO DE PRESTACIONES SOCIALES DEFINITIVAS DE UN EXFUNCIONARIO DE LA ENTIDAD</v>
          </cell>
          <cell r="R1077">
            <v>9910663</v>
          </cell>
          <cell r="S1077">
            <v>0</v>
          </cell>
          <cell r="T1077">
            <v>0</v>
          </cell>
          <cell r="U1077">
            <v>9910663</v>
          </cell>
          <cell r="V1077">
            <v>9910663</v>
          </cell>
        </row>
        <row r="1078">
          <cell r="J1078">
            <v>476</v>
          </cell>
          <cell r="K1078">
            <v>43126</v>
          </cell>
          <cell r="L1078" t="str">
            <v>MARCELA  SIERRA CUELLO</v>
          </cell>
          <cell r="M1078">
            <v>31</v>
          </cell>
          <cell r="N1078" t="str">
            <v>RESOLUCION</v>
          </cell>
          <cell r="O1078">
            <v>199</v>
          </cell>
          <cell r="P1078">
            <v>43126</v>
          </cell>
          <cell r="Q1078" t="str">
            <v>PAGO DE PRESTACIONES SOCIALES DEFINITIVAS DE UNA EXFUNCIANROA DE LA ENTIDAD</v>
          </cell>
          <cell r="R1078">
            <v>15454632</v>
          </cell>
          <cell r="S1078">
            <v>0</v>
          </cell>
          <cell r="T1078">
            <v>0</v>
          </cell>
          <cell r="U1078">
            <v>15454632</v>
          </cell>
          <cell r="V1078">
            <v>15454632</v>
          </cell>
        </row>
        <row r="1079">
          <cell r="J1079">
            <v>542</v>
          </cell>
          <cell r="K1079">
            <v>43133</v>
          </cell>
          <cell r="L1079" t="str">
            <v>JUAN MANUEL RODRIGUEZ PARRA</v>
          </cell>
          <cell r="M1079">
            <v>31</v>
          </cell>
          <cell r="N1079" t="str">
            <v>RESOLUCION</v>
          </cell>
          <cell r="O1079">
            <v>200</v>
          </cell>
          <cell r="P1079">
            <v>43102</v>
          </cell>
          <cell r="Q1079" t="str">
            <v>PAGO DE PRTESTACIONES SOCIALES DEFINITIVAS A EXFUNCIONARIO DE LA ENTIDAD</v>
          </cell>
          <cell r="R1079">
            <v>9402892</v>
          </cell>
          <cell r="S1079">
            <v>0</v>
          </cell>
          <cell r="T1079">
            <v>0</v>
          </cell>
          <cell r="U1079">
            <v>9402892</v>
          </cell>
          <cell r="V1079">
            <v>9402892</v>
          </cell>
        </row>
        <row r="1080">
          <cell r="J1080">
            <v>1939</v>
          </cell>
          <cell r="K1080">
            <v>43242</v>
          </cell>
          <cell r="L1080" t="str">
            <v>GERMAN ALBERTO BAHAMON JARAMILLO</v>
          </cell>
          <cell r="M1080">
            <v>31</v>
          </cell>
          <cell r="N1080" t="str">
            <v>RESOLUCION</v>
          </cell>
          <cell r="O1080">
            <v>2068</v>
          </cell>
          <cell r="P1080">
            <v>43242</v>
          </cell>
          <cell r="Q1080" t="str">
            <v>PAGO DE REAJUSTE DE PRESTACIONES SOCIALES DEFINITIVAS DE UN EXFUNCIONARIO DE LA ENTIDAD</v>
          </cell>
          <cell r="R1080">
            <v>473355</v>
          </cell>
          <cell r="S1080">
            <v>0</v>
          </cell>
          <cell r="T1080">
            <v>0</v>
          </cell>
          <cell r="U1080">
            <v>473355</v>
          </cell>
          <cell r="V1080">
            <v>473355</v>
          </cell>
        </row>
        <row r="1081">
          <cell r="J1081">
            <v>2498</v>
          </cell>
          <cell r="K1081">
            <v>43298</v>
          </cell>
          <cell r="L1081" t="str">
            <v>CAROLINA  FERNANDEZ BOLAÑOS</v>
          </cell>
          <cell r="M1081">
            <v>31</v>
          </cell>
          <cell r="N1081" t="str">
            <v>RESOLUCION</v>
          </cell>
          <cell r="O1081">
            <v>2067</v>
          </cell>
          <cell r="P1081">
            <v>43298</v>
          </cell>
          <cell r="Q1081" t="str">
            <v>PAGO DE PRESTACIONES SOCIALES DEFINITIVAS DE UN EXFUNCIONARIO DE LA ENTIDAD</v>
          </cell>
          <cell r="R1081">
            <v>1237653</v>
          </cell>
          <cell r="S1081">
            <v>0</v>
          </cell>
          <cell r="T1081">
            <v>0</v>
          </cell>
          <cell r="U1081">
            <v>1237653</v>
          </cell>
          <cell r="V1081">
            <v>1237653</v>
          </cell>
        </row>
        <row r="1082">
          <cell r="J1082">
            <v>2694</v>
          </cell>
          <cell r="K1082">
            <v>43334</v>
          </cell>
          <cell r="L1082" t="str">
            <v>GUILLERMO ANDRES ARCILA HOYOS</v>
          </cell>
          <cell r="M1082">
            <v>31</v>
          </cell>
          <cell r="N1082" t="str">
            <v>RESOLUCION</v>
          </cell>
          <cell r="O1082">
            <v>3144</v>
          </cell>
          <cell r="P1082">
            <v>43334</v>
          </cell>
          <cell r="Q1082" t="str">
            <v>PAGO DE PRESTACIONES SOCIALES DEFINITIVAS DE UN EXFUNCIONARIO DE LA ENTIDAD</v>
          </cell>
          <cell r="R1082">
            <v>9048395</v>
          </cell>
          <cell r="S1082">
            <v>0</v>
          </cell>
          <cell r="T1082">
            <v>0</v>
          </cell>
          <cell r="U1082">
            <v>9048395</v>
          </cell>
          <cell r="V1082">
            <v>9048395</v>
          </cell>
        </row>
        <row r="1083">
          <cell r="J1083">
            <v>2697</v>
          </cell>
          <cell r="K1083">
            <v>43334</v>
          </cell>
          <cell r="L1083" t="str">
            <v>JUAN PABLO VELASQUEZ SILVA</v>
          </cell>
          <cell r="M1083">
            <v>31</v>
          </cell>
          <cell r="N1083" t="str">
            <v>RESOLUCION</v>
          </cell>
          <cell r="O1083">
            <v>3143</v>
          </cell>
          <cell r="P1083">
            <v>43334</v>
          </cell>
          <cell r="Q1083" t="str">
            <v>PAGO DE PRESTACIONES SOCIALES DEFINITIVAS A EXFUNCIONARIO DE LA ENTIDAD</v>
          </cell>
          <cell r="R1083">
            <v>2421931</v>
          </cell>
          <cell r="S1083">
            <v>2421931</v>
          </cell>
          <cell r="T1083">
            <v>0</v>
          </cell>
          <cell r="U1083">
            <v>0</v>
          </cell>
          <cell r="V1083">
            <v>0</v>
          </cell>
        </row>
        <row r="1084">
          <cell r="J1084">
            <v>2701</v>
          </cell>
          <cell r="K1084">
            <v>43334</v>
          </cell>
          <cell r="L1084" t="str">
            <v>JUAN PABLO TOVAR OCHOA</v>
          </cell>
          <cell r="M1084">
            <v>31</v>
          </cell>
          <cell r="N1084" t="str">
            <v>RESOLUCION</v>
          </cell>
          <cell r="O1084">
            <v>3145</v>
          </cell>
          <cell r="P1084">
            <v>43334</v>
          </cell>
          <cell r="Q1084" t="str">
            <v>PAGO DE PRESTACIONES SOCIALES DEFINITIVAS DE UN EXFUNCIONARIO DE LA ENTIDAD</v>
          </cell>
          <cell r="R1084">
            <v>16389034</v>
          </cell>
          <cell r="S1084">
            <v>0</v>
          </cell>
          <cell r="T1084">
            <v>0</v>
          </cell>
          <cell r="U1084">
            <v>16389034</v>
          </cell>
          <cell r="V1084">
            <v>16389034</v>
          </cell>
        </row>
        <row r="1085">
          <cell r="J1085">
            <v>2721</v>
          </cell>
          <cell r="K1085">
            <v>43335</v>
          </cell>
          <cell r="L1085" t="str">
            <v>JUAN PABLO VELASQUEZ SILVA</v>
          </cell>
          <cell r="M1085">
            <v>31</v>
          </cell>
          <cell r="N1085" t="str">
            <v>RESOLUCION</v>
          </cell>
          <cell r="O1085">
            <v>3143</v>
          </cell>
          <cell r="P1085">
            <v>43335</v>
          </cell>
          <cell r="Q1085" t="str">
            <v>PAGO DE PRESTACIONES SOCIALES DEFINITIVAS A EXFUNCIONARIO DE LA ENTIDAD</v>
          </cell>
          <cell r="R1085">
            <v>2421931</v>
          </cell>
          <cell r="S1085">
            <v>0</v>
          </cell>
          <cell r="T1085">
            <v>0</v>
          </cell>
          <cell r="U1085">
            <v>2421931</v>
          </cell>
          <cell r="V1085">
            <v>2421931</v>
          </cell>
        </row>
        <row r="1086">
          <cell r="J1086">
            <v>1939</v>
          </cell>
          <cell r="K1086">
            <v>43242</v>
          </cell>
          <cell r="L1086" t="str">
            <v>GERMAN ALBERTO BAHAMON JARAMILLO</v>
          </cell>
          <cell r="M1086">
            <v>31</v>
          </cell>
          <cell r="N1086" t="str">
            <v>RESOLUCION</v>
          </cell>
          <cell r="O1086">
            <v>2068</v>
          </cell>
          <cell r="P1086">
            <v>43242</v>
          </cell>
          <cell r="Q1086" t="str">
            <v>PAGO DE REAJUSTE DE PRESTACIONES SOCIALES DEFINITIVAS DE UN EXFUNCIONARIO DE LA ENTIDAD</v>
          </cell>
          <cell r="R1086">
            <v>20593</v>
          </cell>
          <cell r="S1086">
            <v>0</v>
          </cell>
          <cell r="T1086">
            <v>0</v>
          </cell>
          <cell r="U1086">
            <v>20593</v>
          </cell>
          <cell r="V1086">
            <v>20593</v>
          </cell>
        </row>
        <row r="1087">
          <cell r="J1087">
            <v>2697</v>
          </cell>
          <cell r="K1087">
            <v>43334</v>
          </cell>
          <cell r="L1087" t="str">
            <v>JUAN PABLO VELASQUEZ SILVA</v>
          </cell>
          <cell r="M1087">
            <v>31</v>
          </cell>
          <cell r="N1087" t="str">
            <v>RESOLUCION</v>
          </cell>
          <cell r="O1087">
            <v>3143</v>
          </cell>
          <cell r="P1087">
            <v>43334</v>
          </cell>
          <cell r="Q1087" t="str">
            <v>PAGO DE PRESTACIONES SOCIALES DEFINITIVAS A EXFUNCIONARIO DE LA ENTIDAD</v>
          </cell>
          <cell r="R1087">
            <v>940248</v>
          </cell>
          <cell r="S1087">
            <v>940248</v>
          </cell>
          <cell r="T1087">
            <v>0</v>
          </cell>
          <cell r="U1087">
            <v>0</v>
          </cell>
          <cell r="V1087">
            <v>0</v>
          </cell>
        </row>
        <row r="1088">
          <cell r="J1088">
            <v>2721</v>
          </cell>
          <cell r="K1088">
            <v>43335</v>
          </cell>
          <cell r="L1088" t="str">
            <v>JUAN PABLO VELASQUEZ SILVA</v>
          </cell>
          <cell r="M1088">
            <v>31</v>
          </cell>
          <cell r="N1088" t="str">
            <v>RESOLUCION</v>
          </cell>
          <cell r="O1088">
            <v>3143</v>
          </cell>
          <cell r="P1088">
            <v>43335</v>
          </cell>
          <cell r="Q1088" t="str">
            <v>PAGO DE PRESTACIONES SOCIALES DEFINITIVAS A EXFUNCIONARIO DE LA ENTIDAD</v>
          </cell>
          <cell r="R1088">
            <v>1175311</v>
          </cell>
          <cell r="S1088">
            <v>0</v>
          </cell>
          <cell r="T1088">
            <v>0</v>
          </cell>
          <cell r="U1088">
            <v>1175311</v>
          </cell>
          <cell r="V1088">
            <v>1175311</v>
          </cell>
        </row>
        <row r="1089">
          <cell r="J1089">
            <v>459</v>
          </cell>
          <cell r="K1089">
            <v>43126</v>
          </cell>
          <cell r="L1089" t="str">
            <v>GERMAN ALBERTO BAHAMON JARAMILLO</v>
          </cell>
          <cell r="M1089">
            <v>31</v>
          </cell>
          <cell r="N1089" t="str">
            <v>RESOLUCION</v>
          </cell>
          <cell r="O1089">
            <v>198</v>
          </cell>
          <cell r="P1089">
            <v>43126</v>
          </cell>
          <cell r="Q1089" t="str">
            <v>PAGO DE PRESTACIONES SOCIALES DEFINITIVAS DE UN EXFUNCIONARIO DE LE ENTIDAD</v>
          </cell>
          <cell r="R1089">
            <v>13874928</v>
          </cell>
          <cell r="S1089">
            <v>0</v>
          </cell>
          <cell r="T1089">
            <v>0</v>
          </cell>
          <cell r="U1089">
            <v>13874928</v>
          </cell>
          <cell r="V1089">
            <v>13874928</v>
          </cell>
        </row>
        <row r="1090">
          <cell r="J1090">
            <v>478</v>
          </cell>
          <cell r="K1090">
            <v>43126</v>
          </cell>
          <cell r="L1090" t="str">
            <v>MARCELA  SIERRA CUELLO</v>
          </cell>
          <cell r="M1090">
            <v>31</v>
          </cell>
          <cell r="N1090" t="str">
            <v>RESOLUCION</v>
          </cell>
          <cell r="O1090">
            <v>199</v>
          </cell>
          <cell r="P1090">
            <v>43126</v>
          </cell>
          <cell r="Q1090" t="str">
            <v>Cubrir el pago de vacaciones en dinero de tres exfuncionarios de la entidad.</v>
          </cell>
          <cell r="R1090">
            <v>21994247</v>
          </cell>
          <cell r="S1090">
            <v>0</v>
          </cell>
          <cell r="T1090">
            <v>0</v>
          </cell>
          <cell r="U1090">
            <v>21994247</v>
          </cell>
          <cell r="V1090">
            <v>21994247</v>
          </cell>
        </row>
        <row r="1091">
          <cell r="J1091">
            <v>550</v>
          </cell>
          <cell r="K1091">
            <v>43133</v>
          </cell>
          <cell r="L1091" t="str">
            <v>JUAN MANUEL RODRIGUEZ PARRA</v>
          </cell>
          <cell r="M1091">
            <v>31</v>
          </cell>
          <cell r="N1091" t="str">
            <v>RESOLUCION</v>
          </cell>
          <cell r="O1091">
            <v>200</v>
          </cell>
          <cell r="P1091">
            <v>43102</v>
          </cell>
          <cell r="Q1091" t="str">
            <v>PAGO DE PRTESTACIONES SOCIALES DEFINITIVAS A EXFUNCIONARIO DE LA ENTIDAD</v>
          </cell>
          <cell r="R1091">
            <v>13500366</v>
          </cell>
          <cell r="S1091">
            <v>0</v>
          </cell>
          <cell r="T1091">
            <v>0</v>
          </cell>
          <cell r="U1091">
            <v>13500366</v>
          </cell>
          <cell r="V1091">
            <v>13500366</v>
          </cell>
        </row>
        <row r="1092">
          <cell r="J1092">
            <v>1940</v>
          </cell>
          <cell r="K1092">
            <v>43242</v>
          </cell>
          <cell r="L1092" t="str">
            <v>GERMAN ALBERTO BAHAMON JARAMILLO</v>
          </cell>
          <cell r="M1092">
            <v>31</v>
          </cell>
          <cell r="N1092" t="str">
            <v>RESOLUCION</v>
          </cell>
          <cell r="O1092">
            <v>2068</v>
          </cell>
          <cell r="P1092">
            <v>43242</v>
          </cell>
          <cell r="Q1092" t="str">
            <v>PAGO DE VACACIONES EN DINERO DE UN EXFUNCIONARIO DE LA ENTIDAD.</v>
          </cell>
          <cell r="R1092">
            <v>662697</v>
          </cell>
          <cell r="S1092">
            <v>0</v>
          </cell>
          <cell r="T1092">
            <v>0</v>
          </cell>
          <cell r="U1092">
            <v>662697</v>
          </cell>
          <cell r="V1092">
            <v>662697</v>
          </cell>
        </row>
        <row r="1093">
          <cell r="J1093">
            <v>2497</v>
          </cell>
          <cell r="K1093">
            <v>43298</v>
          </cell>
          <cell r="L1093" t="str">
            <v>CAROLINA  FERNANDEZ BOLAÑOS</v>
          </cell>
          <cell r="M1093">
            <v>31</v>
          </cell>
          <cell r="N1093" t="str">
            <v>RESOLUCION</v>
          </cell>
          <cell r="O1093">
            <v>2067</v>
          </cell>
          <cell r="P1093">
            <v>43298</v>
          </cell>
          <cell r="Q1093" t="str">
            <v>PAGO DE PRESTACIONES SOCIALES DEFINITIVAS DE UN EXFUNCIONARIO DE LA ENTIDAD</v>
          </cell>
          <cell r="R1093">
            <v>1650204</v>
          </cell>
          <cell r="S1093">
            <v>0</v>
          </cell>
          <cell r="T1093">
            <v>0</v>
          </cell>
          <cell r="U1093">
            <v>1650204</v>
          </cell>
          <cell r="V1093">
            <v>1650204</v>
          </cell>
        </row>
        <row r="1094">
          <cell r="J1094">
            <v>2690</v>
          </cell>
          <cell r="K1094">
            <v>43334</v>
          </cell>
          <cell r="L1094" t="str">
            <v>JUAN PABLO TOVAR OCHOA</v>
          </cell>
          <cell r="M1094">
            <v>31</v>
          </cell>
          <cell r="N1094" t="str">
            <v>RESOLUCION</v>
          </cell>
          <cell r="O1094">
            <v>3145</v>
          </cell>
          <cell r="P1094">
            <v>43334</v>
          </cell>
          <cell r="Q1094" t="str">
            <v>PAGO DE VACACIONES EN DINERO DE UN EXFUNCIONARIO DE LA ENTIDAD</v>
          </cell>
          <cell r="R1094">
            <v>24316752</v>
          </cell>
          <cell r="S1094">
            <v>0</v>
          </cell>
          <cell r="T1094">
            <v>0</v>
          </cell>
          <cell r="U1094">
            <v>24316752</v>
          </cell>
          <cell r="V1094">
            <v>24316752</v>
          </cell>
        </row>
        <row r="1095">
          <cell r="J1095">
            <v>2691</v>
          </cell>
          <cell r="K1095">
            <v>43334</v>
          </cell>
          <cell r="L1095" t="str">
            <v>GUILLERMO ANDRES ARCILA HOYOS</v>
          </cell>
          <cell r="M1095">
            <v>31</v>
          </cell>
          <cell r="N1095" t="str">
            <v>RESOLUCION</v>
          </cell>
          <cell r="O1095">
            <v>3144</v>
          </cell>
          <cell r="P1095">
            <v>43334</v>
          </cell>
          <cell r="Q1095" t="str">
            <v>PAGO DE VACACIONES EN DINERO DE UN EXFUNCIONARIOS DE LA ENTIDAD</v>
          </cell>
          <cell r="R1095">
            <v>13270980</v>
          </cell>
          <cell r="S1095">
            <v>0</v>
          </cell>
          <cell r="T1095">
            <v>0</v>
          </cell>
          <cell r="U1095">
            <v>13270980</v>
          </cell>
          <cell r="V1095">
            <v>13270980</v>
          </cell>
        </row>
        <row r="1096">
          <cell r="J1096">
            <v>2699</v>
          </cell>
          <cell r="K1096">
            <v>43334</v>
          </cell>
          <cell r="L1096" t="str">
            <v>JUAN PABLO VELASQUEZ SILVA</v>
          </cell>
          <cell r="M1096">
            <v>31</v>
          </cell>
          <cell r="N1096" t="str">
            <v>RESOLUCION</v>
          </cell>
          <cell r="O1096">
            <v>3143</v>
          </cell>
          <cell r="P1096">
            <v>43334</v>
          </cell>
          <cell r="Q1096" t="str">
            <v>PAGO DE VACACIONES EN DINERO A EXFUNCIONARIOS DE LA ENTIDAD</v>
          </cell>
          <cell r="R1096">
            <v>3552166</v>
          </cell>
          <cell r="S1096">
            <v>0</v>
          </cell>
          <cell r="T1096">
            <v>0</v>
          </cell>
          <cell r="U1096">
            <v>3552166</v>
          </cell>
          <cell r="V1096">
            <v>3552166</v>
          </cell>
        </row>
        <row r="1097">
          <cell r="J1097">
            <v>457</v>
          </cell>
          <cell r="K1097">
            <v>43126</v>
          </cell>
          <cell r="L1097" t="str">
            <v>GERMAN ALBERTO BAHAMON JARAMILLO</v>
          </cell>
          <cell r="M1097">
            <v>31</v>
          </cell>
          <cell r="N1097" t="str">
            <v>RESOLUCION</v>
          </cell>
          <cell r="O1097">
            <v>198</v>
          </cell>
          <cell r="P1097">
            <v>43126</v>
          </cell>
          <cell r="Q1097" t="str">
            <v>PAGO DE PRESTACIONES SOCIALES DEFINITIVAS DE UN EXFUNCIONARIO DE LA ENTIDAD</v>
          </cell>
          <cell r="R1097">
            <v>468378</v>
          </cell>
          <cell r="S1097">
            <v>468378</v>
          </cell>
          <cell r="T1097">
            <v>0</v>
          </cell>
          <cell r="U1097">
            <v>0</v>
          </cell>
          <cell r="V1097">
            <v>0</v>
          </cell>
        </row>
        <row r="1098">
          <cell r="J1098">
            <v>471</v>
          </cell>
          <cell r="K1098">
            <v>43126</v>
          </cell>
          <cell r="L1098" t="str">
            <v>GERMAN ALBERTO BAHAMON JARAMILLO</v>
          </cell>
          <cell r="M1098">
            <v>31</v>
          </cell>
          <cell r="N1098" t="str">
            <v>RESOLUCION</v>
          </cell>
          <cell r="O1098">
            <v>198</v>
          </cell>
          <cell r="P1098">
            <v>43126</v>
          </cell>
          <cell r="Q1098" t="str">
            <v>PAGO DE PRESTACIONES SOCIALES DEFINITIVAS DE UN EXFUNCIONARIO DE LA ENTIDAD</v>
          </cell>
          <cell r="R1098">
            <v>468378</v>
          </cell>
          <cell r="S1098">
            <v>0</v>
          </cell>
          <cell r="T1098">
            <v>0</v>
          </cell>
          <cell r="U1098">
            <v>468378</v>
          </cell>
          <cell r="V1098">
            <v>468378</v>
          </cell>
        </row>
        <row r="1099">
          <cell r="J1099">
            <v>476</v>
          </cell>
          <cell r="K1099">
            <v>43126</v>
          </cell>
          <cell r="L1099" t="str">
            <v>MARCELA  SIERRA CUELLO</v>
          </cell>
          <cell r="M1099">
            <v>31</v>
          </cell>
          <cell r="N1099" t="str">
            <v>RESOLUCION</v>
          </cell>
          <cell r="O1099">
            <v>199</v>
          </cell>
          <cell r="P1099">
            <v>43126</v>
          </cell>
          <cell r="Q1099" t="str">
            <v>PAGO DE PRESTACIONES SOCIALES DEFINITIVAS DE UNA EXFUNCIANROA DE LA ENTIDAD</v>
          </cell>
          <cell r="R1099">
            <v>1016810</v>
          </cell>
          <cell r="S1099">
            <v>0</v>
          </cell>
          <cell r="T1099">
            <v>0</v>
          </cell>
          <cell r="U1099">
            <v>1016810</v>
          </cell>
          <cell r="V1099">
            <v>1016810</v>
          </cell>
        </row>
        <row r="1100">
          <cell r="J1100">
            <v>542</v>
          </cell>
          <cell r="K1100">
            <v>43133</v>
          </cell>
          <cell r="L1100" t="str">
            <v>JUAN MANUEL RODRIGUEZ PARRA</v>
          </cell>
          <cell r="M1100">
            <v>31</v>
          </cell>
          <cell r="N1100" t="str">
            <v>RESOLUCION</v>
          </cell>
          <cell r="O1100">
            <v>200</v>
          </cell>
          <cell r="P1100">
            <v>43102</v>
          </cell>
          <cell r="Q1100" t="str">
            <v>PAGO DE PRTESTACIONES SOCIALES DEFINITIVAS A EXFUNCIONARIO DE LA ENTIDAD</v>
          </cell>
          <cell r="R1100">
            <v>618567</v>
          </cell>
          <cell r="S1100">
            <v>0</v>
          </cell>
          <cell r="T1100">
            <v>0</v>
          </cell>
          <cell r="U1100">
            <v>618567</v>
          </cell>
          <cell r="V1100">
            <v>618567</v>
          </cell>
        </row>
        <row r="1101">
          <cell r="J1101">
            <v>1939</v>
          </cell>
          <cell r="K1101">
            <v>43242</v>
          </cell>
          <cell r="L1101" t="str">
            <v>GERMAN ALBERTO BAHAMON JARAMILLO</v>
          </cell>
          <cell r="M1101">
            <v>31</v>
          </cell>
          <cell r="N1101" t="str">
            <v>RESOLUCION</v>
          </cell>
          <cell r="O1101">
            <v>2068</v>
          </cell>
          <cell r="P1101">
            <v>43242</v>
          </cell>
          <cell r="Q1101" t="str">
            <v>PAGO DE REAJUSTE DE PRESTACIONES SOCIALES DEFINITIVAS DE UN EXFUNCIONARIO DE LA ENTIDAD</v>
          </cell>
          <cell r="R1101">
            <v>25246</v>
          </cell>
          <cell r="S1101">
            <v>0</v>
          </cell>
          <cell r="T1101">
            <v>0</v>
          </cell>
          <cell r="U1101">
            <v>25246</v>
          </cell>
          <cell r="V1101">
            <v>25246</v>
          </cell>
        </row>
        <row r="1102">
          <cell r="J1102">
            <v>2498</v>
          </cell>
          <cell r="K1102">
            <v>43298</v>
          </cell>
          <cell r="L1102" t="str">
            <v>CAROLINA  FERNANDEZ BOLAÑOS</v>
          </cell>
          <cell r="M1102">
            <v>31</v>
          </cell>
          <cell r="N1102" t="str">
            <v>RESOLUCION</v>
          </cell>
          <cell r="O1102">
            <v>2067</v>
          </cell>
          <cell r="P1102">
            <v>43298</v>
          </cell>
          <cell r="Q1102" t="str">
            <v>PAGO DE PRESTACIONES SOCIALES DEFINITIVAS DE UN EXFUNCIONARIO DE LA ENTIDAD</v>
          </cell>
          <cell r="R1102">
            <v>105319</v>
          </cell>
          <cell r="S1102">
            <v>0</v>
          </cell>
          <cell r="T1102">
            <v>0</v>
          </cell>
          <cell r="U1102">
            <v>105319</v>
          </cell>
          <cell r="V1102">
            <v>105319</v>
          </cell>
        </row>
        <row r="1103">
          <cell r="J1103">
            <v>2694</v>
          </cell>
          <cell r="K1103">
            <v>43334</v>
          </cell>
          <cell r="L1103" t="str">
            <v>GUILLERMO ANDRES ARCILA HOYOS</v>
          </cell>
          <cell r="M1103">
            <v>31</v>
          </cell>
          <cell r="N1103" t="str">
            <v>RESOLUCION</v>
          </cell>
          <cell r="O1103">
            <v>3144</v>
          </cell>
          <cell r="P1103">
            <v>43334</v>
          </cell>
          <cell r="Q1103" t="str">
            <v>PAGO DE PRESTACIONES SOCIALES DEFINITIVAS DE UN EXFUNCIONARIO DE LA ENTIDAD</v>
          </cell>
          <cell r="R1103">
            <v>554414</v>
          </cell>
          <cell r="S1103">
            <v>0</v>
          </cell>
          <cell r="T1103">
            <v>0</v>
          </cell>
          <cell r="U1103">
            <v>554414</v>
          </cell>
          <cell r="V1103">
            <v>554414</v>
          </cell>
        </row>
        <row r="1104">
          <cell r="J1104">
            <v>2697</v>
          </cell>
          <cell r="K1104">
            <v>43334</v>
          </cell>
          <cell r="L1104" t="str">
            <v>JUAN PABLO VELASQUEZ SILVA</v>
          </cell>
          <cell r="M1104">
            <v>31</v>
          </cell>
          <cell r="N1104" t="str">
            <v>RESOLUCION</v>
          </cell>
          <cell r="O1104">
            <v>3143</v>
          </cell>
          <cell r="P1104">
            <v>43334</v>
          </cell>
          <cell r="Q1104" t="str">
            <v>PAGO DE PRESTACIONES SOCIALES DEFINITIVAS A EXFUNCIONARIO DE LA ENTIDAD</v>
          </cell>
          <cell r="R1104">
            <v>153147</v>
          </cell>
          <cell r="S1104">
            <v>153147</v>
          </cell>
          <cell r="T1104">
            <v>0</v>
          </cell>
          <cell r="U1104">
            <v>0</v>
          </cell>
          <cell r="V1104">
            <v>0</v>
          </cell>
        </row>
        <row r="1105">
          <cell r="J1105">
            <v>2701</v>
          </cell>
          <cell r="K1105">
            <v>43334</v>
          </cell>
          <cell r="L1105" t="str">
            <v>JUAN PABLO TOVAR OCHOA</v>
          </cell>
          <cell r="M1105">
            <v>31</v>
          </cell>
          <cell r="N1105" t="str">
            <v>RESOLUCION</v>
          </cell>
          <cell r="O1105">
            <v>3145</v>
          </cell>
          <cell r="P1105">
            <v>43334</v>
          </cell>
          <cell r="Q1105" t="str">
            <v>PAGO DE PRESTACIONES SOCIALES DEFINITIVAS DE UN EXFUNCIONARIO DE LA ENTIDAD</v>
          </cell>
          <cell r="R1105">
            <v>1020977</v>
          </cell>
          <cell r="S1105">
            <v>0</v>
          </cell>
          <cell r="T1105">
            <v>0</v>
          </cell>
          <cell r="U1105">
            <v>1020977</v>
          </cell>
          <cell r="V1105">
            <v>1020977</v>
          </cell>
        </row>
        <row r="1106">
          <cell r="J1106">
            <v>2721</v>
          </cell>
          <cell r="K1106">
            <v>43335</v>
          </cell>
          <cell r="L1106" t="str">
            <v>JUAN PABLO VELASQUEZ SILVA</v>
          </cell>
          <cell r="M1106">
            <v>31</v>
          </cell>
          <cell r="N1106" t="str">
            <v>RESOLUCION</v>
          </cell>
          <cell r="O1106">
            <v>3143</v>
          </cell>
          <cell r="P1106">
            <v>43335</v>
          </cell>
          <cell r="Q1106" t="str">
            <v>PAGO DE PRESTACIONES SOCIALES DEFINITIVAS A EXFUNCIONARIO DE LA ENTIDAD</v>
          </cell>
          <cell r="R1106">
            <v>153147</v>
          </cell>
          <cell r="S1106">
            <v>0</v>
          </cell>
          <cell r="T1106">
            <v>0</v>
          </cell>
          <cell r="U1106">
            <v>153147</v>
          </cell>
          <cell r="V1106">
            <v>153147</v>
          </cell>
        </row>
        <row r="1107">
          <cell r="J1107">
            <v>542</v>
          </cell>
          <cell r="K1107">
            <v>43133</v>
          </cell>
          <cell r="L1107" t="str">
            <v>JUAN MANUEL RODRIGUEZ PARRA</v>
          </cell>
          <cell r="M1107">
            <v>31</v>
          </cell>
          <cell r="N1107" t="str">
            <v>RESOLUCION</v>
          </cell>
          <cell r="O1107">
            <v>200</v>
          </cell>
          <cell r="P1107">
            <v>43102</v>
          </cell>
          <cell r="Q1107" t="str">
            <v>PAGO DE PRTESTACIONES SOCIALES DEFINITIVAS A EXFUNCIONARIO DE LA ENTIDAD</v>
          </cell>
          <cell r="R1107">
            <v>7542576</v>
          </cell>
          <cell r="S1107">
            <v>0</v>
          </cell>
          <cell r="T1107">
            <v>0</v>
          </cell>
          <cell r="U1107">
            <v>7542576</v>
          </cell>
          <cell r="V1107">
            <v>7542576</v>
          </cell>
        </row>
        <row r="1108">
          <cell r="J1108">
            <v>1936</v>
          </cell>
          <cell r="K1108">
            <v>43242</v>
          </cell>
          <cell r="L1108" t="str">
            <v>GERMAN ALBERTO BAHAMON JARAMILLO</v>
          </cell>
          <cell r="M1108">
            <v>31</v>
          </cell>
          <cell r="N1108" t="str">
            <v>RESOLUCION</v>
          </cell>
          <cell r="O1108">
            <v>2068</v>
          </cell>
          <cell r="P1108">
            <v>43242</v>
          </cell>
          <cell r="Q1108" t="str">
            <v>PAGO DE REAJUSTE DE PRESTACIONES SOCIALES DEFINITIVAS DE UN FUNCIONARIO DE LA ENTIDAD</v>
          </cell>
          <cell r="R1108">
            <v>58128</v>
          </cell>
          <cell r="S1108">
            <v>0</v>
          </cell>
          <cell r="T1108">
            <v>0</v>
          </cell>
          <cell r="U1108">
            <v>58128</v>
          </cell>
          <cell r="V1108">
            <v>58128</v>
          </cell>
        </row>
        <row r="1109">
          <cell r="J1109">
            <v>2499</v>
          </cell>
          <cell r="K1109">
            <v>43298</v>
          </cell>
          <cell r="L1109" t="str">
            <v>CAROLINA  FERNANDEZ BOLAÑOS</v>
          </cell>
          <cell r="M1109">
            <v>31</v>
          </cell>
          <cell r="N1109" t="str">
            <v>RESOLUCION</v>
          </cell>
          <cell r="O1109">
            <v>2067</v>
          </cell>
          <cell r="P1109">
            <v>43298</v>
          </cell>
          <cell r="Q1109" t="str">
            <v>PAGO DE PRESTACIONES SOCIALES DEFINITIVAS DE UN EXFUNCIONARIO DE LA ENTIDAD</v>
          </cell>
          <cell r="R1109">
            <v>329961</v>
          </cell>
          <cell r="S1109">
            <v>0</v>
          </cell>
          <cell r="T1109">
            <v>0</v>
          </cell>
          <cell r="U1109">
            <v>329961</v>
          </cell>
          <cell r="V1109">
            <v>329961</v>
          </cell>
        </row>
        <row r="1110">
          <cell r="J1110">
            <v>2499</v>
          </cell>
          <cell r="K1110">
            <v>43298</v>
          </cell>
          <cell r="L1110" t="str">
            <v>CAROLINA  FERNANDEZ BOLAÑOS</v>
          </cell>
          <cell r="M1110">
            <v>31</v>
          </cell>
          <cell r="N1110" t="str">
            <v>RESOLUCION</v>
          </cell>
          <cell r="O1110">
            <v>2067</v>
          </cell>
          <cell r="P1110">
            <v>43298</v>
          </cell>
          <cell r="Q1110" t="str">
            <v>PAGO DE PRESTACIONES SOCIALES DEFINITIVAS DE UN EXFUNCIONARIO DE LA ENTIDAD</v>
          </cell>
          <cell r="R1110">
            <v>30332</v>
          </cell>
          <cell r="S1110">
            <v>0</v>
          </cell>
          <cell r="T1110">
            <v>0</v>
          </cell>
          <cell r="U1110">
            <v>30332</v>
          </cell>
          <cell r="V1110">
            <v>30332</v>
          </cell>
        </row>
        <row r="1111">
          <cell r="J1111">
            <v>2698</v>
          </cell>
          <cell r="K1111">
            <v>43334</v>
          </cell>
          <cell r="L1111" t="str">
            <v>JUAN PABLO VELASQUEZ SILVA</v>
          </cell>
          <cell r="M1111">
            <v>31</v>
          </cell>
          <cell r="N1111" t="str">
            <v>RESOLUCION</v>
          </cell>
          <cell r="O1111">
            <v>3143</v>
          </cell>
          <cell r="P1111">
            <v>43334</v>
          </cell>
          <cell r="Q1111" t="str">
            <v>PAGO DE PRESTACIONES SOCIALES DEFINITIVAS A EXFUNCIONARIO DE LA ENTIDAD</v>
          </cell>
          <cell r="R1111">
            <v>47900</v>
          </cell>
          <cell r="S1111">
            <v>0</v>
          </cell>
          <cell r="T1111">
            <v>0</v>
          </cell>
          <cell r="U1111">
            <v>47900</v>
          </cell>
          <cell r="V1111">
            <v>47900</v>
          </cell>
        </row>
        <row r="1112">
          <cell r="J1112">
            <v>2499</v>
          </cell>
          <cell r="K1112">
            <v>43298</v>
          </cell>
          <cell r="L1112" t="str">
            <v>CAROLINA  FERNANDEZ BOLAÑOS</v>
          </cell>
          <cell r="M1112">
            <v>31</v>
          </cell>
          <cell r="N1112" t="str">
            <v>RESOLUCION</v>
          </cell>
          <cell r="O1112">
            <v>2067</v>
          </cell>
          <cell r="P1112">
            <v>43298</v>
          </cell>
          <cell r="Q1112" t="str">
            <v>PAGO DE PRESTACIONES SOCIALES DEFINITIVAS DE UN EXFUNCIONARIO DE LA ENTIDAD</v>
          </cell>
          <cell r="R1112">
            <v>30332</v>
          </cell>
          <cell r="S1112">
            <v>0</v>
          </cell>
          <cell r="T1112">
            <v>0</v>
          </cell>
          <cell r="U1112">
            <v>30332</v>
          </cell>
          <cell r="V1112">
            <v>30332</v>
          </cell>
        </row>
        <row r="1113">
          <cell r="J1113">
            <v>2698</v>
          </cell>
          <cell r="K1113">
            <v>43334</v>
          </cell>
          <cell r="L1113" t="str">
            <v>JUAN PABLO VELASQUEZ SILVA</v>
          </cell>
          <cell r="M1113">
            <v>31</v>
          </cell>
          <cell r="N1113" t="str">
            <v>RESOLUCION</v>
          </cell>
          <cell r="O1113">
            <v>3143</v>
          </cell>
          <cell r="P1113">
            <v>43334</v>
          </cell>
          <cell r="Q1113" t="str">
            <v>PAGO DE PRESTACIONES SOCIALES DEFINITIVAS A EXFUNCIONARIO DE LA ENTIDAD</v>
          </cell>
          <cell r="R1113">
            <v>47900</v>
          </cell>
          <cell r="S1113">
            <v>0</v>
          </cell>
          <cell r="T1113">
            <v>0</v>
          </cell>
          <cell r="U1113">
            <v>47900</v>
          </cell>
          <cell r="V1113">
            <v>47900</v>
          </cell>
        </row>
        <row r="1114">
          <cell r="J1114">
            <v>458</v>
          </cell>
          <cell r="K1114">
            <v>43126</v>
          </cell>
          <cell r="L1114" t="str">
            <v>GERMAN ALBERTO BAHAMON JARAMILLO</v>
          </cell>
          <cell r="M1114">
            <v>31</v>
          </cell>
          <cell r="N1114" t="str">
            <v>RESOLUCION</v>
          </cell>
          <cell r="O1114">
            <v>198</v>
          </cell>
          <cell r="P1114">
            <v>43126</v>
          </cell>
          <cell r="Q1114" t="str">
            <v>PAGO DE PRESTACIONES SOCIALES DEFINITIVAS DE UN EXFUNCIONARIO DE LA ENTIDAD</v>
          </cell>
          <cell r="R1114">
            <v>1035560</v>
          </cell>
          <cell r="S1114">
            <v>0</v>
          </cell>
          <cell r="T1114">
            <v>0</v>
          </cell>
          <cell r="U1114">
            <v>1035560</v>
          </cell>
          <cell r="V1114">
            <v>1035560</v>
          </cell>
        </row>
        <row r="1115">
          <cell r="J1115">
            <v>477</v>
          </cell>
          <cell r="K1115">
            <v>43126</v>
          </cell>
          <cell r="L1115" t="str">
            <v>MARCELA  SIERRA CUELLO</v>
          </cell>
          <cell r="M1115">
            <v>31</v>
          </cell>
          <cell r="N1115" t="str">
            <v>RESOLUCION</v>
          </cell>
          <cell r="O1115">
            <v>199</v>
          </cell>
          <cell r="P1115">
            <v>43126</v>
          </cell>
          <cell r="Q1115" t="str">
            <v>PAGO DE PRESTACIONES SOCIALES DEFINITIVAS DE UNA EXFUNCIONARIA DE LA ENTIDAD</v>
          </cell>
          <cell r="R1115">
            <v>1532760</v>
          </cell>
          <cell r="S1115">
            <v>1532760</v>
          </cell>
          <cell r="T1115">
            <v>0</v>
          </cell>
          <cell r="U1115">
            <v>0</v>
          </cell>
          <cell r="V1115">
            <v>0</v>
          </cell>
        </row>
        <row r="1116">
          <cell r="J1116">
            <v>546</v>
          </cell>
          <cell r="K1116">
            <v>43133</v>
          </cell>
          <cell r="L1116" t="str">
            <v>JUAN MANUEL RODRIGUEZ PARRA</v>
          </cell>
          <cell r="M1116">
            <v>31</v>
          </cell>
          <cell r="N1116" t="str">
            <v>RESOLUCION</v>
          </cell>
          <cell r="O1116">
            <v>200</v>
          </cell>
          <cell r="P1116">
            <v>43102</v>
          </cell>
          <cell r="Q1116" t="str">
            <v>PAGO DE PRTESTACIONES SOCIALES DEFINITIVAS A EXFUNCIONARIO DE LA ENTIDAD</v>
          </cell>
          <cell r="R1116">
            <v>948600</v>
          </cell>
          <cell r="S1116">
            <v>948600</v>
          </cell>
          <cell r="T1116">
            <v>0</v>
          </cell>
          <cell r="U1116">
            <v>0</v>
          </cell>
          <cell r="V1116">
            <v>0</v>
          </cell>
        </row>
        <row r="1117">
          <cell r="J1117">
            <v>1936</v>
          </cell>
          <cell r="K1117">
            <v>43242</v>
          </cell>
          <cell r="L1117" t="str">
            <v>GERMAN ALBERTO BAHAMON JARAMILLO</v>
          </cell>
          <cell r="M1117">
            <v>31</v>
          </cell>
          <cell r="N1117" t="str">
            <v>RESOLUCION</v>
          </cell>
          <cell r="O1117">
            <v>2068</v>
          </cell>
          <cell r="P1117">
            <v>43242</v>
          </cell>
          <cell r="Q1117" t="str">
            <v>PAGO DE REAJUSTE DE PRESTACIONES SOCIALES DEFINITIVAS DE UN FUNCIONARIO DE LA ENTIDAD</v>
          </cell>
          <cell r="R1117">
            <v>49960</v>
          </cell>
          <cell r="S1117">
            <v>0</v>
          </cell>
          <cell r="T1117">
            <v>0</v>
          </cell>
          <cell r="U1117">
            <v>49960</v>
          </cell>
          <cell r="V1117">
            <v>49960</v>
          </cell>
        </row>
        <row r="1118">
          <cell r="J1118">
            <v>2499</v>
          </cell>
          <cell r="K1118">
            <v>43298</v>
          </cell>
          <cell r="L1118" t="str">
            <v>CAROLINA  FERNANDEZ BOLAÑOS</v>
          </cell>
          <cell r="M1118">
            <v>31</v>
          </cell>
          <cell r="N1118" t="str">
            <v>RESOLUCION</v>
          </cell>
          <cell r="O1118">
            <v>2067</v>
          </cell>
          <cell r="P1118">
            <v>43298</v>
          </cell>
          <cell r="Q1118" t="str">
            <v>PAGO DE PRESTACIONES SOCIALES DEFINITIVAS DE UN EXFUNCIONARIO DE LA ENTIDAD</v>
          </cell>
          <cell r="R1118">
            <v>144000</v>
          </cell>
          <cell r="S1118">
            <v>0</v>
          </cell>
          <cell r="T1118">
            <v>0</v>
          </cell>
          <cell r="U1118">
            <v>144000</v>
          </cell>
          <cell r="V1118">
            <v>0</v>
          </cell>
        </row>
        <row r="1119">
          <cell r="J1119">
            <v>2611</v>
          </cell>
          <cell r="K1119">
            <v>43320</v>
          </cell>
          <cell r="L1119" t="str">
            <v>MARCELA  SIERRA CUELLO</v>
          </cell>
          <cell r="M1119">
            <v>31</v>
          </cell>
          <cell r="N1119" t="str">
            <v>RESOLUCION</v>
          </cell>
          <cell r="O1119">
            <v>199</v>
          </cell>
          <cell r="P1119">
            <v>43320</v>
          </cell>
          <cell r="Q1119" t="str">
            <v>PAGO DE MI PLANILLA PARAFISCALES DE LOS EXFUNCIONARIOS DE LA ENTIDAD - MARCELA SIERRA CUELLO</v>
          </cell>
          <cell r="R1119">
            <v>1532800</v>
          </cell>
          <cell r="S1119">
            <v>0</v>
          </cell>
          <cell r="T1119">
            <v>0</v>
          </cell>
          <cell r="U1119">
            <v>1532800</v>
          </cell>
          <cell r="V1119">
            <v>1532800</v>
          </cell>
        </row>
        <row r="1120">
          <cell r="J1120">
            <v>2612</v>
          </cell>
          <cell r="K1120">
            <v>43320</v>
          </cell>
          <cell r="L1120" t="str">
            <v>JUAN MANUEL RODRIGUEZ PARRA</v>
          </cell>
          <cell r="M1120">
            <v>31</v>
          </cell>
          <cell r="N1120" t="str">
            <v>RESOLUCION</v>
          </cell>
          <cell r="O1120">
            <v>200</v>
          </cell>
          <cell r="P1120">
            <v>43320</v>
          </cell>
          <cell r="Q1120" t="str">
            <v>PAGO DE MI PLANILLA PARAFISCALES DE LOS EXFUNCIONARIOS DE LA ENTIDAD - JUAN MANUEL RODRIGUEZ PARRA</v>
          </cell>
          <cell r="R1120">
            <v>948600</v>
          </cell>
          <cell r="S1120">
            <v>0</v>
          </cell>
          <cell r="T1120">
            <v>0</v>
          </cell>
          <cell r="U1120">
            <v>948600</v>
          </cell>
          <cell r="V1120">
            <v>948600</v>
          </cell>
        </row>
        <row r="1121">
          <cell r="J1121">
            <v>2692</v>
          </cell>
          <cell r="K1121">
            <v>43334</v>
          </cell>
          <cell r="L1121" t="str">
            <v>GUILLERMO ANDRES ARCILA HOYOS</v>
          </cell>
          <cell r="M1121">
            <v>31</v>
          </cell>
          <cell r="N1121" t="str">
            <v>RESOLUCION</v>
          </cell>
          <cell r="O1121">
            <v>3144</v>
          </cell>
          <cell r="P1121">
            <v>43334</v>
          </cell>
          <cell r="Q1121" t="str">
            <v>PAGO DE PRETACIONES SOCIALES DEFINITIVAS DE UN EXFUNCIONARIO DE LA ENTIDAD</v>
          </cell>
          <cell r="R1121">
            <v>1036300</v>
          </cell>
          <cell r="S1121">
            <v>0</v>
          </cell>
          <cell r="T1121">
            <v>0</v>
          </cell>
          <cell r="U1121">
            <v>1036300</v>
          </cell>
          <cell r="V1121">
            <v>0</v>
          </cell>
        </row>
        <row r="1122">
          <cell r="J1122">
            <v>2698</v>
          </cell>
          <cell r="K1122">
            <v>43334</v>
          </cell>
          <cell r="L1122" t="str">
            <v>JUAN PABLO VELASQUEZ SILVA</v>
          </cell>
          <cell r="M1122">
            <v>31</v>
          </cell>
          <cell r="N1122" t="str">
            <v>RESOLUCION</v>
          </cell>
          <cell r="O1122">
            <v>3143</v>
          </cell>
          <cell r="P1122">
            <v>43334</v>
          </cell>
          <cell r="Q1122" t="str">
            <v>PAGO DE PRESTACIONES SOCIALES DEFINITIVAS A EXFUNCIONARIO DE LA ENTIDAD</v>
          </cell>
          <cell r="R1122">
            <v>589900</v>
          </cell>
          <cell r="S1122">
            <v>0</v>
          </cell>
          <cell r="T1122">
            <v>0</v>
          </cell>
          <cell r="U1122">
            <v>589900</v>
          </cell>
          <cell r="V1122">
            <v>0</v>
          </cell>
        </row>
        <row r="1123">
          <cell r="J1123">
            <v>2705</v>
          </cell>
          <cell r="K1123">
            <v>43334</v>
          </cell>
          <cell r="L1123" t="str">
            <v>JUAN PABLO TOVAR OCHOA</v>
          </cell>
          <cell r="M1123">
            <v>31</v>
          </cell>
          <cell r="N1123" t="str">
            <v>RESOLUCION</v>
          </cell>
          <cell r="O1123">
            <v>3145</v>
          </cell>
          <cell r="P1123">
            <v>43334</v>
          </cell>
          <cell r="Q1123" t="str">
            <v>PAGO DE PRESTACIONES SOCIALES DEFINITIVAS DE UN EXFUNCIONARIO DE LA ENTIDAD</v>
          </cell>
          <cell r="R1123">
            <v>1072400</v>
          </cell>
          <cell r="S1123">
            <v>0</v>
          </cell>
          <cell r="T1123">
            <v>0</v>
          </cell>
          <cell r="U1123">
            <v>1072400</v>
          </cell>
          <cell r="V1123">
            <v>0</v>
          </cell>
        </row>
        <row r="1124">
          <cell r="J1124">
            <v>413</v>
          </cell>
          <cell r="K1124">
            <v>43124</v>
          </cell>
          <cell r="L1124" t="str">
            <v>ARMANDO  VALENCIA PEÑUELA</v>
          </cell>
          <cell r="M1124">
            <v>31</v>
          </cell>
          <cell r="N1124" t="str">
            <v>RESOLUCION</v>
          </cell>
          <cell r="O1124">
            <v>99</v>
          </cell>
          <cell r="P1124">
            <v>43124</v>
          </cell>
          <cell r="Q1124" t="str">
            <v>PAGO CESANTIAS FONDOS PUBLICOS DE UN FUNCIONARIO DE LA ENTIDAD.</v>
          </cell>
          <cell r="R1124">
            <v>52483043</v>
          </cell>
          <cell r="S1124">
            <v>0</v>
          </cell>
          <cell r="T1124">
            <v>0</v>
          </cell>
          <cell r="U1124">
            <v>52483043</v>
          </cell>
          <cell r="V1124">
            <v>52483043</v>
          </cell>
        </row>
        <row r="1125">
          <cell r="J1125">
            <v>458</v>
          </cell>
          <cell r="K1125">
            <v>43126</v>
          </cell>
          <cell r="L1125" t="str">
            <v>GERMAN ALBERTO BAHAMON JARAMILLO</v>
          </cell>
          <cell r="M1125">
            <v>31</v>
          </cell>
          <cell r="N1125" t="str">
            <v>RESOLUCION</v>
          </cell>
          <cell r="O1125">
            <v>198</v>
          </cell>
          <cell r="P1125">
            <v>43126</v>
          </cell>
          <cell r="Q1125" t="str">
            <v>PAGO DE PRESTACIONES SOCIALES DEFINITIVAS DE UN EXFUNCIONARIO DE LA ENTIDAD</v>
          </cell>
          <cell r="R1125">
            <v>413900</v>
          </cell>
          <cell r="S1125">
            <v>0</v>
          </cell>
          <cell r="T1125">
            <v>0</v>
          </cell>
          <cell r="U1125">
            <v>413900</v>
          </cell>
          <cell r="V1125">
            <v>413900</v>
          </cell>
        </row>
        <row r="1126">
          <cell r="J1126">
            <v>477</v>
          </cell>
          <cell r="K1126">
            <v>43126</v>
          </cell>
          <cell r="L1126" t="str">
            <v>MARCELA  SIERRA CUELLO</v>
          </cell>
          <cell r="M1126">
            <v>31</v>
          </cell>
          <cell r="N1126" t="str">
            <v>RESOLUCION</v>
          </cell>
          <cell r="O1126">
            <v>199</v>
          </cell>
          <cell r="P1126">
            <v>43126</v>
          </cell>
          <cell r="Q1126" t="str">
            <v>PAGO DE PRESTACIONES SOCIALES DEFINITIVAS DE UNA EXFUNCIONARIA DE LA ENTIDAD</v>
          </cell>
          <cell r="R1126">
            <v>13681664</v>
          </cell>
          <cell r="S1126">
            <v>0</v>
          </cell>
          <cell r="T1126">
            <v>0</v>
          </cell>
          <cell r="U1126">
            <v>13681664</v>
          </cell>
          <cell r="V1126">
            <v>13681664</v>
          </cell>
        </row>
        <row r="1127">
          <cell r="J1127">
            <v>546</v>
          </cell>
          <cell r="K1127">
            <v>43133</v>
          </cell>
          <cell r="L1127" t="str">
            <v>JUAN MANUEL RODRIGUEZ PARRA</v>
          </cell>
          <cell r="M1127">
            <v>31</v>
          </cell>
          <cell r="N1127" t="str">
            <v>RESOLUCION</v>
          </cell>
          <cell r="O1127">
            <v>200</v>
          </cell>
          <cell r="P1127">
            <v>43102</v>
          </cell>
          <cell r="Q1127" t="str">
            <v>PAGO DE PRTESTACIONES SOCIALES DEFINITIVAS A EXFUNCIONARIO DE LA ENTIDAD</v>
          </cell>
          <cell r="R1127">
            <v>13195366</v>
          </cell>
          <cell r="S1127">
            <v>0</v>
          </cell>
          <cell r="T1127">
            <v>0</v>
          </cell>
          <cell r="U1127">
            <v>13195366</v>
          </cell>
          <cell r="V1127">
            <v>13195366</v>
          </cell>
        </row>
        <row r="1128">
          <cell r="J1128">
            <v>1709</v>
          </cell>
          <cell r="K1128">
            <v>43195</v>
          </cell>
          <cell r="L1128" t="str">
            <v>JOSE HEYLMEYER MARTINEZ SORIANO</v>
          </cell>
          <cell r="M1128">
            <v>31</v>
          </cell>
          <cell r="N1128" t="str">
            <v>RESOLUCION</v>
          </cell>
          <cell r="O1128">
            <v>1379</v>
          </cell>
          <cell r="P1128">
            <v>43195</v>
          </cell>
          <cell r="Q1128" t="str">
            <v>PAGO DE CESANTIAS FONDOS PÚBLICOS A FUNCIONARIO DE LA ENTIDAD.</v>
          </cell>
          <cell r="R1128">
            <v>47144288</v>
          </cell>
          <cell r="S1128">
            <v>0</v>
          </cell>
          <cell r="T1128">
            <v>0</v>
          </cell>
          <cell r="U1128">
            <v>47144288</v>
          </cell>
          <cell r="V1128">
            <v>47144288</v>
          </cell>
        </row>
        <row r="1129">
          <cell r="J1129">
            <v>1710</v>
          </cell>
          <cell r="K1129">
            <v>43195</v>
          </cell>
          <cell r="L1129" t="str">
            <v>JOSE HEYLMEYER MARTINEZ SORIANO</v>
          </cell>
          <cell r="M1129">
            <v>31</v>
          </cell>
          <cell r="N1129" t="str">
            <v>RESOLUCION</v>
          </cell>
          <cell r="O1129">
            <v>1757</v>
          </cell>
          <cell r="P1129">
            <v>43195</v>
          </cell>
          <cell r="Q1129" t="str">
            <v>PAGO DE CESANTIAS FONDOS PÚBLICOS A FUNCIONARIO DE LA ENTIDAD.</v>
          </cell>
          <cell r="R1129">
            <v>11378482</v>
          </cell>
          <cell r="S1129">
            <v>0</v>
          </cell>
          <cell r="T1129">
            <v>0</v>
          </cell>
          <cell r="U1129">
            <v>11378482</v>
          </cell>
          <cell r="V1129">
            <v>11378482</v>
          </cell>
        </row>
        <row r="1130">
          <cell r="J1130">
            <v>1918</v>
          </cell>
          <cell r="K1130">
            <v>43241</v>
          </cell>
          <cell r="L1130" t="str">
            <v>FIDOLO  MARTINEZ RAMIREZ</v>
          </cell>
          <cell r="M1130">
            <v>31</v>
          </cell>
          <cell r="N1130" t="str">
            <v>RESOLUCION</v>
          </cell>
          <cell r="O1130">
            <v>2062</v>
          </cell>
          <cell r="P1130">
            <v>43241</v>
          </cell>
          <cell r="Q1130" t="str">
            <v>PAGO DE CESANTIAS FONDOS PUBLICOS DE UN FUNCIONARIO DE LA ENTIDAD</v>
          </cell>
          <cell r="R1130">
            <v>61750891</v>
          </cell>
          <cell r="S1130">
            <v>0</v>
          </cell>
          <cell r="T1130">
            <v>0</v>
          </cell>
          <cell r="U1130">
            <v>61750891</v>
          </cell>
          <cell r="V1130">
            <v>61750891</v>
          </cell>
        </row>
        <row r="1131">
          <cell r="J1131">
            <v>1934</v>
          </cell>
          <cell r="K1131">
            <v>43242</v>
          </cell>
          <cell r="L1131" t="str">
            <v>JOSE IGNACIO BLANCO TORRES</v>
          </cell>
          <cell r="M1131">
            <v>31</v>
          </cell>
          <cell r="N1131" t="str">
            <v>RESOLUCION</v>
          </cell>
          <cell r="O1131">
            <v>2066</v>
          </cell>
          <cell r="P1131">
            <v>43242</v>
          </cell>
          <cell r="Q1131" t="str">
            <v>PAGO DE CESANTIAS FONDOS PUBLICOS DE UN FUNCIONARIO  DE LA ENTIDAD.</v>
          </cell>
          <cell r="R1131">
            <v>48760623</v>
          </cell>
          <cell r="S1131">
            <v>0</v>
          </cell>
          <cell r="T1131">
            <v>0</v>
          </cell>
          <cell r="U1131">
            <v>48760623</v>
          </cell>
          <cell r="V1131">
            <v>48760623</v>
          </cell>
        </row>
        <row r="1132">
          <cell r="J1132">
            <v>458</v>
          </cell>
          <cell r="K1132">
            <v>43126</v>
          </cell>
          <cell r="L1132" t="str">
            <v>GERMAN ALBERTO BAHAMON JARAMILLO</v>
          </cell>
          <cell r="M1132">
            <v>31</v>
          </cell>
          <cell r="N1132" t="str">
            <v>RESOLUCION</v>
          </cell>
          <cell r="O1132">
            <v>198</v>
          </cell>
          <cell r="P1132">
            <v>43126</v>
          </cell>
          <cell r="Q1132" t="str">
            <v>PAGO DE PRESTACIONES SOCIALES DEFINITIVAS DE UN EXFUNCIONARIO DE LA ENTIDAD</v>
          </cell>
          <cell r="R1132">
            <v>776670</v>
          </cell>
          <cell r="S1132">
            <v>0</v>
          </cell>
          <cell r="T1132">
            <v>0</v>
          </cell>
          <cell r="U1132">
            <v>776670</v>
          </cell>
          <cell r="V1132">
            <v>776670</v>
          </cell>
        </row>
        <row r="1133">
          <cell r="J1133">
            <v>477</v>
          </cell>
          <cell r="K1133">
            <v>43126</v>
          </cell>
          <cell r="L1133" t="str">
            <v>MARCELA  SIERRA CUELLO</v>
          </cell>
          <cell r="M1133">
            <v>31</v>
          </cell>
          <cell r="N1133" t="str">
            <v>RESOLUCION</v>
          </cell>
          <cell r="O1133">
            <v>199</v>
          </cell>
          <cell r="P1133">
            <v>43126</v>
          </cell>
          <cell r="Q1133" t="str">
            <v>PAGO DE PRESTACIONES SOCIALES DEFINITIVAS DE UNA EXFUNCIONARIA DE LA ENTIDAD</v>
          </cell>
          <cell r="R1133">
            <v>1149570</v>
          </cell>
          <cell r="S1133">
            <v>1149570</v>
          </cell>
          <cell r="T1133">
            <v>0</v>
          </cell>
          <cell r="U1133">
            <v>0</v>
          </cell>
          <cell r="V1133">
            <v>0</v>
          </cell>
        </row>
        <row r="1134">
          <cell r="J1134">
            <v>546</v>
          </cell>
          <cell r="K1134">
            <v>43133</v>
          </cell>
          <cell r="L1134" t="str">
            <v>JUAN MANUEL RODRIGUEZ PARRA</v>
          </cell>
          <cell r="M1134">
            <v>31</v>
          </cell>
          <cell r="N1134" t="str">
            <v>RESOLUCION</v>
          </cell>
          <cell r="O1134">
            <v>200</v>
          </cell>
          <cell r="P1134">
            <v>43102</v>
          </cell>
          <cell r="Q1134" t="str">
            <v>PAGO DE PRTESTACIONES SOCIALES DEFINITIVAS A EXFUNCIONARIO DE LA ENTIDAD</v>
          </cell>
          <cell r="R1134">
            <v>711450</v>
          </cell>
          <cell r="S1134">
            <v>711450</v>
          </cell>
          <cell r="T1134">
            <v>0</v>
          </cell>
          <cell r="U1134">
            <v>0</v>
          </cell>
          <cell r="V1134">
            <v>0</v>
          </cell>
        </row>
        <row r="1135">
          <cell r="J1135">
            <v>1936</v>
          </cell>
          <cell r="K1135">
            <v>43242</v>
          </cell>
          <cell r="L1135" t="str">
            <v>GERMAN ALBERTO BAHAMON JARAMILLO</v>
          </cell>
          <cell r="M1135">
            <v>31</v>
          </cell>
          <cell r="N1135" t="str">
            <v>RESOLUCION</v>
          </cell>
          <cell r="O1135">
            <v>2068</v>
          </cell>
          <cell r="P1135">
            <v>43242</v>
          </cell>
          <cell r="Q1135" t="str">
            <v>PAGO DE REAJUSTE DE PRESTACIONES SOCIALES DEFINITIVAS DE UN FUNCIONARIO DE LA ENTIDAD</v>
          </cell>
          <cell r="R1135">
            <v>37470</v>
          </cell>
          <cell r="S1135">
            <v>0</v>
          </cell>
          <cell r="T1135">
            <v>0</v>
          </cell>
          <cell r="U1135">
            <v>37470</v>
          </cell>
          <cell r="V1135">
            <v>37470</v>
          </cell>
        </row>
        <row r="1136">
          <cell r="J1136">
            <v>2499</v>
          </cell>
          <cell r="K1136">
            <v>43298</v>
          </cell>
          <cell r="L1136" t="str">
            <v>CAROLINA  FERNANDEZ BOLAÑOS</v>
          </cell>
          <cell r="M1136">
            <v>31</v>
          </cell>
          <cell r="N1136" t="str">
            <v>RESOLUCION</v>
          </cell>
          <cell r="O1136">
            <v>2067</v>
          </cell>
          <cell r="P1136">
            <v>43298</v>
          </cell>
          <cell r="Q1136" t="str">
            <v>PAGO DE PRESTACIONES SOCIALES DEFINITIVAS DE UN EXFUNCIONARIO DE LA ENTIDAD</v>
          </cell>
          <cell r="R1136">
            <v>108000</v>
          </cell>
          <cell r="S1136">
            <v>0</v>
          </cell>
          <cell r="T1136">
            <v>0</v>
          </cell>
          <cell r="U1136">
            <v>108000</v>
          </cell>
          <cell r="V1136">
            <v>0</v>
          </cell>
        </row>
        <row r="1137">
          <cell r="J1137">
            <v>2611</v>
          </cell>
          <cell r="K1137">
            <v>43320</v>
          </cell>
          <cell r="L1137" t="str">
            <v>MARCELA  SIERRA CUELLO</v>
          </cell>
          <cell r="M1137">
            <v>31</v>
          </cell>
          <cell r="N1137" t="str">
            <v>RESOLUCION</v>
          </cell>
          <cell r="O1137">
            <v>199</v>
          </cell>
          <cell r="P1137">
            <v>43320</v>
          </cell>
          <cell r="Q1137" t="str">
            <v>PAGO DE MI PLANILLA PARAFISCALES DE LOS EXFUNCIONARIOS DE LA ENTIDAD - MARCELA SIERRA CUELLO</v>
          </cell>
          <cell r="R1137">
            <v>1149600</v>
          </cell>
          <cell r="S1137">
            <v>0</v>
          </cell>
          <cell r="T1137">
            <v>0</v>
          </cell>
          <cell r="U1137">
            <v>1149600</v>
          </cell>
          <cell r="V1137">
            <v>1149600</v>
          </cell>
        </row>
        <row r="1138">
          <cell r="J1138">
            <v>2612</v>
          </cell>
          <cell r="K1138">
            <v>43320</v>
          </cell>
          <cell r="L1138" t="str">
            <v>JUAN MANUEL RODRIGUEZ PARRA</v>
          </cell>
          <cell r="M1138">
            <v>31</v>
          </cell>
          <cell r="N1138" t="str">
            <v>RESOLUCION</v>
          </cell>
          <cell r="O1138">
            <v>200</v>
          </cell>
          <cell r="P1138">
            <v>43320</v>
          </cell>
          <cell r="Q1138" t="str">
            <v>PAGO DE MI PLANILLA PARAFISCALES DE LOS EXFUNCIONARIOS DE LA ENTIDAD - JUAN MANUEL RODRIGUEZ PARRA</v>
          </cell>
          <cell r="R1138">
            <v>711500</v>
          </cell>
          <cell r="S1138">
            <v>0</v>
          </cell>
          <cell r="T1138">
            <v>0</v>
          </cell>
          <cell r="U1138">
            <v>711500</v>
          </cell>
          <cell r="V1138">
            <v>711500</v>
          </cell>
        </row>
        <row r="1139">
          <cell r="J1139">
            <v>2692</v>
          </cell>
          <cell r="K1139">
            <v>43334</v>
          </cell>
          <cell r="L1139" t="str">
            <v>GUILLERMO ANDRES ARCILA HOYOS</v>
          </cell>
          <cell r="M1139">
            <v>31</v>
          </cell>
          <cell r="N1139" t="str">
            <v>RESOLUCION</v>
          </cell>
          <cell r="O1139">
            <v>3144</v>
          </cell>
          <cell r="P1139">
            <v>43334</v>
          </cell>
          <cell r="Q1139" t="str">
            <v>PAGO DE PRETACIONES SOCIALES DEFINITIVAS DE UN EXFUNCIONARIO DE LA ENTIDAD</v>
          </cell>
          <cell r="R1139">
            <v>777200</v>
          </cell>
          <cell r="S1139">
            <v>0</v>
          </cell>
          <cell r="T1139">
            <v>0</v>
          </cell>
          <cell r="U1139">
            <v>777200</v>
          </cell>
          <cell r="V1139">
            <v>0</v>
          </cell>
        </row>
        <row r="1140">
          <cell r="J1140">
            <v>2698</v>
          </cell>
          <cell r="K1140">
            <v>43334</v>
          </cell>
          <cell r="L1140" t="str">
            <v>JUAN PABLO VELASQUEZ SILVA</v>
          </cell>
          <cell r="M1140">
            <v>31</v>
          </cell>
          <cell r="N1140" t="str">
            <v>RESOLUCION</v>
          </cell>
          <cell r="O1140">
            <v>3143</v>
          </cell>
          <cell r="P1140">
            <v>43334</v>
          </cell>
          <cell r="Q1140" t="str">
            <v>PAGO DE PRESTACIONES SOCIALES DEFINITIVAS A EXFUNCIONARIO DE LA ENTIDAD</v>
          </cell>
          <cell r="R1140">
            <v>442400</v>
          </cell>
          <cell r="S1140">
            <v>0</v>
          </cell>
          <cell r="T1140">
            <v>0</v>
          </cell>
          <cell r="U1140">
            <v>442400</v>
          </cell>
          <cell r="V1140">
            <v>0</v>
          </cell>
        </row>
        <row r="1141">
          <cell r="J1141">
            <v>2705</v>
          </cell>
          <cell r="K1141">
            <v>43334</v>
          </cell>
          <cell r="L1141" t="str">
            <v>JUAN PABLO TOVAR OCHOA</v>
          </cell>
          <cell r="M1141">
            <v>31</v>
          </cell>
          <cell r="N1141" t="str">
            <v>RESOLUCION</v>
          </cell>
          <cell r="O1141">
            <v>3145</v>
          </cell>
          <cell r="P1141">
            <v>43334</v>
          </cell>
          <cell r="Q1141" t="str">
            <v>PAGO DE PRESTACIONES SOCIALES DEFINITIVAS DE UN EXFUNCIONARIO DE LA ENTIDAD</v>
          </cell>
          <cell r="R1141">
            <v>804300</v>
          </cell>
          <cell r="S1141">
            <v>0</v>
          </cell>
          <cell r="T1141">
            <v>0</v>
          </cell>
          <cell r="U1141">
            <v>804300</v>
          </cell>
          <cell r="V1141">
            <v>0</v>
          </cell>
        </row>
        <row r="1142">
          <cell r="J1142">
            <v>458</v>
          </cell>
          <cell r="K1142">
            <v>43126</v>
          </cell>
          <cell r="L1142" t="str">
            <v>GERMAN ALBERTO BAHAMON JARAMILLO</v>
          </cell>
          <cell r="M1142">
            <v>31</v>
          </cell>
          <cell r="N1142" t="str">
            <v>RESOLUCION</v>
          </cell>
          <cell r="O1142">
            <v>198</v>
          </cell>
          <cell r="P1142">
            <v>43126</v>
          </cell>
          <cell r="Q1142" t="str">
            <v>PAGO DE PRESTACIONES SOCIALES DEFINITIVAS DE UN EXFUNCIONARIO DE LA ENTIDAD</v>
          </cell>
          <cell r="R1142">
            <v>517780</v>
          </cell>
          <cell r="S1142">
            <v>0</v>
          </cell>
          <cell r="T1142">
            <v>0</v>
          </cell>
          <cell r="U1142">
            <v>517780</v>
          </cell>
          <cell r="V1142">
            <v>517760</v>
          </cell>
        </row>
        <row r="1143">
          <cell r="J1143">
            <v>477</v>
          </cell>
          <cell r="K1143">
            <v>43126</v>
          </cell>
          <cell r="L1143" t="str">
            <v>MARCELA  SIERRA CUELLO</v>
          </cell>
          <cell r="M1143">
            <v>31</v>
          </cell>
          <cell r="N1143" t="str">
            <v>RESOLUCION</v>
          </cell>
          <cell r="O1143">
            <v>199</v>
          </cell>
          <cell r="P1143">
            <v>43126</v>
          </cell>
          <cell r="Q1143" t="str">
            <v>PAGO DE PRESTACIONES SOCIALES DEFINITIVAS DE UNA EXFUNCIONARIA DE LA ENTIDAD</v>
          </cell>
          <cell r="R1143">
            <v>766380</v>
          </cell>
          <cell r="S1143">
            <v>766380</v>
          </cell>
          <cell r="T1143">
            <v>0</v>
          </cell>
          <cell r="U1143">
            <v>0</v>
          </cell>
          <cell r="V1143">
            <v>0</v>
          </cell>
        </row>
        <row r="1144">
          <cell r="J1144">
            <v>546</v>
          </cell>
          <cell r="K1144">
            <v>43133</v>
          </cell>
          <cell r="L1144" t="str">
            <v>JUAN MANUEL RODRIGUEZ PARRA</v>
          </cell>
          <cell r="M1144">
            <v>31</v>
          </cell>
          <cell r="N1144" t="str">
            <v>RESOLUCION</v>
          </cell>
          <cell r="O1144">
            <v>200</v>
          </cell>
          <cell r="P1144">
            <v>43102</v>
          </cell>
          <cell r="Q1144" t="str">
            <v>PAGO DE PRTESTACIONES SOCIALES DEFINITIVAS A EXFUNCIONARIO DE LA ENTIDAD</v>
          </cell>
          <cell r="R1144">
            <v>474300</v>
          </cell>
          <cell r="S1144">
            <v>474300</v>
          </cell>
          <cell r="T1144">
            <v>0</v>
          </cell>
          <cell r="U1144">
            <v>0</v>
          </cell>
          <cell r="V1144">
            <v>0</v>
          </cell>
        </row>
        <row r="1145">
          <cell r="J1145">
            <v>1936</v>
          </cell>
          <cell r="K1145">
            <v>43242</v>
          </cell>
          <cell r="L1145" t="str">
            <v>GERMAN ALBERTO BAHAMON JARAMILLO</v>
          </cell>
          <cell r="M1145">
            <v>31</v>
          </cell>
          <cell r="N1145" t="str">
            <v>RESOLUCION</v>
          </cell>
          <cell r="O1145">
            <v>2068</v>
          </cell>
          <cell r="P1145">
            <v>43242</v>
          </cell>
          <cell r="Q1145" t="str">
            <v>PAGO DE REAJUSTE DE PRESTACIONES SOCIALES DEFINITIVAS DE UN FUNCIONARIO DE LA ENTIDAD</v>
          </cell>
          <cell r="R1145">
            <v>24980</v>
          </cell>
          <cell r="S1145">
            <v>0</v>
          </cell>
          <cell r="T1145">
            <v>0</v>
          </cell>
          <cell r="U1145">
            <v>24980</v>
          </cell>
          <cell r="V1145">
            <v>24980</v>
          </cell>
        </row>
        <row r="1146">
          <cell r="J1146">
            <v>2499</v>
          </cell>
          <cell r="K1146">
            <v>43298</v>
          </cell>
          <cell r="L1146" t="str">
            <v>CAROLINA  FERNANDEZ BOLAÑOS</v>
          </cell>
          <cell r="M1146">
            <v>31</v>
          </cell>
          <cell r="N1146" t="str">
            <v>RESOLUCION</v>
          </cell>
          <cell r="O1146">
            <v>2067</v>
          </cell>
          <cell r="P1146">
            <v>43298</v>
          </cell>
          <cell r="Q1146" t="str">
            <v>PAGO DE PRESTACIONES SOCIALES DEFINITIVAS DE UN EXFUNCIONARIO DE LA ENTIDAD</v>
          </cell>
          <cell r="R1146">
            <v>72000</v>
          </cell>
          <cell r="S1146">
            <v>0</v>
          </cell>
          <cell r="T1146">
            <v>0</v>
          </cell>
          <cell r="U1146">
            <v>72000</v>
          </cell>
          <cell r="V1146">
            <v>0</v>
          </cell>
        </row>
        <row r="1147">
          <cell r="J1147">
            <v>2611</v>
          </cell>
          <cell r="K1147">
            <v>43320</v>
          </cell>
          <cell r="L1147" t="str">
            <v>MARCELA  SIERRA CUELLO</v>
          </cell>
          <cell r="M1147">
            <v>31</v>
          </cell>
          <cell r="N1147" t="str">
            <v>RESOLUCION</v>
          </cell>
          <cell r="O1147">
            <v>199</v>
          </cell>
          <cell r="P1147">
            <v>43320</v>
          </cell>
          <cell r="Q1147" t="str">
            <v>PAGO DE MI PLANILLA PARAFISCALES DE LOS EXFUNCIONARIOS DE LA ENTIDAD - MARCELA SIERRA CUELLO</v>
          </cell>
          <cell r="R1147">
            <v>766400</v>
          </cell>
          <cell r="S1147">
            <v>0</v>
          </cell>
          <cell r="T1147">
            <v>0</v>
          </cell>
          <cell r="U1147">
            <v>766400</v>
          </cell>
          <cell r="V1147">
            <v>766400</v>
          </cell>
        </row>
        <row r="1148">
          <cell r="J1148">
            <v>2612</v>
          </cell>
          <cell r="K1148">
            <v>43320</v>
          </cell>
          <cell r="L1148" t="str">
            <v>JUAN MANUEL RODRIGUEZ PARRA</v>
          </cell>
          <cell r="M1148">
            <v>31</v>
          </cell>
          <cell r="N1148" t="str">
            <v>RESOLUCION</v>
          </cell>
          <cell r="O1148">
            <v>200</v>
          </cell>
          <cell r="P1148">
            <v>43320</v>
          </cell>
          <cell r="Q1148" t="str">
            <v>PAGO DE MI PLANILLA PARAFISCALES DE LOS EXFUNCIONARIOS DE LA ENTIDAD - JUAN MANUEL RODRIGUEZ PARRA</v>
          </cell>
          <cell r="R1148">
            <v>474300</v>
          </cell>
          <cell r="S1148">
            <v>0</v>
          </cell>
          <cell r="T1148">
            <v>0</v>
          </cell>
          <cell r="U1148">
            <v>474300</v>
          </cell>
          <cell r="V1148">
            <v>474300</v>
          </cell>
        </row>
        <row r="1149">
          <cell r="J1149">
            <v>2692</v>
          </cell>
          <cell r="K1149">
            <v>43334</v>
          </cell>
          <cell r="L1149" t="str">
            <v>GUILLERMO ANDRES ARCILA HOYOS</v>
          </cell>
          <cell r="M1149">
            <v>31</v>
          </cell>
          <cell r="N1149" t="str">
            <v>RESOLUCION</v>
          </cell>
          <cell r="O1149">
            <v>3144</v>
          </cell>
          <cell r="P1149">
            <v>43334</v>
          </cell>
          <cell r="Q1149" t="str">
            <v>PAGO DE PRETACIONES SOCIALES DEFINITIVAS DE UN EXFUNCIONARIO DE LA ENTIDAD</v>
          </cell>
          <cell r="R1149">
            <v>518200</v>
          </cell>
          <cell r="S1149">
            <v>0</v>
          </cell>
          <cell r="T1149">
            <v>0</v>
          </cell>
          <cell r="U1149">
            <v>518200</v>
          </cell>
          <cell r="V1149">
            <v>0</v>
          </cell>
        </row>
        <row r="1150">
          <cell r="J1150">
            <v>2698</v>
          </cell>
          <cell r="K1150">
            <v>43334</v>
          </cell>
          <cell r="L1150" t="str">
            <v>JUAN PABLO VELASQUEZ SILVA</v>
          </cell>
          <cell r="M1150">
            <v>31</v>
          </cell>
          <cell r="N1150" t="str">
            <v>RESOLUCION</v>
          </cell>
          <cell r="O1150">
            <v>3143</v>
          </cell>
          <cell r="P1150">
            <v>43334</v>
          </cell>
          <cell r="Q1150" t="str">
            <v>PAGO DE PRESTACIONES SOCIALES DEFINITIVAS A EXFUNCIONARIO DE LA ENTIDAD</v>
          </cell>
          <cell r="R1150">
            <v>295000</v>
          </cell>
          <cell r="S1150">
            <v>0</v>
          </cell>
          <cell r="T1150">
            <v>0</v>
          </cell>
          <cell r="U1150">
            <v>295000</v>
          </cell>
          <cell r="V1150">
            <v>0</v>
          </cell>
        </row>
        <row r="1151">
          <cell r="J1151">
            <v>2705</v>
          </cell>
          <cell r="K1151">
            <v>43334</v>
          </cell>
          <cell r="L1151" t="str">
            <v>JUAN PABLO TOVAR OCHOA</v>
          </cell>
          <cell r="M1151">
            <v>31</v>
          </cell>
          <cell r="N1151" t="str">
            <v>RESOLUCION</v>
          </cell>
          <cell r="O1151">
            <v>3145</v>
          </cell>
          <cell r="P1151">
            <v>43334</v>
          </cell>
          <cell r="Q1151" t="str">
            <v>PAGO DE PRESTACIONES SOCIALES DEFINITIVAS DE UN EXFUNCIONARIO DE LA ENTIDAD</v>
          </cell>
          <cell r="R1151">
            <v>536200</v>
          </cell>
          <cell r="S1151">
            <v>0</v>
          </cell>
          <cell r="T1151">
            <v>0</v>
          </cell>
          <cell r="U1151">
            <v>536200</v>
          </cell>
          <cell r="V1151">
            <v>0</v>
          </cell>
        </row>
        <row r="1152">
          <cell r="J1152">
            <v>2595</v>
          </cell>
          <cell r="K1152">
            <v>43315</v>
          </cell>
          <cell r="L1152" t="str">
            <v>FUNDACION UNIVERSIDAD EXTERNADO DE COLOMBIA</v>
          </cell>
          <cell r="M1152">
            <v>31</v>
          </cell>
          <cell r="N1152" t="str">
            <v>RESOLUCION</v>
          </cell>
          <cell r="O1152">
            <v>3058</v>
          </cell>
          <cell r="P1152">
            <v>43315</v>
          </cell>
          <cell r="Q1152" t="str">
            <v>Cubrir el pago de incripción de los dos servidores públicos de la entidad para entidad para participar en la 40a JORNADAS INTERNACIONALES DE DERECHO PROCESAL en Bogotá DC.</v>
          </cell>
          <cell r="R1152">
            <v>740000</v>
          </cell>
          <cell r="S1152">
            <v>0</v>
          </cell>
          <cell r="T1152">
            <v>0</v>
          </cell>
          <cell r="U1152">
            <v>740000</v>
          </cell>
          <cell r="V1152">
            <v>740000</v>
          </cell>
        </row>
        <row r="1153">
          <cell r="J1153">
            <v>1525</v>
          </cell>
          <cell r="K1153">
            <v>43164</v>
          </cell>
          <cell r="L1153" t="str">
            <v>CAJA DE VIVIENDA POPULAR</v>
          </cell>
          <cell r="M1153">
            <v>31</v>
          </cell>
          <cell r="N1153" t="str">
            <v>RESOLUCION</v>
          </cell>
          <cell r="O1153">
            <v>1459</v>
          </cell>
          <cell r="P1153">
            <v>43164</v>
          </cell>
          <cell r="Q1153" t="str">
            <v>PAGO AUXILIO DE ESTUDIO SEGÚN CONVENCIÓN COLECTIVA DE TRABAJADORES DE NOVIEMBRE 29 DE 1990 CLAUSULA 10</v>
          </cell>
          <cell r="R1153">
            <v>3879630</v>
          </cell>
          <cell r="S1153">
            <v>0</v>
          </cell>
          <cell r="T1153">
            <v>0</v>
          </cell>
          <cell r="U1153">
            <v>3879630</v>
          </cell>
          <cell r="V1153">
            <v>3879630</v>
          </cell>
        </row>
        <row r="1154">
          <cell r="J1154">
            <v>1809</v>
          </cell>
          <cell r="K1154">
            <v>43208</v>
          </cell>
          <cell r="L1154" t="str">
            <v>MARISOL  MALAGON PARRA</v>
          </cell>
          <cell r="M1154">
            <v>31</v>
          </cell>
          <cell r="N1154" t="str">
            <v>RESOLUCION</v>
          </cell>
          <cell r="O1154">
            <v>1860</v>
          </cell>
          <cell r="P1154">
            <v>43208</v>
          </cell>
          <cell r="Q1154" t="str">
            <v>PAGO AUXILIO FUNERARIO A MARISOL MALAGON PARRA POR LA MUERTE DE SU SEÑOR PADRE, SERVILIO MALAGON MENJURA, PARA LO CUAL ANEXO COPIA DEL REGISTRO CIVIL DE DEFUNCION INDICATIVO SERIAL 09529960. DE ACUERDO A LA CLÁUSULA NOVENA, CAPÍTULO III DE LA CONVENCIÓN COLECTIVA DE TRABAJO FIRMADA ENTRE LA CAJA DE LA VIVIENDA POPULAR Y EL SINDICATO DE TRABAJADORES, DEL VEINTINUEVE (29) DE NOVIEMBRE DE MIL NOVECIENTOS NOVENTA (1990), ¿EN CASO DE FALLECIMIENTO DE ALGUNO DE LOS PADRES DEL TRABAJADOR, LA CAJA DE LA VIVIENDA POPULAR, RECONOCERÁ Y PAGARÁ UN AUXILIO FUNERARIO EQUIVALENTE A UN SALARIO MÍNIMO CONVENCIONAL, EL CUAL SE DARÁ DIRECTAMENTE AL TRABAJADOR.</v>
          </cell>
          <cell r="R1154">
            <v>2346902</v>
          </cell>
          <cell r="S1154">
            <v>0</v>
          </cell>
          <cell r="T1154">
            <v>0</v>
          </cell>
          <cell r="U1154">
            <v>2346902</v>
          </cell>
          <cell r="V1154">
            <v>2346902</v>
          </cell>
        </row>
        <row r="1155">
          <cell r="J1155">
            <v>1810</v>
          </cell>
          <cell r="K1155">
            <v>43209</v>
          </cell>
          <cell r="L1155" t="str">
            <v>JOSE IGNACIO BLANCO TORRES</v>
          </cell>
          <cell r="M1155">
            <v>31</v>
          </cell>
          <cell r="N1155" t="str">
            <v>RESOLUCION</v>
          </cell>
          <cell r="O1155">
            <v>1861</v>
          </cell>
          <cell r="P1155">
            <v>43209</v>
          </cell>
          <cell r="Q1155" t="str">
            <v>PAGO AUXILIO DE ESTUDIO SEGÚN CONVENCIÓN COLECTIVA DE TRABAJADORES DE NOVIEMBRE 29 DE 1990 CLAUSULA 10</v>
          </cell>
          <cell r="R1155">
            <v>505641</v>
          </cell>
          <cell r="S1155">
            <v>0</v>
          </cell>
          <cell r="T1155">
            <v>0</v>
          </cell>
          <cell r="U1155">
            <v>505641</v>
          </cell>
          <cell r="V1155">
            <v>505641</v>
          </cell>
        </row>
        <row r="1156">
          <cell r="J1156">
            <v>2549</v>
          </cell>
          <cell r="K1156">
            <v>43312</v>
          </cell>
          <cell r="L1156" t="str">
            <v>GELEN LIZETH LOAIZA PARRA</v>
          </cell>
          <cell r="M1156">
            <v>31</v>
          </cell>
          <cell r="N1156" t="str">
            <v>RESOLUCION</v>
          </cell>
          <cell r="O1156">
            <v>2954</v>
          </cell>
          <cell r="P1156">
            <v>43312</v>
          </cell>
          <cell r="Q1156" t="str">
            <v>Pago de Pasivo Exigible a nombre de la señora GELEN LIZETH LOAIZA PARRA  identificada con CC. 1.031.150.800 Contrato 246 de 2015 Acta de fenecimiento del 31/12/2016.</v>
          </cell>
          <cell r="R1156">
            <v>450000</v>
          </cell>
          <cell r="S1156">
            <v>0</v>
          </cell>
          <cell r="T1156">
            <v>0</v>
          </cell>
          <cell r="U1156">
            <v>450000</v>
          </cell>
          <cell r="V1156">
            <v>450000</v>
          </cell>
        </row>
        <row r="1157">
          <cell r="J1157">
            <v>305</v>
          </cell>
          <cell r="K1157">
            <v>43122</v>
          </cell>
          <cell r="L1157" t="str">
            <v>ELCIA  MUÑOZ DE JIMENEZ</v>
          </cell>
          <cell r="M1157">
            <v>31</v>
          </cell>
          <cell r="N1157" t="str">
            <v>RESOLUCION</v>
          </cell>
          <cell r="O1157">
            <v>36</v>
          </cell>
          <cell r="P1157">
            <v>43122</v>
          </cell>
          <cell r="Q1157" t="str">
            <v>Asignacion del instrumento financiero a las familias ocupantes del predio que hayan superado la fase de verificacion dentro  del marco del Decreto 457 de 2017. LOCALIDAD: KENNEDY; BARRIO: VEREDITAS; ID: 2017-8-383725</v>
          </cell>
          <cell r="R1157">
            <v>54686940</v>
          </cell>
          <cell r="S1157">
            <v>0</v>
          </cell>
          <cell r="T1157">
            <v>0</v>
          </cell>
          <cell r="U1157">
            <v>54686940</v>
          </cell>
          <cell r="V1157">
            <v>54686940</v>
          </cell>
        </row>
        <row r="1158">
          <cell r="J1158">
            <v>311</v>
          </cell>
          <cell r="K1158">
            <v>43122</v>
          </cell>
          <cell r="L1158" t="str">
            <v>FLOR MARINA MAHECHA SANCHEZ</v>
          </cell>
          <cell r="M1158">
            <v>31</v>
          </cell>
          <cell r="N1158" t="str">
            <v>RESOLUCION</v>
          </cell>
          <cell r="O1158">
            <v>34</v>
          </cell>
          <cell r="P1158">
            <v>43122</v>
          </cell>
          <cell r="Q1158" t="str">
            <v>Asignacion del instrumento financiero a las familias ocupantes del predio que hayan superado la fase de verificacion dentro  del marco del Decreto 457 de 2017. LOCALIDAD: KENNEDY; BARRIO: VEREDITAS; ID: 2017-8-383652</v>
          </cell>
          <cell r="R1158">
            <v>54686940</v>
          </cell>
          <cell r="S1158">
            <v>0</v>
          </cell>
          <cell r="T1158">
            <v>0</v>
          </cell>
          <cell r="U1158">
            <v>54686940</v>
          </cell>
          <cell r="V1158">
            <v>54686940</v>
          </cell>
        </row>
        <row r="1159">
          <cell r="J1159">
            <v>327</v>
          </cell>
          <cell r="K1159">
            <v>43123</v>
          </cell>
          <cell r="L1159" t="str">
            <v>MARLEN  PRIETO QUIROGA</v>
          </cell>
          <cell r="M1159">
            <v>31</v>
          </cell>
          <cell r="N1159" t="str">
            <v>RESOLUCION</v>
          </cell>
          <cell r="O1159">
            <v>35</v>
          </cell>
          <cell r="P1159">
            <v>43123</v>
          </cell>
          <cell r="Q1159" t="str">
            <v>Asignacion del instrumento financiero a las familias ocupantes del predio que hayan superado la fase de verificacion dentro  del marco del Decreto 457 de 2017. LOCALIDAD: KENNEDY; BARRIO: VEREDITAS; ID: 2017-8-383660.</v>
          </cell>
          <cell r="R1159">
            <v>54686940</v>
          </cell>
          <cell r="S1159">
            <v>0</v>
          </cell>
          <cell r="T1159">
            <v>0</v>
          </cell>
          <cell r="U1159">
            <v>54686940</v>
          </cell>
          <cell r="V1159">
            <v>54686940</v>
          </cell>
        </row>
        <row r="1160">
          <cell r="J1160">
            <v>328</v>
          </cell>
          <cell r="K1160">
            <v>43123</v>
          </cell>
          <cell r="L1160" t="str">
            <v>YULI ALEJANDRA RICO GUTIERREZ</v>
          </cell>
          <cell r="M1160">
            <v>31</v>
          </cell>
          <cell r="N1160" t="str">
            <v>RESOLUCION</v>
          </cell>
          <cell r="O1160">
            <v>33</v>
          </cell>
          <cell r="P1160">
            <v>43123</v>
          </cell>
          <cell r="Q1160" t="str">
            <v>Asignacion del instrumento financiero a las familias ocupantes del predio que hayan superado la fase de verificacion dentro  del marco del Decreto 457 de 2017. LOCALIDAD: KENNEDY; BARRIO: VEREDITAS; ID: 2017-8-383788</v>
          </cell>
          <cell r="R1160">
            <v>54686940</v>
          </cell>
          <cell r="S1160">
            <v>0</v>
          </cell>
          <cell r="T1160">
            <v>0</v>
          </cell>
          <cell r="U1160">
            <v>54686940</v>
          </cell>
          <cell r="V1160">
            <v>54686940</v>
          </cell>
        </row>
        <row r="1161">
          <cell r="J1161">
            <v>422</v>
          </cell>
          <cell r="K1161">
            <v>43124</v>
          </cell>
          <cell r="L1161" t="str">
            <v>INES  VALENCIA ORTIZ</v>
          </cell>
          <cell r="M1161">
            <v>31</v>
          </cell>
          <cell r="N1161" t="str">
            <v>RESOLUCION</v>
          </cell>
          <cell r="O1161">
            <v>100</v>
          </cell>
          <cell r="P1161">
            <v>43124</v>
          </cell>
          <cell r="Q1161" t="str">
            <v>Asignacion del instrumento financiero a las familias ocupantes del predio que hayan superado la fase de verificacion dentro  del marco del Decreto 457 de 2017. LOCALIDAD: KENNEDY; BARRIO: VEREDITAS; ID: 2017-8-383714</v>
          </cell>
          <cell r="R1161">
            <v>54686940</v>
          </cell>
          <cell r="S1161">
            <v>0</v>
          </cell>
          <cell r="T1161">
            <v>0</v>
          </cell>
          <cell r="U1161">
            <v>54686940</v>
          </cell>
          <cell r="V1161">
            <v>54686940</v>
          </cell>
        </row>
        <row r="1162">
          <cell r="J1162">
            <v>424</v>
          </cell>
          <cell r="K1162">
            <v>43124</v>
          </cell>
          <cell r="L1162" t="str">
            <v>RUSMEY  VERGARA CHARA</v>
          </cell>
          <cell r="M1162">
            <v>31</v>
          </cell>
          <cell r="N1162" t="str">
            <v>RESOLUCION</v>
          </cell>
          <cell r="O1162">
            <v>101</v>
          </cell>
          <cell r="P1162">
            <v>43124</v>
          </cell>
          <cell r="Q1162" t="str">
            <v>Asignacion del instrumento financiero a las familias ocupantes del predio que hayan superado la fase de verificacion dentro  del marco del Decreto 457 de 2017. LOCALIDAD: KENNEDY; BARRIO: VEREDITAS; ID: 2017-8-383707.</v>
          </cell>
          <cell r="R1162">
            <v>54686940</v>
          </cell>
          <cell r="S1162">
            <v>0</v>
          </cell>
          <cell r="T1162">
            <v>0</v>
          </cell>
          <cell r="U1162">
            <v>54686940</v>
          </cell>
          <cell r="V1162">
            <v>54686940</v>
          </cell>
        </row>
        <row r="1163">
          <cell r="J1163">
            <v>509</v>
          </cell>
          <cell r="K1163">
            <v>43129</v>
          </cell>
          <cell r="L1163" t="str">
            <v>DIANA KATERIN ESTEVEZ USSA</v>
          </cell>
          <cell r="M1163">
            <v>31</v>
          </cell>
          <cell r="N1163" t="str">
            <v>RESOLUCION</v>
          </cell>
          <cell r="O1163">
            <v>202</v>
          </cell>
          <cell r="P1163">
            <v>43129</v>
          </cell>
          <cell r="Q1163" t="str">
            <v>Asignacion del instrumento financiero a las familias ocupantes del predio que hayan superado la fase de verificacion dentro  del marco del Decreto 457 de 2017. LOCALIDAD: KENNEDY; BARRIO: VEREDITAS; ID: 2017-8-383724</v>
          </cell>
          <cell r="R1163">
            <v>54686940</v>
          </cell>
          <cell r="S1163">
            <v>0</v>
          </cell>
          <cell r="T1163">
            <v>0</v>
          </cell>
          <cell r="U1163">
            <v>54686940</v>
          </cell>
          <cell r="V1163">
            <v>54686940</v>
          </cell>
        </row>
        <row r="1164">
          <cell r="J1164">
            <v>510</v>
          </cell>
          <cell r="K1164">
            <v>43129</v>
          </cell>
          <cell r="L1164" t="str">
            <v>LILIANA PATRICIA GARCIA DIAZ</v>
          </cell>
          <cell r="M1164">
            <v>31</v>
          </cell>
          <cell r="N1164" t="str">
            <v>RESOLUCION</v>
          </cell>
          <cell r="O1164">
            <v>203</v>
          </cell>
          <cell r="P1164">
            <v>43129</v>
          </cell>
          <cell r="Q1164" t="str">
            <v>Asignacion del instrumento financiero a las familias ocupantes del predio que hayan superado la fase de verificacion dentro  del marco del Decreto 457 de 2017. LOCALIDAD: KENNEDY; BARRIO: VEREDITAS; ID: 2017-8-383669</v>
          </cell>
          <cell r="R1164">
            <v>54686940</v>
          </cell>
          <cell r="S1164">
            <v>0</v>
          </cell>
          <cell r="T1164">
            <v>0</v>
          </cell>
          <cell r="U1164">
            <v>54686940</v>
          </cell>
          <cell r="V1164">
            <v>54686940</v>
          </cell>
        </row>
        <row r="1165">
          <cell r="J1165">
            <v>511</v>
          </cell>
          <cell r="K1165">
            <v>43129</v>
          </cell>
          <cell r="L1165" t="str">
            <v>SARA JOHANNA MONTAÑO PRIETO</v>
          </cell>
          <cell r="M1165">
            <v>31</v>
          </cell>
          <cell r="N1165" t="str">
            <v>RESOLUCION</v>
          </cell>
          <cell r="O1165">
            <v>201</v>
          </cell>
          <cell r="P1165">
            <v>43129</v>
          </cell>
          <cell r="Q1165" t="str">
            <v>Asignacion del instrumento financiero a las familias ocupantes del predio que hayan superado la fase de verificacion dentro  del marco del Decreto 457 de 2017. LOCALIDAD: KENNEDY; BARRIO: VEREDITAS; ID: ID: 2017-8-383832.</v>
          </cell>
          <cell r="R1165">
            <v>54686940</v>
          </cell>
          <cell r="S1165">
            <v>0</v>
          </cell>
          <cell r="T1165">
            <v>0</v>
          </cell>
          <cell r="U1165">
            <v>54686940</v>
          </cell>
          <cell r="V1165">
            <v>54686940</v>
          </cell>
        </row>
        <row r="1166">
          <cell r="J1166">
            <v>512</v>
          </cell>
          <cell r="K1166">
            <v>43129</v>
          </cell>
          <cell r="L1166" t="str">
            <v>JOHAN SANTIAGO LOPEZ ROMERO</v>
          </cell>
          <cell r="M1166">
            <v>31</v>
          </cell>
          <cell r="N1166" t="str">
            <v>RESOLUCION</v>
          </cell>
          <cell r="O1166">
            <v>205</v>
          </cell>
          <cell r="P1166">
            <v>43129</v>
          </cell>
          <cell r="Q1166" t="str">
            <v>Asignacion del instrumento financiero a las familias ocupantes del predio que hayan superado la fase de verificacion dentro  del marco del Decreto 457 de 2017. LOCALIDAD: KENNEDY; BARRIO: VEREDITAS; ID: 2017-8-383774</v>
          </cell>
          <cell r="R1166">
            <v>54686940</v>
          </cell>
          <cell r="S1166">
            <v>0</v>
          </cell>
          <cell r="T1166">
            <v>0</v>
          </cell>
          <cell r="U1166">
            <v>54686940</v>
          </cell>
          <cell r="V1166">
            <v>54686940</v>
          </cell>
        </row>
        <row r="1167">
          <cell r="J1167">
            <v>513</v>
          </cell>
          <cell r="K1167">
            <v>43129</v>
          </cell>
          <cell r="L1167" t="str">
            <v>LUIS ALBERTO MURCIA ESCALANTE</v>
          </cell>
          <cell r="M1167">
            <v>31</v>
          </cell>
          <cell r="N1167" t="str">
            <v>RESOLUCION</v>
          </cell>
          <cell r="O1167">
            <v>204</v>
          </cell>
          <cell r="P1167">
            <v>43129</v>
          </cell>
          <cell r="Q1167" t="str">
            <v>Asignacion del instrumento financiero a las familias ocupantes del predio que hayan superado la fase de verificacion dentro  del marco del Decreto 457 de 2017. LOCALIDAD: KENNEDY; BARRIO: VEREDITAS; ID: 2017-8-383702</v>
          </cell>
          <cell r="R1167">
            <v>54686940</v>
          </cell>
          <cell r="S1167">
            <v>0</v>
          </cell>
          <cell r="T1167">
            <v>0</v>
          </cell>
          <cell r="U1167">
            <v>54686940</v>
          </cell>
          <cell r="V1167">
            <v>54686940</v>
          </cell>
        </row>
        <row r="1168">
          <cell r="J1168">
            <v>515</v>
          </cell>
          <cell r="K1168">
            <v>43131</v>
          </cell>
          <cell r="L1168" t="str">
            <v>ASCENCION REBECA RODRIGUEZ RODRIGUEZ</v>
          </cell>
          <cell r="M1168">
            <v>31</v>
          </cell>
          <cell r="N1168" t="str">
            <v>RESOLUCION</v>
          </cell>
          <cell r="O1168">
            <v>220</v>
          </cell>
          <cell r="P1168">
            <v>43131</v>
          </cell>
          <cell r="Q1168" t="str">
            <v>EXCEDENTE DE VUR CONFORME AL AVALÚO COMERCIAL (ASIGNACIÓN SEGUNDA VEZ). LOCALIDAD: SAN CRISTOBAL; BARRIO: LA BELLEZA;ID: 2013-Q10-00496</v>
          </cell>
          <cell r="R1168">
            <v>30003100</v>
          </cell>
          <cell r="S1168">
            <v>0</v>
          </cell>
          <cell r="T1168">
            <v>0</v>
          </cell>
          <cell r="U1168">
            <v>30003100</v>
          </cell>
          <cell r="V1168">
            <v>30003100</v>
          </cell>
        </row>
        <row r="1169">
          <cell r="J1169">
            <v>516</v>
          </cell>
          <cell r="K1169">
            <v>43131</v>
          </cell>
          <cell r="L1169" t="str">
            <v>GIOVANNY  GUASCA RODRIGUEZ</v>
          </cell>
          <cell r="M1169">
            <v>31</v>
          </cell>
          <cell r="N1169" t="str">
            <v>RESOLUCION</v>
          </cell>
          <cell r="O1169">
            <v>221</v>
          </cell>
          <cell r="P1169">
            <v>43131</v>
          </cell>
          <cell r="Q1169" t="str">
            <v>Excedente de VUR conforme al avalúo comercial (Asignación segunda vez)Dto. 255 de 2013. LOCALIDAD:SAN CRISTOBAL; BARRIO: QUINDIO; ID: 2015-Q20-04059</v>
          </cell>
          <cell r="R1169">
            <v>16367330</v>
          </cell>
          <cell r="S1169">
            <v>0</v>
          </cell>
          <cell r="T1169">
            <v>0</v>
          </cell>
          <cell r="U1169">
            <v>16367330</v>
          </cell>
          <cell r="V1169">
            <v>16367330</v>
          </cell>
        </row>
        <row r="1170">
          <cell r="J1170">
            <v>517</v>
          </cell>
          <cell r="K1170">
            <v>43132</v>
          </cell>
          <cell r="L1170" t="str">
            <v>ALEXANDER  OYOLA CULMA</v>
          </cell>
          <cell r="M1170">
            <v>31</v>
          </cell>
          <cell r="N1170" t="str">
            <v>RESOLUCION</v>
          </cell>
          <cell r="O1170">
            <v>342</v>
          </cell>
          <cell r="P1170">
            <v>43132</v>
          </cell>
          <cell r="Q1170" t="str">
            <v>VUR de la actual vigencia de acuerdo con el Decreto 255 de 2013. LOCALIDAD: CIUDAD BOLIVAR; BARRIO:EL MIRADOR 3; 2017-19-14978</v>
          </cell>
          <cell r="R1170">
            <v>39062100</v>
          </cell>
          <cell r="S1170">
            <v>0</v>
          </cell>
          <cell r="T1170">
            <v>0</v>
          </cell>
          <cell r="U1170">
            <v>39062100</v>
          </cell>
          <cell r="V1170">
            <v>39062100</v>
          </cell>
        </row>
        <row r="1171">
          <cell r="J1171">
            <v>518</v>
          </cell>
          <cell r="K1171">
            <v>43132</v>
          </cell>
          <cell r="L1171" t="str">
            <v>IVANEIDER  VARGAS COLLAZOS</v>
          </cell>
          <cell r="M1171">
            <v>31</v>
          </cell>
          <cell r="N1171" t="str">
            <v>RESOLUCION</v>
          </cell>
          <cell r="O1171">
            <v>341</v>
          </cell>
          <cell r="P1171">
            <v>43132</v>
          </cell>
          <cell r="Q1171" t="str">
            <v>Asignacion del instrumento financiero a las familias ocupantes del predio que hayan superado la fase de verificacion dentro  del marco del Decreto 457 de 2017. LOCALIDAD: KENNEDY; BARRIO: VEREDITAS; ID: 2017-8-383741</v>
          </cell>
          <cell r="R1171">
            <v>54686940</v>
          </cell>
          <cell r="S1171">
            <v>0</v>
          </cell>
          <cell r="T1171">
            <v>0</v>
          </cell>
          <cell r="U1171">
            <v>54686940</v>
          </cell>
          <cell r="V1171">
            <v>54686940</v>
          </cell>
        </row>
        <row r="1172">
          <cell r="J1172">
            <v>519</v>
          </cell>
          <cell r="K1172">
            <v>43132</v>
          </cell>
          <cell r="L1172" t="str">
            <v>JOHAN DANIEL WILCHES LOPEZ</v>
          </cell>
          <cell r="M1172">
            <v>31</v>
          </cell>
          <cell r="N1172" t="str">
            <v>RESOLUCION</v>
          </cell>
          <cell r="O1172">
            <v>340</v>
          </cell>
          <cell r="P1172">
            <v>43132</v>
          </cell>
          <cell r="Q1172" t="str">
            <v>Asignacion del instrumento financiero a las familias ocupantes del predio que hayan superado la fase de verificacion dentro  del marco del Decreto 457 de 2017. LOCALIDAD: KENNEDY; BARRIO: VEREDITAS; ID: 2017-8-383884</v>
          </cell>
          <cell r="R1172">
            <v>54686940</v>
          </cell>
          <cell r="S1172">
            <v>0</v>
          </cell>
          <cell r="T1172">
            <v>0</v>
          </cell>
          <cell r="U1172">
            <v>54686940</v>
          </cell>
          <cell r="V1172">
            <v>54686940</v>
          </cell>
        </row>
        <row r="1173">
          <cell r="J1173">
            <v>520</v>
          </cell>
          <cell r="K1173">
            <v>43132</v>
          </cell>
          <cell r="L1173" t="str">
            <v>GRACIELA  RODRIGUEZ PINTO</v>
          </cell>
          <cell r="M1173">
            <v>31</v>
          </cell>
          <cell r="N1173" t="str">
            <v>RESOLUCION</v>
          </cell>
          <cell r="O1173">
            <v>335</v>
          </cell>
          <cell r="P1173">
            <v>43132</v>
          </cell>
          <cell r="Q1173" t="str">
            <v>Asignacion del instrumento financiero a las familias ocupantes del predio que hayan superado la fase de verificacion dentro  del marco del Decreto 457 de 2017. LOCALIDAD: KENNEDY; BARRIO: VEREDITAS; ID: 2017-8-383694</v>
          </cell>
          <cell r="R1173">
            <v>54686940</v>
          </cell>
          <cell r="S1173">
            <v>0</v>
          </cell>
          <cell r="T1173">
            <v>0</v>
          </cell>
          <cell r="U1173">
            <v>54686940</v>
          </cell>
          <cell r="V1173">
            <v>54686940</v>
          </cell>
        </row>
        <row r="1174">
          <cell r="J1174">
            <v>521</v>
          </cell>
          <cell r="K1174">
            <v>43132</v>
          </cell>
          <cell r="L1174" t="str">
            <v>CRISTIAN ALEXIS CAIPA LOPEZ</v>
          </cell>
          <cell r="M1174">
            <v>31</v>
          </cell>
          <cell r="N1174" t="str">
            <v>RESOLUCION</v>
          </cell>
          <cell r="O1174">
            <v>336</v>
          </cell>
          <cell r="P1174">
            <v>43132</v>
          </cell>
          <cell r="Q1174" t="str">
            <v>Asignacion del instrumento financiero a las familias ocupantes del predio que hayan superado la fase de verificacion dentro  del marco del Decreto 457 de 2017. LOCALIDAD: KENNEDY; BARRIO: VEREDITAS; ID: 2017-8-383883</v>
          </cell>
          <cell r="R1174">
            <v>54686940</v>
          </cell>
          <cell r="S1174">
            <v>0</v>
          </cell>
          <cell r="T1174">
            <v>0</v>
          </cell>
          <cell r="U1174">
            <v>54686940</v>
          </cell>
          <cell r="V1174">
            <v>54686940</v>
          </cell>
        </row>
        <row r="1175">
          <cell r="J1175">
            <v>522</v>
          </cell>
          <cell r="K1175">
            <v>43132</v>
          </cell>
          <cell r="L1175" t="str">
            <v>OLGA MILENA PRIETO ROJAS</v>
          </cell>
          <cell r="M1175">
            <v>31</v>
          </cell>
          <cell r="N1175" t="str">
            <v>RESOLUCION</v>
          </cell>
          <cell r="O1175">
            <v>339</v>
          </cell>
          <cell r="P1175">
            <v>43132</v>
          </cell>
          <cell r="Q1175" t="str">
            <v>Asignacion del instrumento financiero a las familias ocupantes del predio que hayan superado la fase de verificacion dentro  del marco del Decreto 457 de 2017. LOCALIDAD: KENNEDY; BARRIO: VEREDITAS; ID: 2017-8-383661</v>
          </cell>
          <cell r="R1175">
            <v>54686940</v>
          </cell>
          <cell r="S1175">
            <v>0</v>
          </cell>
          <cell r="T1175">
            <v>0</v>
          </cell>
          <cell r="U1175">
            <v>54686940</v>
          </cell>
          <cell r="V1175">
            <v>54686940</v>
          </cell>
        </row>
        <row r="1176">
          <cell r="J1176">
            <v>523</v>
          </cell>
          <cell r="K1176">
            <v>43132</v>
          </cell>
          <cell r="L1176" t="str">
            <v>LINA KATHERINE AYALA SANTANA</v>
          </cell>
          <cell r="M1176">
            <v>31</v>
          </cell>
          <cell r="N1176" t="str">
            <v>RESOLUCION</v>
          </cell>
          <cell r="O1176">
            <v>337</v>
          </cell>
          <cell r="P1176">
            <v>43132</v>
          </cell>
          <cell r="Q1176" t="str">
            <v>Asignacion del instrumento financiero a las familias ocupantes del predio que hayan superado la fase de verificacion dentro  del marco del Decreto 457 de 2017. LOCALIDAD: KENNEDY; BARRIO: VEREDITAS; ID: 2017-8-383886</v>
          </cell>
          <cell r="R1176">
            <v>54686940</v>
          </cell>
          <cell r="S1176">
            <v>0</v>
          </cell>
          <cell r="T1176">
            <v>0</v>
          </cell>
          <cell r="U1176">
            <v>54686940</v>
          </cell>
          <cell r="V1176">
            <v>54686940</v>
          </cell>
        </row>
        <row r="1177">
          <cell r="J1177">
            <v>524</v>
          </cell>
          <cell r="K1177">
            <v>43132</v>
          </cell>
          <cell r="L1177" t="str">
            <v>TATIANA ASTRID GARZON MONCADA</v>
          </cell>
          <cell r="M1177">
            <v>31</v>
          </cell>
          <cell r="N1177" t="str">
            <v>RESOLUCION</v>
          </cell>
          <cell r="O1177">
            <v>338</v>
          </cell>
          <cell r="P1177">
            <v>43132</v>
          </cell>
          <cell r="Q1177" t="str">
            <v>Asignacion del instrumento financiero a las familias ocupantes del predio que hayan superado la fase de verificacion dentro  del marco del Decreto 457 de 2017. LOCALIDAD: KENNEDY; BARRIO: VEREDITAS; ID: 2017-8-383885</v>
          </cell>
          <cell r="R1177">
            <v>54686940</v>
          </cell>
          <cell r="S1177">
            <v>0</v>
          </cell>
          <cell r="T1177">
            <v>0</v>
          </cell>
          <cell r="U1177">
            <v>54686940</v>
          </cell>
          <cell r="V1177">
            <v>54686940</v>
          </cell>
        </row>
        <row r="1178">
          <cell r="J1178">
            <v>525</v>
          </cell>
          <cell r="K1178">
            <v>43132</v>
          </cell>
          <cell r="L1178" t="str">
            <v>ERIC STEVE LOPEZ PENAGOS</v>
          </cell>
          <cell r="M1178">
            <v>31</v>
          </cell>
          <cell r="N1178" t="str">
            <v>RESOLUCION</v>
          </cell>
          <cell r="O1178">
            <v>333</v>
          </cell>
          <cell r="P1178">
            <v>43132</v>
          </cell>
          <cell r="Q1178" t="str">
            <v>Asignacion del instrumento financiero a las familias ocupantes del predio que hayan superado la fase de verificacion dentro  del marco del Decreto 457 de 2017. LOCALIDAD: KENNEDY; BARRIO: VEREDITAS; ID: 2017-8-383889</v>
          </cell>
          <cell r="R1178">
            <v>54686940</v>
          </cell>
          <cell r="S1178">
            <v>0</v>
          </cell>
          <cell r="T1178">
            <v>0</v>
          </cell>
          <cell r="U1178">
            <v>54686940</v>
          </cell>
          <cell r="V1178">
            <v>54686940</v>
          </cell>
        </row>
        <row r="1179">
          <cell r="J1179">
            <v>526</v>
          </cell>
          <cell r="K1179">
            <v>43132</v>
          </cell>
          <cell r="L1179" t="str">
            <v>CAROLINA  NOPE ARIAS</v>
          </cell>
          <cell r="M1179">
            <v>31</v>
          </cell>
          <cell r="N1179" t="str">
            <v>RESOLUCION</v>
          </cell>
          <cell r="O1179">
            <v>334</v>
          </cell>
          <cell r="P1179">
            <v>43132</v>
          </cell>
          <cell r="Q1179" t="str">
            <v>Asignacion del instrumento financiero a las familias ocupantes del predio que hayan superado la fase de verificacion dentro  del marco del Decreto 457 de 2017. LOCALIDAD: KENNEDY; BARRIO: VEREDITAS; ID: 2017-8-383663</v>
          </cell>
          <cell r="R1179">
            <v>54686940</v>
          </cell>
          <cell r="S1179">
            <v>0</v>
          </cell>
          <cell r="T1179">
            <v>0</v>
          </cell>
          <cell r="U1179">
            <v>54686940</v>
          </cell>
          <cell r="V1179">
            <v>54686940</v>
          </cell>
        </row>
        <row r="1180">
          <cell r="J1180">
            <v>528</v>
          </cell>
          <cell r="K1180">
            <v>43133</v>
          </cell>
          <cell r="L1180" t="str">
            <v>SANDRA LILIANA AREVALO RAMIREZ</v>
          </cell>
          <cell r="M1180">
            <v>31</v>
          </cell>
          <cell r="N1180" t="str">
            <v>RESOLUCION</v>
          </cell>
          <cell r="O1180">
            <v>330</v>
          </cell>
          <cell r="P1180">
            <v>43133</v>
          </cell>
          <cell r="Q1180" t="str">
            <v>AYUDA TEMPORAL A LAS FAMILIAS DE VARIAS LOCALIDADES, PARA RELOCALIZACIÓN DE HOGARES LOCALIZADOS EN ZONAS DE ALTO RIESGO NO MITIGABLE ID:2011-18-13228, LOCALIDAD:18 RAFAEL URIBE URIBE, UPZ:54 MARRUECOS</v>
          </cell>
          <cell r="R1180">
            <v>5754190</v>
          </cell>
          <cell r="S1180">
            <v>0</v>
          </cell>
          <cell r="T1180">
            <v>0</v>
          </cell>
          <cell r="U1180">
            <v>5754190</v>
          </cell>
          <cell r="V1180">
            <v>3098410</v>
          </cell>
        </row>
        <row r="1181">
          <cell r="J1181">
            <v>529</v>
          </cell>
          <cell r="K1181">
            <v>43133</v>
          </cell>
          <cell r="L1181" t="str">
            <v>YOLANDA  ROJAS RIAÑO</v>
          </cell>
          <cell r="M1181">
            <v>31</v>
          </cell>
          <cell r="N1181" t="str">
            <v>RESOLUCION</v>
          </cell>
          <cell r="O1181">
            <v>323</v>
          </cell>
          <cell r="P1181">
            <v>43133</v>
          </cell>
          <cell r="Q1181" t="str">
            <v>AYUDA TEMPORAL A LAS FAMILIAS DE VARIAS LOCALIDADES, PARA RELOCALIZACIÓN DE HOGARES LOCALIZADOS EN ZONAS DE ALTO RIESGO NO MITIGABLE ID:2010-19-11706, LOCALIDAD:19 CIUDAD BOLÍVAR, UPZ:69 ISMAEL PERDOMO, SECTOR:OLA INVERNAL 2010 FOPAE</v>
          </cell>
          <cell r="R1181">
            <v>2895708</v>
          </cell>
          <cell r="S1181">
            <v>965236</v>
          </cell>
          <cell r="T1181">
            <v>0</v>
          </cell>
          <cell r="U1181">
            <v>1930472</v>
          </cell>
          <cell r="V1181">
            <v>1930472</v>
          </cell>
        </row>
        <row r="1182">
          <cell r="J1182">
            <v>530</v>
          </cell>
          <cell r="K1182">
            <v>43133</v>
          </cell>
          <cell r="L1182" t="str">
            <v>JUANA PAULA GAÑAN DE TAPASCO</v>
          </cell>
          <cell r="M1182">
            <v>31</v>
          </cell>
          <cell r="N1182" t="str">
            <v>RESOLUCION</v>
          </cell>
          <cell r="O1182">
            <v>324</v>
          </cell>
          <cell r="P1182">
            <v>43133</v>
          </cell>
          <cell r="Q1182" t="str">
            <v>AYUDA TEMPORAL A LAS FAMILIAS DE VARIAS LOCALIDADES, PARA RELOCALIZACIÓN DE HOGARES LOCALIZADOS EN ZONAS DE ALTO RIESGO NO MITIGABLE ID:2011-4-12722, LOCALIDAD:04 SAN CRISTÓBAL, UPZ:32 SAN BLAS</v>
          </cell>
          <cell r="R1182">
            <v>2281062</v>
          </cell>
          <cell r="S1182">
            <v>380177</v>
          </cell>
          <cell r="T1182">
            <v>0</v>
          </cell>
          <cell r="U1182">
            <v>1900885</v>
          </cell>
          <cell r="V1182">
            <v>1900885</v>
          </cell>
        </row>
        <row r="1183">
          <cell r="J1183">
            <v>531</v>
          </cell>
          <cell r="K1183">
            <v>43133</v>
          </cell>
          <cell r="L1183" t="str">
            <v>ANDREA ESTEFANIA GARZON VARGAS</v>
          </cell>
          <cell r="M1183">
            <v>31</v>
          </cell>
          <cell r="N1183" t="str">
            <v>RESOLUCION</v>
          </cell>
          <cell r="O1183">
            <v>157</v>
          </cell>
          <cell r="P1183">
            <v>43133</v>
          </cell>
          <cell r="Q1183" t="str">
            <v>AYUDA TEMPORAL A LAS FAMILIAS DE VARIAS LOCALIDADES, PARA RELOCALIZACIÓN DE HOGARES LOCALIZADOS EN ZONAS DE ALTO RIESGO NO MITIGABLE ID:2016-OTR-01554, LOCALIDAD:04 SAN CRISTÓBAL, UPZ:32 SAN BLAS, SECTOR:TRIANGULO ALTO</v>
          </cell>
          <cell r="R1183">
            <v>6274047</v>
          </cell>
          <cell r="S1183">
            <v>0</v>
          </cell>
          <cell r="T1183">
            <v>0</v>
          </cell>
          <cell r="U1183">
            <v>6274047</v>
          </cell>
          <cell r="V1183">
            <v>3860952</v>
          </cell>
        </row>
        <row r="1184">
          <cell r="J1184">
            <v>532</v>
          </cell>
          <cell r="K1184">
            <v>43133</v>
          </cell>
          <cell r="L1184" t="str">
            <v>MARIA IMELDA RODRIGUEZ NIETO</v>
          </cell>
          <cell r="M1184">
            <v>31</v>
          </cell>
          <cell r="N1184" t="str">
            <v>RESOLUCION</v>
          </cell>
          <cell r="O1184">
            <v>158</v>
          </cell>
          <cell r="P1184">
            <v>43133</v>
          </cell>
          <cell r="Q1184" t="str">
            <v>AYUDA TEMPORAL A LAS FAMILIAS DE VARIAS LOCALIDADES, PARA RELOCALIZACIÓN DE HOGARES LOCALIZADOS EN ZONAS DE ALTO RIESGO NO MITIGABLE ID:2010-18-12379, LOCALIDAD:18 RAFAEL URIBE URIBE, UPZ:54 MARRUECOS, SECTOR:OLA INVERNAL 2010 FOPAE</v>
          </cell>
          <cell r="R1184">
            <v>2977345</v>
          </cell>
          <cell r="S1184">
            <v>425335</v>
          </cell>
          <cell r="T1184">
            <v>0</v>
          </cell>
          <cell r="U1184">
            <v>2552010</v>
          </cell>
          <cell r="V1184">
            <v>2552010</v>
          </cell>
        </row>
        <row r="1185">
          <cell r="J1185">
            <v>533</v>
          </cell>
          <cell r="K1185">
            <v>43133</v>
          </cell>
          <cell r="L1185" t="str">
            <v>GERMAN RICARDO DIAZ SILVA</v>
          </cell>
          <cell r="M1185">
            <v>31</v>
          </cell>
          <cell r="N1185" t="str">
            <v>RESOLUCION</v>
          </cell>
          <cell r="O1185">
            <v>515</v>
          </cell>
          <cell r="P1185">
            <v>43133</v>
          </cell>
          <cell r="Q1185" t="str">
            <v>Asignacion del instrumento financiero a las familias ocupantes del predio que hayan superado la fase de verificacion dentro  del marco del Decreto 457 de 2017. LOCALIDAD: KENNEDY; BARRIO: VEREDITAS; ID: 2017-8-383898</v>
          </cell>
          <cell r="R1185">
            <v>54686940</v>
          </cell>
          <cell r="S1185">
            <v>0</v>
          </cell>
          <cell r="T1185">
            <v>0</v>
          </cell>
          <cell r="U1185">
            <v>54686940</v>
          </cell>
          <cell r="V1185">
            <v>54686940</v>
          </cell>
        </row>
        <row r="1186">
          <cell r="J1186">
            <v>534</v>
          </cell>
          <cell r="K1186">
            <v>43133</v>
          </cell>
          <cell r="L1186" t="str">
            <v>DIANA MARCELA PARRA RAMIREZ</v>
          </cell>
          <cell r="M1186">
            <v>31</v>
          </cell>
          <cell r="N1186" t="str">
            <v>RESOLUCION</v>
          </cell>
          <cell r="O1186">
            <v>159</v>
          </cell>
          <cell r="P1186">
            <v>43133</v>
          </cell>
          <cell r="Q1186" t="str">
            <v>AYUDA TEMPORAL A LAS FAMILIAS DE VARIAS LOCALIDADES, PARA RELOCALIZACIÓN DE HOGARES LOCALIZADOS EN ZONAS DE ALTO RIESGO NO MITIGABLE ID:2011-19-12599, LOCALIDAD:19 CIUDAD BOLÍVAR, UPZ:67 LUCERO</v>
          </cell>
          <cell r="R1186">
            <v>3098410</v>
          </cell>
          <cell r="S1186">
            <v>885260</v>
          </cell>
          <cell r="T1186">
            <v>0</v>
          </cell>
          <cell r="U1186">
            <v>2213150</v>
          </cell>
          <cell r="V1186">
            <v>2213150</v>
          </cell>
        </row>
        <row r="1187">
          <cell r="J1187">
            <v>535</v>
          </cell>
          <cell r="K1187">
            <v>43133</v>
          </cell>
          <cell r="L1187" t="str">
            <v>MATEO  GONZALEZ MARTINEZ</v>
          </cell>
          <cell r="M1187">
            <v>31</v>
          </cell>
          <cell r="N1187" t="str">
            <v>RESOLUCION</v>
          </cell>
          <cell r="O1187">
            <v>160</v>
          </cell>
          <cell r="P1187">
            <v>43133</v>
          </cell>
          <cell r="Q1187" t="str">
            <v>AYUDA TEMPORAL A LAS FAMILIAS DE VARIAS LOCALIDADES, PARA RELOCALIZACIÓN DE HOGARES LOCALIZADOS EN ZONAS DE ALTO RIESGO NO MITIGABLE ID:2014-Q03-01020, LOCALIDAD:19 CIUDAD BOLÍVAR, UPZ:66 SAN FRANCISCO, SECTOR:LIMAS</v>
          </cell>
          <cell r="R1187">
            <v>2886555</v>
          </cell>
          <cell r="S1187">
            <v>412365</v>
          </cell>
          <cell r="T1187">
            <v>0</v>
          </cell>
          <cell r="U1187">
            <v>2474190</v>
          </cell>
          <cell r="V1187">
            <v>2474190</v>
          </cell>
        </row>
        <row r="1188">
          <cell r="J1188">
            <v>536</v>
          </cell>
          <cell r="K1188">
            <v>43133</v>
          </cell>
          <cell r="L1188" t="str">
            <v>MARIA JUDITH MORENO PUENTES</v>
          </cell>
          <cell r="M1188">
            <v>31</v>
          </cell>
          <cell r="N1188" t="str">
            <v>RESOLUCION</v>
          </cell>
          <cell r="O1188">
            <v>161</v>
          </cell>
          <cell r="P1188">
            <v>43133</v>
          </cell>
          <cell r="Q1188" t="str">
            <v>AYUDA TEMPORAL A LAS FAMILIAS DE VARIAS LOCALIDADES, PARA RELOCALIZACIÓN DE HOGARES LOCALIZADOS EN ZONAS DE ALTO RIESGO NO MITIGABLE ID:2013-Q04-00325, LOCALIDAD:19 CIUDAD BOLÍVAR, UPZ:67 LUCERO, SECTOR:QUEBRADA TROMPETA</v>
          </cell>
          <cell r="R1188">
            <v>2685291</v>
          </cell>
          <cell r="S1188">
            <v>767226</v>
          </cell>
          <cell r="T1188">
            <v>0</v>
          </cell>
          <cell r="U1188">
            <v>1918065</v>
          </cell>
          <cell r="V1188">
            <v>1918065</v>
          </cell>
        </row>
        <row r="1189">
          <cell r="J1189">
            <v>537</v>
          </cell>
          <cell r="K1189">
            <v>43133</v>
          </cell>
          <cell r="L1189" t="str">
            <v>JAIRO FELIPE ACOSTA MONTOYA</v>
          </cell>
          <cell r="M1189">
            <v>31</v>
          </cell>
          <cell r="N1189" t="str">
            <v>RESOLUCION</v>
          </cell>
          <cell r="O1189">
            <v>162</v>
          </cell>
          <cell r="P1189">
            <v>43133</v>
          </cell>
          <cell r="Q1189" t="str">
            <v>AYUDA TEMPORAL A LAS FAMILIAS DE VARIAS LOCALIDADES, PARA RELOCALIZACIÓN DE HOGARES LOCALIZADOS EN ZONAS DE ALTO RIESGO NO MITIGABLE ID:2011-18-13190, LOCALIDAD:18 RAFAEL URIBE URIBE, UPZ:55 DIANA TURBAY</v>
          </cell>
          <cell r="R1189">
            <v>2582006</v>
          </cell>
          <cell r="S1189">
            <v>0</v>
          </cell>
          <cell r="T1189">
            <v>0</v>
          </cell>
          <cell r="U1189">
            <v>2582006</v>
          </cell>
          <cell r="V1189">
            <v>1475432</v>
          </cell>
        </row>
        <row r="1190">
          <cell r="J1190">
            <v>538</v>
          </cell>
          <cell r="K1190">
            <v>43133</v>
          </cell>
          <cell r="L1190" t="str">
            <v>ELVIA MARIA GALINDO PAEZ</v>
          </cell>
          <cell r="M1190">
            <v>31</v>
          </cell>
          <cell r="N1190" t="str">
            <v>RESOLUCION</v>
          </cell>
          <cell r="O1190">
            <v>163</v>
          </cell>
          <cell r="P1190">
            <v>43133</v>
          </cell>
          <cell r="Q1190" t="str">
            <v>AYUDA TEMPORAL A LAS FAMILIAS DE VARIAS LOCALIDADES, PARA RELOCALIZACIÓN DE HOGARES LOCALIZADOS EN ZONAS DE ALTO RIESGO NO MITIGABLE ID:2011-4-13624, LOCALIDAD:04 SAN CRISTÓBAL, UPZ:50 LA GLORIA</v>
          </cell>
          <cell r="R1190">
            <v>5057910</v>
          </cell>
          <cell r="S1190">
            <v>0</v>
          </cell>
          <cell r="T1190">
            <v>0</v>
          </cell>
          <cell r="U1190">
            <v>5057910</v>
          </cell>
          <cell r="V1190">
            <v>3112560</v>
          </cell>
        </row>
        <row r="1191">
          <cell r="J1191">
            <v>539</v>
          </cell>
          <cell r="K1191">
            <v>43133</v>
          </cell>
          <cell r="L1191" t="str">
            <v>RAMIRO  LEON PEREZ</v>
          </cell>
          <cell r="M1191">
            <v>31</v>
          </cell>
          <cell r="N1191" t="str">
            <v>RESOLUCION</v>
          </cell>
          <cell r="O1191">
            <v>329</v>
          </cell>
          <cell r="P1191">
            <v>43133</v>
          </cell>
          <cell r="Q1191" t="str">
            <v>AYUDA TEMPORAL A LAS FAMILIAS DE VARIAS LOCALIDADES, PARA RELOCALIZACIÓN DE HOGARES LOCALIZADOS EN ZONAS DE ALTO RIESGO NO MITIGABLE ID:2011-4-12692, LOCALIDAD:04 SAN CRISTÓBAL, UPZ:32 SAN BLAS</v>
          </cell>
          <cell r="R1191">
            <v>2213148</v>
          </cell>
          <cell r="S1191">
            <v>368858</v>
          </cell>
          <cell r="T1191">
            <v>0</v>
          </cell>
          <cell r="U1191">
            <v>1844290</v>
          </cell>
          <cell r="V1191">
            <v>1844290</v>
          </cell>
        </row>
        <row r="1192">
          <cell r="J1192">
            <v>540</v>
          </cell>
          <cell r="K1192">
            <v>43133</v>
          </cell>
          <cell r="L1192" t="str">
            <v>MARIA BERENICE LIZARAZO CARREÑO</v>
          </cell>
          <cell r="M1192">
            <v>31</v>
          </cell>
          <cell r="N1192" t="str">
            <v>RESOLUCION</v>
          </cell>
          <cell r="O1192">
            <v>164</v>
          </cell>
          <cell r="P1192">
            <v>43133</v>
          </cell>
          <cell r="Q1192" t="str">
            <v>AYUDA TEMPORAL A LAS FAMILIAS DE VARIAS LOCALIDADES, PARA RELOCALIZACIÓN DE HOGARES LOCALIZADOS EN ZONAS DE ALTO RIESGO NO MITIGABLE ID:2005-18-6303, LOCALIDAD:18 RAFAEL URIBE URIBE, UPZ:55 DIANA TURBAY</v>
          </cell>
          <cell r="R1192">
            <v>3570210</v>
          </cell>
          <cell r="S1192">
            <v>0</v>
          </cell>
          <cell r="T1192">
            <v>0</v>
          </cell>
          <cell r="U1192">
            <v>3570210</v>
          </cell>
          <cell r="V1192">
            <v>1020060</v>
          </cell>
        </row>
        <row r="1193">
          <cell r="J1193">
            <v>541</v>
          </cell>
          <cell r="K1193">
            <v>43133</v>
          </cell>
          <cell r="L1193" t="str">
            <v>EDNA LICED CAPERA SERRANO</v>
          </cell>
          <cell r="M1193">
            <v>31</v>
          </cell>
          <cell r="N1193" t="str">
            <v>RESOLUCION</v>
          </cell>
          <cell r="O1193">
            <v>327</v>
          </cell>
          <cell r="P1193">
            <v>43133</v>
          </cell>
          <cell r="Q1193" t="str">
            <v>AYUDA TEMPORAL A LAS FAMILIAS DE VARIAS LOCALIDADES, PARA RELOCALIZACIÓN DE HOGARES LOCALIZADOS EN ZONAS DE ALTO RIESGO NO MITIGABLE ID:2016-08-14900, LOCALIDAD:08 KENNEDY, UPZ:82 PATIO BONITO, SECTOR:PALMITAS</v>
          </cell>
          <cell r="R1193">
            <v>3614814</v>
          </cell>
          <cell r="S1193">
            <v>516402</v>
          </cell>
          <cell r="T1193">
            <v>0</v>
          </cell>
          <cell r="U1193">
            <v>3098412</v>
          </cell>
          <cell r="V1193">
            <v>3098412</v>
          </cell>
        </row>
        <row r="1194">
          <cell r="J1194">
            <v>543</v>
          </cell>
          <cell r="K1194">
            <v>43133</v>
          </cell>
          <cell r="L1194" t="str">
            <v>OLGA PATRICIA ZAMORA SALAMANCA</v>
          </cell>
          <cell r="M1194">
            <v>31</v>
          </cell>
          <cell r="N1194" t="str">
            <v>RESOLUCION</v>
          </cell>
          <cell r="O1194">
            <v>165</v>
          </cell>
          <cell r="P1194">
            <v>43133</v>
          </cell>
          <cell r="Q1194" t="str">
            <v>AYUDA TEMPORAL A LAS FAMILIAS DE VARIAS LOCALIDADES, PARA RELOCALIZACIÓN DE HOGARES LOCALIZADOS EN ZONAS DE ALTO RIESGO NO MITIGABLE ID:2006-4-7956, LOCALIDAD:04 SAN CRISTÓBAL, UPZ:32 SAN BLAS</v>
          </cell>
          <cell r="R1194">
            <v>2582006</v>
          </cell>
          <cell r="S1194">
            <v>368858</v>
          </cell>
          <cell r="T1194">
            <v>0</v>
          </cell>
          <cell r="U1194">
            <v>2213148</v>
          </cell>
          <cell r="V1194">
            <v>2213148</v>
          </cell>
        </row>
        <row r="1195">
          <cell r="J1195">
            <v>544</v>
          </cell>
          <cell r="K1195">
            <v>43133</v>
          </cell>
          <cell r="L1195" t="str">
            <v>JESUS EMILIO ORDOÑEZ BRAVO</v>
          </cell>
          <cell r="M1195">
            <v>31</v>
          </cell>
          <cell r="N1195" t="str">
            <v>RESOLUCION</v>
          </cell>
          <cell r="O1195">
            <v>328</v>
          </cell>
          <cell r="P1195">
            <v>43133</v>
          </cell>
          <cell r="Q1195" t="str">
            <v>AYUDA TEMPORAL A LAS FAMILIAS DE VARIAS LOCALIDADES, PARA RELOCALIZACIÓN DE HOGARES LOCALIZADOS EN ZONAS DE ALTO RIESGO NO MITIGABLE ID:2013-Q09-00470, LOCALIDAD:19 CIUDAD BOLÍVAR, UPZ:67 LUCERO, SECTOR:QUEBRADA TROMPETA</v>
          </cell>
          <cell r="R1195">
            <v>5361707</v>
          </cell>
          <cell r="S1195">
            <v>0</v>
          </cell>
          <cell r="T1195">
            <v>0</v>
          </cell>
          <cell r="U1195">
            <v>5361707</v>
          </cell>
          <cell r="V1195">
            <v>3299512</v>
          </cell>
        </row>
        <row r="1196">
          <cell r="J1196">
            <v>545</v>
          </cell>
          <cell r="K1196">
            <v>43133</v>
          </cell>
          <cell r="L1196" t="str">
            <v>YENIFER GABRIELA ORJUELA PACHECO</v>
          </cell>
          <cell r="M1196">
            <v>31</v>
          </cell>
          <cell r="N1196" t="str">
            <v>RESOLUCION</v>
          </cell>
          <cell r="O1196">
            <v>166</v>
          </cell>
          <cell r="P1196">
            <v>43133</v>
          </cell>
          <cell r="Q1196" t="str">
            <v>AYUDA TEMPORAL A LAS FAMILIAS DE VARIAS LOCALIDADES, PARA RELOCALIZACIÓN DE HOGARES LOCALIZADOS EN ZONAS DE ALTO RIESGO NO MITIGABLE ID:2016-08-14912, LOCALIDAD:08 KENNEDY, UPZ:82 PATIO BONITO, SECTOR:PALMITAS</v>
          </cell>
          <cell r="R1196">
            <v>5466487</v>
          </cell>
          <cell r="S1196">
            <v>0</v>
          </cell>
          <cell r="T1196">
            <v>0</v>
          </cell>
          <cell r="U1196">
            <v>5466487</v>
          </cell>
          <cell r="V1196">
            <v>3363992</v>
          </cell>
        </row>
        <row r="1197">
          <cell r="J1197">
            <v>547</v>
          </cell>
          <cell r="K1197">
            <v>43133</v>
          </cell>
          <cell r="L1197" t="str">
            <v>LUZ ADRIANA TUNJUELO NIEVES</v>
          </cell>
          <cell r="M1197">
            <v>31</v>
          </cell>
          <cell r="N1197" t="str">
            <v>RESOLUCION</v>
          </cell>
          <cell r="O1197">
            <v>167</v>
          </cell>
          <cell r="P1197">
            <v>43133</v>
          </cell>
          <cell r="Q1197" t="str">
            <v>AYUDA TEMPORAL A LAS FAMILIAS DE VARIAS LOCALIDADES, PARA RELOCALIZACIÓN DE HOGARES LOCALIZADOS EN ZONAS DE ALTO RIESGO NO MITIGABLE ID:2012-ALES-328, LOCALIDAD:19 CIUDAD BOLÍVAR, UPZ:69 ISMAEL PERDOMO, SECTOR:ALTOS DE LA ESTANCIA</v>
          </cell>
          <cell r="R1197">
            <v>3218670</v>
          </cell>
          <cell r="S1197">
            <v>459810</v>
          </cell>
          <cell r="T1197">
            <v>0</v>
          </cell>
          <cell r="U1197">
            <v>2758860</v>
          </cell>
          <cell r="V1197">
            <v>2758860</v>
          </cell>
        </row>
        <row r="1198">
          <cell r="J1198">
            <v>548</v>
          </cell>
          <cell r="K1198">
            <v>43133</v>
          </cell>
          <cell r="L1198" t="str">
            <v>MARIA ADIELA GIRALDO VALENCIA</v>
          </cell>
          <cell r="M1198">
            <v>31</v>
          </cell>
          <cell r="N1198" t="str">
            <v>RESOLUCION</v>
          </cell>
          <cell r="O1198">
            <v>223</v>
          </cell>
          <cell r="P1198">
            <v>43133</v>
          </cell>
          <cell r="Q1198" t="str">
            <v>AYUDA TEMPORAL A LAS FAMILIAS DE VARIAS LOCALIDADES, PARA RELOCALIZACIÓN DE HOGARES LOCALIZADOS EN ZONAS DE ALTO RIESGO NO MITIGABLE ID:2013000164, LOCALIDAD:19 CIUDAD BOLÍVAR, UPZ:67 LUCERO, SECTOR:QUEBRADA TROMPETA</v>
          </cell>
          <cell r="R1198">
            <v>5274672</v>
          </cell>
          <cell r="S1198">
            <v>4057440</v>
          </cell>
          <cell r="T1198">
            <v>0</v>
          </cell>
          <cell r="U1198">
            <v>1217232</v>
          </cell>
          <cell r="V1198">
            <v>1217232</v>
          </cell>
        </row>
        <row r="1199">
          <cell r="J1199">
            <v>549</v>
          </cell>
          <cell r="K1199">
            <v>43133</v>
          </cell>
          <cell r="L1199" t="str">
            <v>ROSENDO  SANCHEZ</v>
          </cell>
          <cell r="M1199">
            <v>31</v>
          </cell>
          <cell r="N1199" t="str">
            <v>RESOLUCION</v>
          </cell>
          <cell r="O1199">
            <v>224</v>
          </cell>
          <cell r="P1199">
            <v>43133</v>
          </cell>
          <cell r="Q1199" t="str">
            <v>AYUDA TEMPORAL A LAS FAMILIAS DE VARIAS LOCALIDADES, PARA RELOCALIZACIÓN DE HOGARES LOCALIZADOS EN ZONAS DE ALTO RIESGO NO MITIGABLE ID:2017-18-14937, LOCALIDAD:18 RAFAEL URIBE URIBE, UPZ:54 MARRUECOS</v>
          </cell>
          <cell r="R1199">
            <v>6233708</v>
          </cell>
          <cell r="S1199">
            <v>0</v>
          </cell>
          <cell r="T1199">
            <v>0</v>
          </cell>
          <cell r="U1199">
            <v>6233708</v>
          </cell>
          <cell r="V1199">
            <v>3836128</v>
          </cell>
        </row>
        <row r="1200">
          <cell r="J1200">
            <v>552</v>
          </cell>
          <cell r="K1200">
            <v>43133</v>
          </cell>
          <cell r="L1200" t="str">
            <v>MARIA EMILSE PATIÑO</v>
          </cell>
          <cell r="M1200">
            <v>31</v>
          </cell>
          <cell r="N1200" t="str">
            <v>RESOLUCION</v>
          </cell>
          <cell r="O1200">
            <v>168</v>
          </cell>
          <cell r="P1200">
            <v>43133</v>
          </cell>
          <cell r="Q1200" t="str">
            <v>AYUDA TEMPORAL A LAS FAMILIAS DE VARIAS LOCALIDADES, PARA RELOCALIZACIÓN DE HOGARES LOCALIZADOS EN ZONAS DE ALTO RIESGO NO MITIGABLE ID:2013-Q09-00467, LOCALIDAD:19 CIUDAD BOLÍVAR, UPZ:67 LUCERO, SECTOR:QUEBRADA TROMPETA</v>
          </cell>
          <cell r="R1200">
            <v>6431698</v>
          </cell>
          <cell r="S1200">
            <v>0</v>
          </cell>
          <cell r="T1200">
            <v>0</v>
          </cell>
          <cell r="U1200">
            <v>6431698</v>
          </cell>
          <cell r="V1200">
            <v>3957968</v>
          </cell>
        </row>
        <row r="1201">
          <cell r="J1201">
            <v>553</v>
          </cell>
          <cell r="K1201">
            <v>43133</v>
          </cell>
          <cell r="L1201" t="str">
            <v>JHONI  RIVERA PELAEZ</v>
          </cell>
          <cell r="M1201">
            <v>31</v>
          </cell>
          <cell r="N1201" t="str">
            <v>RESOLUCION</v>
          </cell>
          <cell r="O1201">
            <v>169</v>
          </cell>
          <cell r="P1201">
            <v>43133</v>
          </cell>
          <cell r="Q1201" t="str">
            <v>AYUDA TEMPORAL A LAS FAMILIAS DE VARIAS LOCALIDADES, PARA RELOCALIZACIÓN DE HOGARES LOCALIZADOS EN ZONAS DE ALTO RIESGO NO MITIGABLE ID:2016-08-14779, LOCALIDAD:08 KENNEDY, UPZ:82 PATIO BONITO, SECTOR:PALMITAS</v>
          </cell>
          <cell r="R1201">
            <v>5946005</v>
          </cell>
          <cell r="S1201">
            <v>4573850</v>
          </cell>
          <cell r="T1201">
            <v>0</v>
          </cell>
          <cell r="U1201">
            <v>1372155</v>
          </cell>
          <cell r="V1201">
            <v>1372155</v>
          </cell>
        </row>
        <row r="1202">
          <cell r="J1202">
            <v>554</v>
          </cell>
          <cell r="K1202">
            <v>43133</v>
          </cell>
          <cell r="L1202" t="str">
            <v>BLANCA CECILIA TORRES RISCANEVO</v>
          </cell>
          <cell r="M1202">
            <v>31</v>
          </cell>
          <cell r="N1202" t="str">
            <v>RESOLUCION</v>
          </cell>
          <cell r="O1202">
            <v>225</v>
          </cell>
          <cell r="P1202">
            <v>43133</v>
          </cell>
          <cell r="Q1202" t="str">
            <v>AYUDA TEMPORAL A LAS FAMILIAS DE VARIAS LOCALIDADES, PARA RELOCALIZACIÓN DE HOGARES LOCALIZADOS EN ZONAS DE ALTO RIESGO NO MITIGABLE ID:2016-08-14882, LOCALIDAD:08 KENNEDY, UPZ:82 PATIO BONITO, SECTOR:PALMITAS</v>
          </cell>
          <cell r="R1202">
            <v>6019776</v>
          </cell>
          <cell r="S1202">
            <v>0</v>
          </cell>
          <cell r="T1202">
            <v>0</v>
          </cell>
          <cell r="U1202">
            <v>6019776</v>
          </cell>
          <cell r="V1202">
            <v>3511536</v>
          </cell>
        </row>
        <row r="1203">
          <cell r="J1203">
            <v>555</v>
          </cell>
          <cell r="K1203">
            <v>43133</v>
          </cell>
          <cell r="L1203" t="str">
            <v>JOSE DANILO CIFUENTES</v>
          </cell>
          <cell r="M1203">
            <v>31</v>
          </cell>
          <cell r="N1203" t="str">
            <v>RESOLUCION</v>
          </cell>
          <cell r="O1203">
            <v>226</v>
          </cell>
          <cell r="P1203">
            <v>43133</v>
          </cell>
          <cell r="Q1203" t="str">
            <v>AYUDA TEMPORAL A LAS FAMILIAS DE VARIAS LOCALIDADES, PARA RELOCALIZACIÓN DE HOGARES LOCALIZADOS EN ZONAS DE ALTO RIESGO NO MITIGABLE ID:2012-19-13911, LOCALIDAD:19 CIUDAD BOLÍVAR, UPZ:67 LUCERO</v>
          </cell>
          <cell r="R1203">
            <v>2582006</v>
          </cell>
          <cell r="S1203">
            <v>0</v>
          </cell>
          <cell r="T1203">
            <v>0</v>
          </cell>
          <cell r="U1203">
            <v>2582006</v>
          </cell>
          <cell r="V1203">
            <v>1844290</v>
          </cell>
        </row>
        <row r="1204">
          <cell r="J1204">
            <v>556</v>
          </cell>
          <cell r="K1204">
            <v>43133</v>
          </cell>
          <cell r="L1204" t="str">
            <v>JUAN CRISOSTOMO MACETO RAYO</v>
          </cell>
          <cell r="M1204">
            <v>31</v>
          </cell>
          <cell r="N1204" t="str">
            <v>RESOLUCION</v>
          </cell>
          <cell r="O1204">
            <v>227</v>
          </cell>
          <cell r="P1204">
            <v>43133</v>
          </cell>
          <cell r="Q1204" t="str">
            <v>AYUDA TEMPORAL A LAS FAMILIAS DE VARIAS LOCALIDADES, PARA RELOCALIZACIÓN DE HOGARES LOCALIZADOS EN ZONAS DE ALTO RIESGO NO MITIGABLE ID:2015-D227-00022, LOCALIDAD:04 SAN CRISTÓBAL, UPZ:51 LOS LIBERTADORES, SECTOR:SANTA TERESITA</v>
          </cell>
          <cell r="R1204">
            <v>2661239</v>
          </cell>
          <cell r="S1204">
            <v>380177</v>
          </cell>
          <cell r="T1204">
            <v>0</v>
          </cell>
          <cell r="U1204">
            <v>2281062</v>
          </cell>
          <cell r="V1204">
            <v>2281062</v>
          </cell>
        </row>
        <row r="1205">
          <cell r="J1205">
            <v>557</v>
          </cell>
          <cell r="K1205">
            <v>43133</v>
          </cell>
          <cell r="L1205" t="str">
            <v>ORFA MARIA MURCIA GUZMAN</v>
          </cell>
          <cell r="M1205">
            <v>31</v>
          </cell>
          <cell r="N1205" t="str">
            <v>RESOLUCION</v>
          </cell>
          <cell r="O1205">
            <v>228</v>
          </cell>
          <cell r="P1205">
            <v>43133</v>
          </cell>
          <cell r="Q1205" t="str">
            <v>AYUDA TEMPORAL A LAS FAMILIAS DE VARIAS LOCALIDADES, PARA RELOCALIZACIÓN DE HOGARES LOCALIZADOS EN ZONAS DE ALTO RIESGO NO MITIGABLE ID:2013-Q21-00634, LOCALIDAD:19 CIUDAD BOLÍVAR, UPZ:67 LUCERO, SECTOR:BRAZO DERECHO DE LIMAS</v>
          </cell>
          <cell r="R1205">
            <v>2390202</v>
          </cell>
          <cell r="S1205">
            <v>398367</v>
          </cell>
          <cell r="T1205">
            <v>0</v>
          </cell>
          <cell r="U1205">
            <v>1991835</v>
          </cell>
          <cell r="V1205">
            <v>1991835</v>
          </cell>
        </row>
        <row r="1206">
          <cell r="J1206">
            <v>558</v>
          </cell>
          <cell r="K1206">
            <v>43133</v>
          </cell>
          <cell r="L1206" t="str">
            <v>DIEGO FERNANDO MORENO CRUZ</v>
          </cell>
          <cell r="M1206">
            <v>31</v>
          </cell>
          <cell r="N1206" t="str">
            <v>RESOLUCION</v>
          </cell>
          <cell r="O1206">
            <v>229</v>
          </cell>
          <cell r="P1206">
            <v>43102</v>
          </cell>
          <cell r="Q1206" t="str">
            <v>AYUDA TEMPORAL A LAS FAMILIAS DE VARIAS LOCALIDADES, PARA RELOCALIZACIÓN DE HOGARES LOCALIZADOS EN ZONAS DE ALTO RIESGO NO MITIGABLE ID:2012-ALES-1, LOCALIDAD:19 CIUDAD BOLÍVAR, UPZ:69 ISMAEL PERDOMO, SECTOR:ALTOS DE LA ESTANCIA</v>
          </cell>
          <cell r="R1206">
            <v>7000929</v>
          </cell>
          <cell r="S1206">
            <v>0</v>
          </cell>
          <cell r="T1206">
            <v>0</v>
          </cell>
          <cell r="U1206">
            <v>7000929</v>
          </cell>
          <cell r="V1206">
            <v>4308264</v>
          </cell>
        </row>
        <row r="1207">
          <cell r="J1207">
            <v>559</v>
          </cell>
          <cell r="K1207">
            <v>43133</v>
          </cell>
          <cell r="L1207" t="str">
            <v>GINA CAROLINA CACERES MONTOYA</v>
          </cell>
          <cell r="M1207">
            <v>31</v>
          </cell>
          <cell r="N1207" t="str">
            <v>RESOLUCION</v>
          </cell>
          <cell r="O1207">
            <v>230</v>
          </cell>
          <cell r="P1207">
            <v>43133</v>
          </cell>
          <cell r="Q1207" t="str">
            <v>AYUDA TEMPORAL A LAS FAMILIAS DE VARIAS LOCALIDADES, PARA RELOCALIZACIÓN DE HOGARES LOCALIZADOS EN ZONAS DE ALTO RIESGO NO MITIGABLE ID:2005-18-7380, LOCALIDAD:18 RAFAEL URIBE URIBE, UPZ:55 DIANA TURBAY</v>
          </cell>
          <cell r="R1207">
            <v>6246240</v>
          </cell>
          <cell r="S1207">
            <v>0</v>
          </cell>
          <cell r="T1207">
            <v>0</v>
          </cell>
          <cell r="U1207">
            <v>6246240</v>
          </cell>
          <cell r="V1207">
            <v>3843840</v>
          </cell>
        </row>
        <row r="1208">
          <cell r="J1208">
            <v>560</v>
          </cell>
          <cell r="K1208">
            <v>43133</v>
          </cell>
          <cell r="L1208" t="str">
            <v>DARLEY  BERMUDEZ RODRIGUEZ</v>
          </cell>
          <cell r="M1208">
            <v>31</v>
          </cell>
          <cell r="N1208" t="str">
            <v>RESOLUCION</v>
          </cell>
          <cell r="O1208">
            <v>231</v>
          </cell>
          <cell r="P1208">
            <v>43133</v>
          </cell>
          <cell r="Q1208" t="str">
            <v>AYUDA TEMPORAL A LAS FAMILIAS DE VARIAS LOCALIDADES, PARA RELOCALIZACIÓN DE HOGARES LOCALIZADOS EN ZONAS DE ALTO RIESGO NO MITIGABLE ID:2012-19-13891, LOCALIDAD:19 CIUDAD BOLÍVAR, UPZ:67 LUCERO</v>
          </cell>
          <cell r="R1208">
            <v>3360280</v>
          </cell>
          <cell r="S1208">
            <v>0</v>
          </cell>
          <cell r="T1208">
            <v>0</v>
          </cell>
          <cell r="U1208">
            <v>3360280</v>
          </cell>
          <cell r="V1208">
            <v>1920160</v>
          </cell>
        </row>
        <row r="1209">
          <cell r="J1209">
            <v>561</v>
          </cell>
          <cell r="K1209">
            <v>43133</v>
          </cell>
          <cell r="L1209" t="str">
            <v>MARIEN EVELU COLORADO RODRIGUEZ</v>
          </cell>
          <cell r="M1209">
            <v>31</v>
          </cell>
          <cell r="N1209" t="str">
            <v>RESOLUCION</v>
          </cell>
          <cell r="O1209">
            <v>232</v>
          </cell>
          <cell r="P1209">
            <v>43133</v>
          </cell>
          <cell r="Q1209" t="str">
            <v>AYUDA TEMPORAL A LAS FAMILIAS DE VARIAS LOCALIDADES, PARA RELOCALIZACIÓN DE HOGARES LOCALIZADOS EN ZONAS DE ALTO RIESGO NO MITIGABLE ID:2016-08-14901, LOCALIDAD:08 KENNEDY, UPZ:82 PATIO BONITO, SECTOR:PALMITAS</v>
          </cell>
          <cell r="R1209">
            <v>6713226</v>
          </cell>
          <cell r="S1209">
            <v>0</v>
          </cell>
          <cell r="T1209">
            <v>0</v>
          </cell>
          <cell r="U1209">
            <v>6713226</v>
          </cell>
          <cell r="V1209">
            <v>4131216</v>
          </cell>
        </row>
        <row r="1210">
          <cell r="J1210">
            <v>562</v>
          </cell>
          <cell r="K1210">
            <v>43133</v>
          </cell>
          <cell r="L1210" t="str">
            <v>EDGAR HUMBERTO GUTIERREZ RAMIREZ</v>
          </cell>
          <cell r="M1210">
            <v>31</v>
          </cell>
          <cell r="N1210" t="str">
            <v>RESOLUCION</v>
          </cell>
          <cell r="O1210">
            <v>233</v>
          </cell>
          <cell r="P1210">
            <v>43133</v>
          </cell>
          <cell r="Q1210" t="str">
            <v>AYUDA TEMPORAL A LAS FAMILIAS DE VARIAS LOCALIDADES, PARA RELOCALIZACIÓN DE HOGARES LOCALIZADOS EN ZONAS DE ALTO RIESGO NO MITIGABLE ID:2015-W166-501, LOCALIDAD:03 SANTA FE, UPZ:95 LAS CRUCES, SECTOR:UITOTO</v>
          </cell>
          <cell r="R1210">
            <v>7539090</v>
          </cell>
          <cell r="S1210">
            <v>0</v>
          </cell>
          <cell r="T1210">
            <v>0</v>
          </cell>
          <cell r="U1210">
            <v>7539090</v>
          </cell>
          <cell r="V1210">
            <v>4639440</v>
          </cell>
        </row>
        <row r="1211">
          <cell r="J1211">
            <v>563</v>
          </cell>
          <cell r="K1211">
            <v>43133</v>
          </cell>
          <cell r="L1211" t="str">
            <v>JORGE MANUEL MARTINEZ ECHEVERRY</v>
          </cell>
          <cell r="M1211">
            <v>31</v>
          </cell>
          <cell r="N1211" t="str">
            <v>RESOLUCION</v>
          </cell>
          <cell r="O1211">
            <v>234</v>
          </cell>
          <cell r="P1211">
            <v>43133</v>
          </cell>
          <cell r="Q1211" t="str">
            <v>AYUDA TEMPORAL A LAS FAMILIAS DE VARIAS LOCALIDADES, PARA RELOCALIZACIÓN DE HOGARES LOCALIZADOS EN ZONAS DE ALTO RIESGO NO MITIGABLE ID:2017-08-14935, LOCALIDAD:08 KENNEDY, UPZ:82 PATIO BONITO, SECTOR:PALMITAS</v>
          </cell>
          <cell r="R1211">
            <v>5178771</v>
          </cell>
          <cell r="S1211">
            <v>4382037</v>
          </cell>
          <cell r="T1211">
            <v>0</v>
          </cell>
          <cell r="U1211">
            <v>796734</v>
          </cell>
          <cell r="V1211">
            <v>796734</v>
          </cell>
        </row>
        <row r="1212">
          <cell r="J1212">
            <v>564</v>
          </cell>
          <cell r="K1212">
            <v>43133</v>
          </cell>
          <cell r="L1212" t="str">
            <v>MARTIN ANTONIO ALVAREZ POSADA</v>
          </cell>
          <cell r="M1212">
            <v>31</v>
          </cell>
          <cell r="N1212" t="str">
            <v>RESOLUCION</v>
          </cell>
          <cell r="O1212">
            <v>235</v>
          </cell>
          <cell r="P1212">
            <v>43133</v>
          </cell>
          <cell r="Q1212" t="str">
            <v>AYUDA TEMPORAL A LAS FAMILIAS DE VARIAS LOCALIDADES, PARA RELOCALIZACIÓN DE HOGARES LOCALIZADOS EN ZONAS DE ALTO RIESGO NO MITIGABLE ID:2016-08-14873, LOCALIDAD:08 KENNEDY, UPZ:82 PATIO BONITO, SECTOR:PALMITAS</v>
          </cell>
          <cell r="R1212">
            <v>6233708</v>
          </cell>
          <cell r="S1212">
            <v>4795160</v>
          </cell>
          <cell r="T1212">
            <v>0</v>
          </cell>
          <cell r="U1212">
            <v>1438548</v>
          </cell>
          <cell r="V1212">
            <v>1438548</v>
          </cell>
        </row>
        <row r="1213">
          <cell r="J1213">
            <v>565</v>
          </cell>
          <cell r="K1213">
            <v>43133</v>
          </cell>
          <cell r="L1213" t="str">
            <v>MARLEN ROCIO BELLO SUAREZ</v>
          </cell>
          <cell r="M1213">
            <v>31</v>
          </cell>
          <cell r="N1213" t="str">
            <v>RESOLUCION</v>
          </cell>
          <cell r="O1213">
            <v>236</v>
          </cell>
          <cell r="P1213">
            <v>43133</v>
          </cell>
          <cell r="Q1213" t="str">
            <v>AYUDA TEMPORAL A LAS FAMILIAS DE VARIAS LOCALIDADES, PARA RELOCALIZACIÓN DE HOGARES LOCALIZADOS EN ZONAS DE ALTO RIESGO NO MITIGABLE ID:2015-OTR-01379, LOCALIDAD:11 SUBA, UPZ:71 TIBABUYES, SECTOR:GAVILANES</v>
          </cell>
          <cell r="R1213">
            <v>4521244</v>
          </cell>
          <cell r="S1213">
            <v>0</v>
          </cell>
          <cell r="T1213">
            <v>0</v>
          </cell>
          <cell r="U1213">
            <v>4521244</v>
          </cell>
          <cell r="V1213">
            <v>2782304</v>
          </cell>
        </row>
        <row r="1214">
          <cell r="J1214">
            <v>566</v>
          </cell>
          <cell r="K1214">
            <v>43133</v>
          </cell>
          <cell r="L1214" t="str">
            <v>RICARDO  BONILLA HERNANDEZ</v>
          </cell>
          <cell r="M1214">
            <v>31</v>
          </cell>
          <cell r="N1214" t="str">
            <v>RESOLUCION</v>
          </cell>
          <cell r="O1214">
            <v>237</v>
          </cell>
          <cell r="P1214">
            <v>43133</v>
          </cell>
          <cell r="Q1214" t="str">
            <v>AYUDA TEMPORAL A LAS FAMILIAS DE VARIAS LOCALIDADES, PARA RELOCALIZACIÓN DE HOGARES LOCALIZADOS EN ZONAS DE ALTO RIESGO NO MITIGABLE ID:2013-Q10-00585, LOCALIDAD:04 SAN CRISTÓBAL, UPZ:51 LOS LIBERTADORES, SECTOR:QUEBRADA VEREJONES</v>
          </cell>
          <cell r="R1214">
            <v>6274034</v>
          </cell>
          <cell r="S1214">
            <v>0</v>
          </cell>
          <cell r="T1214">
            <v>0</v>
          </cell>
          <cell r="U1214">
            <v>6274034</v>
          </cell>
          <cell r="V1214">
            <v>3860944</v>
          </cell>
        </row>
        <row r="1215">
          <cell r="J1215">
            <v>567</v>
          </cell>
          <cell r="K1215">
            <v>43133</v>
          </cell>
          <cell r="L1215" t="str">
            <v>LEONOR ESPERANZA PULIDO</v>
          </cell>
          <cell r="M1215">
            <v>31</v>
          </cell>
          <cell r="N1215" t="str">
            <v>RESOLUCION</v>
          </cell>
          <cell r="O1215">
            <v>238</v>
          </cell>
          <cell r="P1215">
            <v>43133</v>
          </cell>
          <cell r="Q1215" t="str">
            <v>AYUDA TEMPORAL A LAS FAMILIAS DE VARIAS LOCALIDADES, PARA RELOCALIZACIÓN DE HOGARES LOCALIZADOS EN ZONAS DE ALTO RIESGO NO MITIGABLE ID:2012-19-14018, LOCALIDAD:19 CIUDAD BOLÍVAR, UPZ:68 EL TESORO</v>
          </cell>
          <cell r="R1215">
            <v>5430984</v>
          </cell>
          <cell r="S1215">
            <v>0</v>
          </cell>
          <cell r="T1215">
            <v>0</v>
          </cell>
          <cell r="U1215">
            <v>5430984</v>
          </cell>
          <cell r="V1215">
            <v>3342144</v>
          </cell>
        </row>
        <row r="1216">
          <cell r="J1216">
            <v>568</v>
          </cell>
          <cell r="K1216">
            <v>43133</v>
          </cell>
          <cell r="L1216" t="str">
            <v>YAMEL ALBEIRO POSADA BEDOYA</v>
          </cell>
          <cell r="M1216">
            <v>31</v>
          </cell>
          <cell r="N1216" t="str">
            <v>RESOLUCION</v>
          </cell>
          <cell r="O1216">
            <v>239</v>
          </cell>
          <cell r="P1216">
            <v>43133</v>
          </cell>
          <cell r="Q1216" t="str">
            <v>AYUDA TEMPORAL A LAS FAMILIAS DE VARIAS LOCALIDADES, PARA RELOCALIZACIÓN DE HOGARES LOCALIZADOS EN ZONAS DE ALTO RIESGO NO MITIGABLE ID:2016-08-14898, LOCALIDAD:08 KENNEDY, UPZ:82 PATIO BONITO, SECTOR:PALMITAS</v>
          </cell>
          <cell r="R1216">
            <v>5466487</v>
          </cell>
          <cell r="S1216">
            <v>0</v>
          </cell>
          <cell r="T1216">
            <v>0</v>
          </cell>
          <cell r="U1216">
            <v>5466487</v>
          </cell>
          <cell r="V1216">
            <v>2102495</v>
          </cell>
        </row>
        <row r="1217">
          <cell r="J1217">
            <v>569</v>
          </cell>
          <cell r="K1217">
            <v>43133</v>
          </cell>
          <cell r="L1217" t="str">
            <v>MARTHA LUCIA LEON VEGA</v>
          </cell>
          <cell r="M1217">
            <v>31</v>
          </cell>
          <cell r="N1217" t="str">
            <v>RESOLUCION</v>
          </cell>
          <cell r="O1217">
            <v>240</v>
          </cell>
          <cell r="P1217">
            <v>43133</v>
          </cell>
          <cell r="Q1217" t="str">
            <v>AYUDA TEMPORAL A LAS FAMILIAS DE VARIAS LOCALIDADES, PARA RELOCALIZACIÓN DE HOGARES LOCALIZADOS EN ZONAS DE ALTO RIESGO NO MITIGABLE ID:2016-OTR-01555, LOCALIDAD:04 SAN CRISTÓBAL, UPZ:51 LOS LIBERTADORES</v>
          </cell>
          <cell r="R1217">
            <v>5556993</v>
          </cell>
          <cell r="S1217">
            <v>0</v>
          </cell>
          <cell r="T1217">
            <v>0</v>
          </cell>
          <cell r="U1217">
            <v>5556993</v>
          </cell>
          <cell r="V1217">
            <v>3419688</v>
          </cell>
        </row>
        <row r="1218">
          <cell r="J1218">
            <v>570</v>
          </cell>
          <cell r="K1218">
            <v>43133</v>
          </cell>
          <cell r="L1218" t="str">
            <v>YEYMI ALEJANDRA POVEDA POSADA</v>
          </cell>
          <cell r="M1218">
            <v>31</v>
          </cell>
          <cell r="N1218" t="str">
            <v>RESOLUCION</v>
          </cell>
          <cell r="O1218">
            <v>241</v>
          </cell>
          <cell r="P1218">
            <v>43133</v>
          </cell>
          <cell r="Q1218" t="str">
            <v>AYUDA TEMPORAL A LAS FAMILIAS DE VARIAS LOCALIDADES, PARA RELOCALIZACIÓN DE HOGARES LOCALIZADOS EN ZONAS DE ALTO RIESGO NO MITIGABLE ID:2016-08-14776, LOCALIDAD:08 KENNEDY, UPZ:82 PATIO BONITO, SECTOR:PALMITAS</v>
          </cell>
          <cell r="R1218">
            <v>6521424</v>
          </cell>
          <cell r="S1218">
            <v>0</v>
          </cell>
          <cell r="T1218">
            <v>0</v>
          </cell>
          <cell r="U1218">
            <v>6521424</v>
          </cell>
          <cell r="V1218">
            <v>4013184</v>
          </cell>
        </row>
        <row r="1219">
          <cell r="J1219">
            <v>571</v>
          </cell>
          <cell r="K1219">
            <v>43133</v>
          </cell>
          <cell r="L1219" t="str">
            <v>SILVANO  CABEZON MERCAZA</v>
          </cell>
          <cell r="M1219">
            <v>31</v>
          </cell>
          <cell r="N1219" t="str">
            <v>RESOLUCION</v>
          </cell>
          <cell r="O1219">
            <v>242</v>
          </cell>
          <cell r="P1219">
            <v>43133</v>
          </cell>
          <cell r="Q1219" t="str">
            <v>AYUDA TEMPORAL A LAS FAMILIAS DE VARIAS LOCALIDADES, PARA RELOCALIZACIÓN DE HOGARES LOCALIZADOS EN ZONAS DE ALTO RIESGO NO MITIGABLE ID:2015-W166-530, LOCALIDAD:19 CIUDAD BOLÍVAR, UPZ:67 LUCERO, SECTOR:WOUNAAN</v>
          </cell>
          <cell r="R1219">
            <v>5360745</v>
          </cell>
          <cell r="S1219">
            <v>0</v>
          </cell>
          <cell r="T1219">
            <v>0</v>
          </cell>
          <cell r="U1219">
            <v>5360745</v>
          </cell>
          <cell r="V1219">
            <v>3298920</v>
          </cell>
        </row>
        <row r="1220">
          <cell r="J1220">
            <v>572</v>
          </cell>
          <cell r="K1220">
            <v>43133</v>
          </cell>
          <cell r="L1220" t="str">
            <v>ROSA ELIDA VERA GUEPENDO</v>
          </cell>
          <cell r="M1220">
            <v>31</v>
          </cell>
          <cell r="N1220" t="str">
            <v>RESOLUCION</v>
          </cell>
          <cell r="O1220">
            <v>243</v>
          </cell>
          <cell r="P1220">
            <v>43133</v>
          </cell>
          <cell r="Q1220" t="str">
            <v>AYUDA TEMPORAL A LAS FAMILIAS DE VARIAS LOCALIDADES, PARA RELOCALIZACIÓN DE HOGARES LOCALIZADOS EN ZONAS DE ALTO RIESGO NO MITIGABLE ID:2013000477, LOCALIDAD:04 SAN CRISTÓBAL, UPZ:51 LOS LIBERTADORES, SECTOR:QUEBRADA VEREJONES</v>
          </cell>
          <cell r="R1220">
            <v>5178771</v>
          </cell>
          <cell r="S1220">
            <v>0</v>
          </cell>
          <cell r="T1220">
            <v>0</v>
          </cell>
          <cell r="U1220">
            <v>5178771</v>
          </cell>
          <cell r="V1220">
            <v>3186936</v>
          </cell>
        </row>
        <row r="1221">
          <cell r="J1221">
            <v>573</v>
          </cell>
          <cell r="K1221">
            <v>43133</v>
          </cell>
          <cell r="L1221" t="str">
            <v>LUZ ADRIANA POSADA BEDOYA</v>
          </cell>
          <cell r="M1221">
            <v>31</v>
          </cell>
          <cell r="N1221" t="str">
            <v>RESOLUCION</v>
          </cell>
          <cell r="O1221">
            <v>244</v>
          </cell>
          <cell r="P1221">
            <v>43133</v>
          </cell>
          <cell r="Q1221" t="str">
            <v>AYUDA TEMPORAL A LAS FAMILIAS DE VARIAS LOCALIDADES, PARA RELOCALIZACIÓN DE HOGARES LOCALIZADOS EN ZONAS DE ALTO RIESGO NO MITIGABLE ID:2016-08-14825, LOCALIDAD:08 KENNEDY, UPZ:82 PATIO BONITO, SECTOR:PALMITAS</v>
          </cell>
          <cell r="R1221">
            <v>5754190</v>
          </cell>
          <cell r="S1221">
            <v>0</v>
          </cell>
          <cell r="T1221">
            <v>0</v>
          </cell>
          <cell r="U1221">
            <v>5754190</v>
          </cell>
          <cell r="V1221">
            <v>3541040</v>
          </cell>
        </row>
        <row r="1222">
          <cell r="J1222">
            <v>574</v>
          </cell>
          <cell r="K1222">
            <v>43133</v>
          </cell>
          <cell r="L1222" t="str">
            <v>MANUEL  CISNEROS CASTILLO</v>
          </cell>
          <cell r="M1222">
            <v>31</v>
          </cell>
          <cell r="N1222" t="str">
            <v>RESOLUCION</v>
          </cell>
          <cell r="O1222">
            <v>245</v>
          </cell>
          <cell r="P1222">
            <v>43133</v>
          </cell>
          <cell r="Q1222" t="str">
            <v>AYUDA TEMPORAL A LAS FAMILIAS DE VARIAS LOCALIDADES, PARA RELOCALIZACIÓN DE HOGARES LOCALIZADOS EN ZONAS DE ALTO RIESGO NO MITIGABLE ID:2016-08-14782, LOCALIDAD:08 KENNEDY, UPZ:82 PATIO BONITO, SECTOR:PALMITAS</v>
          </cell>
          <cell r="R1222">
            <v>6722183</v>
          </cell>
          <cell r="S1222">
            <v>0</v>
          </cell>
          <cell r="T1222">
            <v>0</v>
          </cell>
          <cell r="U1222">
            <v>6722183</v>
          </cell>
          <cell r="V1222">
            <v>4136728</v>
          </cell>
        </row>
        <row r="1223">
          <cell r="J1223">
            <v>575</v>
          </cell>
          <cell r="K1223">
            <v>43133</v>
          </cell>
          <cell r="L1223" t="str">
            <v>MARIA CAROLINA CAGUA YATE</v>
          </cell>
          <cell r="M1223">
            <v>31</v>
          </cell>
          <cell r="N1223" t="str">
            <v>RESOLUCION</v>
          </cell>
          <cell r="O1223">
            <v>246</v>
          </cell>
          <cell r="P1223">
            <v>43133</v>
          </cell>
          <cell r="Q1223" t="str">
            <v>AYUDA TEMPORAL A LAS FAMILIAS DE VARIAS LOCALIDADES, PARA RELOCALIZACIÓN DE HOGARES LOCALIZADOS EN ZONAS DE ALTO RIESGO NO MITIGABLE ID:2016-08-14820, LOCALIDAD:08 KENNEDY, UPZ:82 PATIO BONITO, SECTOR:PALMITAS</v>
          </cell>
          <cell r="R1223">
            <v>5466487</v>
          </cell>
          <cell r="S1223">
            <v>0</v>
          </cell>
          <cell r="T1223">
            <v>0</v>
          </cell>
          <cell r="U1223">
            <v>5466487</v>
          </cell>
          <cell r="V1223">
            <v>3363992</v>
          </cell>
        </row>
        <row r="1224">
          <cell r="J1224">
            <v>576</v>
          </cell>
          <cell r="K1224">
            <v>43133</v>
          </cell>
          <cell r="L1224" t="str">
            <v>GIOVANA PAOLA BARBOSA NOGUERA</v>
          </cell>
          <cell r="M1224">
            <v>31</v>
          </cell>
          <cell r="N1224" t="str">
            <v>RESOLUCION</v>
          </cell>
          <cell r="O1224">
            <v>247</v>
          </cell>
          <cell r="P1224">
            <v>43133</v>
          </cell>
          <cell r="Q1224" t="str">
            <v>AYUDA TEMPORAL A LAS FAMILIAS DE VARIAS LOCALIDADES, PARA RELOCALIZACIÓN DE HOGARES LOCALIZADOS EN ZONAS DE ALTO RIESGO NO MITIGABLE ID:2010-19-11893, LOCALIDAD:19 CIUDAD BOLÍVAR, UPZ:68 EL TESORO, SECTOR:OLA INVERNAL 2010 FOPAE</v>
          </cell>
          <cell r="R1224">
            <v>3769731</v>
          </cell>
          <cell r="S1224">
            <v>538533</v>
          </cell>
          <cell r="T1224">
            <v>0</v>
          </cell>
          <cell r="U1224">
            <v>3231198</v>
          </cell>
          <cell r="V1224">
            <v>3231198</v>
          </cell>
        </row>
        <row r="1225">
          <cell r="J1225">
            <v>577</v>
          </cell>
          <cell r="K1225">
            <v>43133</v>
          </cell>
          <cell r="L1225" t="str">
            <v>ADONAI  MOLANO MENDOZA</v>
          </cell>
          <cell r="M1225">
            <v>31</v>
          </cell>
          <cell r="N1225" t="str">
            <v>RESOLUCION</v>
          </cell>
          <cell r="O1225">
            <v>248</v>
          </cell>
          <cell r="P1225">
            <v>43133</v>
          </cell>
          <cell r="Q1225" t="str">
            <v>AYUDA TEMPORAL A LAS FAMILIAS DE VARIAS LOCALIDADES, PARA RELOCALIZACIÓN DE HOGARES LOCALIZADOS EN ZONAS DE ALTO RIESGO NO MITIGABLE ID:2007-4-10136, LOCALIDAD:04 SAN CRISTÓBAL, UPZ:32 SAN BLAS</v>
          </cell>
          <cell r="R1225">
            <v>3459890</v>
          </cell>
          <cell r="S1225">
            <v>0</v>
          </cell>
          <cell r="T1225">
            <v>0</v>
          </cell>
          <cell r="U1225">
            <v>3459890</v>
          </cell>
          <cell r="V1225">
            <v>1482810</v>
          </cell>
        </row>
        <row r="1226">
          <cell r="J1226">
            <v>578</v>
          </cell>
          <cell r="K1226">
            <v>43133</v>
          </cell>
          <cell r="L1226" t="str">
            <v>ADELINA  ISMARE CONQUISTA</v>
          </cell>
          <cell r="M1226">
            <v>31</v>
          </cell>
          <cell r="N1226" t="str">
            <v>RESOLUCION</v>
          </cell>
          <cell r="O1226">
            <v>249</v>
          </cell>
          <cell r="P1226">
            <v>43133</v>
          </cell>
          <cell r="Q1226" t="str">
            <v>AYUDA TEMPORAL A LAS FAMILIAS DE VARIAS LOCALIDADES, PARA RELOCALIZACIÓN DE HOGARES LOCALIZADOS EN ZONAS DE ALTO RIESGO NO MITIGABLE ID:2014-W166-015, LOCALIDAD:19 CIUDAD BOLÍVAR, UPZ:68 EL TESORO, SECTOR:WOUNAAN</v>
          </cell>
          <cell r="R1226">
            <v>5946005</v>
          </cell>
          <cell r="S1226">
            <v>0</v>
          </cell>
          <cell r="T1226">
            <v>0</v>
          </cell>
          <cell r="U1226">
            <v>5946005</v>
          </cell>
          <cell r="V1226">
            <v>3659080</v>
          </cell>
        </row>
        <row r="1227">
          <cell r="J1227">
            <v>579</v>
          </cell>
          <cell r="K1227">
            <v>43133</v>
          </cell>
          <cell r="L1227" t="str">
            <v>BLANCA ELUBIDIA ZUÑIGA MENESES</v>
          </cell>
          <cell r="M1227">
            <v>31</v>
          </cell>
          <cell r="N1227" t="str">
            <v>RESOLUCION</v>
          </cell>
          <cell r="O1227">
            <v>170</v>
          </cell>
          <cell r="P1227">
            <v>43133</v>
          </cell>
          <cell r="Q1227" t="str">
            <v>AYUDA TEMPORAL A LAS FAMILIAS DE VARIAS LOCALIDADES, PARA RELOCALIZACIÓN DE HOGARES LOCALIZADOS EN ZONAS DE ALTO RIESGO NO MITIGABLE ID:2012-ALES-355, LOCALIDAD:19 CIUDAD BOLÍVAR, UPZ:69 ISMAEL PERDOMO</v>
          </cell>
          <cell r="R1227">
            <v>3218670</v>
          </cell>
          <cell r="S1227">
            <v>459810</v>
          </cell>
          <cell r="T1227">
            <v>0</v>
          </cell>
          <cell r="U1227">
            <v>2758860</v>
          </cell>
          <cell r="V1227">
            <v>2758860</v>
          </cell>
        </row>
        <row r="1228">
          <cell r="J1228">
            <v>580</v>
          </cell>
          <cell r="K1228">
            <v>43133</v>
          </cell>
          <cell r="L1228" t="str">
            <v>FRANCY YAMILE NIÑO GARCIA</v>
          </cell>
          <cell r="M1228">
            <v>31</v>
          </cell>
          <cell r="N1228" t="str">
            <v>RESOLUCION</v>
          </cell>
          <cell r="O1228">
            <v>171</v>
          </cell>
          <cell r="P1228">
            <v>43133</v>
          </cell>
          <cell r="Q1228" t="str">
            <v>AYUDA TEMPORAL A LAS FAMILIAS DE VARIAS LOCALIDADES, PARA RELOCALIZACIÓN DE HOGARES LOCALIZADOS EN ZONAS DE ALTO RIESGO NO MITIGABLE ID:2014-5-14735, LOCALIDAD:05 USME, UPZ:57 GRAN YOMASA</v>
          </cell>
          <cell r="R1228">
            <v>3038112</v>
          </cell>
          <cell r="S1228">
            <v>434016</v>
          </cell>
          <cell r="T1228">
            <v>0</v>
          </cell>
          <cell r="U1228">
            <v>2604096</v>
          </cell>
          <cell r="V1228">
            <v>2604096</v>
          </cell>
        </row>
        <row r="1229">
          <cell r="J1229">
            <v>581</v>
          </cell>
          <cell r="K1229">
            <v>43133</v>
          </cell>
          <cell r="L1229" t="str">
            <v>SANDRA VIVIANA CIFUENTES RODRIGUEZ</v>
          </cell>
          <cell r="M1229">
            <v>31</v>
          </cell>
          <cell r="N1229" t="str">
            <v>RESOLUCION</v>
          </cell>
          <cell r="O1229">
            <v>172</v>
          </cell>
          <cell r="P1229">
            <v>43133</v>
          </cell>
          <cell r="Q1229" t="str">
            <v>AYUDA TEMPORAL A LAS FAMILIAS DE VARIAS LOCALIDADES, PARA RELOCALIZACIÓN DE HOGARES LOCALIZADOS EN ZONAS DE ALTO RIESGO NO MITIGABLE ID:2016-08-14861, LOCALIDAD:08 KENNEDY, UPZ:82 PATIO BONITO, SECTOR:PALMITAS</v>
          </cell>
          <cell r="R1229">
            <v>4660708</v>
          </cell>
          <cell r="S1229">
            <v>0</v>
          </cell>
          <cell r="T1229">
            <v>0</v>
          </cell>
          <cell r="U1229">
            <v>4660708</v>
          </cell>
          <cell r="V1229">
            <v>2151096</v>
          </cell>
        </row>
        <row r="1230">
          <cell r="J1230">
            <v>582</v>
          </cell>
          <cell r="K1230">
            <v>43133</v>
          </cell>
          <cell r="L1230" t="str">
            <v>SANDRA MILENA OVALLE VELASQUEZ</v>
          </cell>
          <cell r="M1230">
            <v>31</v>
          </cell>
          <cell r="N1230" t="str">
            <v>RESOLUCION</v>
          </cell>
          <cell r="O1230">
            <v>173</v>
          </cell>
          <cell r="P1230">
            <v>43133</v>
          </cell>
          <cell r="Q1230" t="str">
            <v>AYUDA TEMPORAL A LAS FAMILIAS DE VARIAS LOCALIDADES, PARA RELOCALIZACIÓN DE HOGARES LOCALIZADOS EN ZONAS DE ALTO RIESGO NO MITIGABLE ID:2006-19-8078, LOCALIDAD:19 CIUDAD BOLÍVAR, UPZ:67 LUCERO</v>
          </cell>
          <cell r="R1230">
            <v>3111969</v>
          </cell>
          <cell r="S1230">
            <v>444567</v>
          </cell>
          <cell r="T1230">
            <v>0</v>
          </cell>
          <cell r="U1230">
            <v>2667402</v>
          </cell>
          <cell r="V1230">
            <v>2667402</v>
          </cell>
        </row>
        <row r="1231">
          <cell r="J1231">
            <v>583</v>
          </cell>
          <cell r="K1231">
            <v>43133</v>
          </cell>
          <cell r="L1231" t="str">
            <v>JOSE ALBERTO GIRALDO SANCHEZ</v>
          </cell>
          <cell r="M1231">
            <v>31</v>
          </cell>
          <cell r="N1231" t="str">
            <v>RESOLUCION</v>
          </cell>
          <cell r="O1231">
            <v>174</v>
          </cell>
          <cell r="P1231">
            <v>43133</v>
          </cell>
          <cell r="Q1231" t="str">
            <v>AYUDA TEMPORAL A LAS FAMILIAS DE VARIAS LOCALIDADES, PARA RELOCALIZACIÓN DE HOGARES LOCALIZADOS EN ZONAS DE ALTO RIESGO NO MITIGABLE ID:2015-W166-503, LOCALIDAD:03 SANTA FE, UPZ:95 LAS CRUCES, SECTOR:UITOTO</v>
          </cell>
          <cell r="R1231">
            <v>6868797</v>
          </cell>
          <cell r="S1231">
            <v>0</v>
          </cell>
          <cell r="T1231">
            <v>0</v>
          </cell>
          <cell r="U1231">
            <v>6868797</v>
          </cell>
          <cell r="V1231">
            <v>4226952</v>
          </cell>
        </row>
        <row r="1232">
          <cell r="J1232">
            <v>584</v>
          </cell>
          <cell r="K1232">
            <v>43133</v>
          </cell>
          <cell r="L1232" t="str">
            <v>CLAUDIA ISABEL CELY BARAJAS</v>
          </cell>
          <cell r="M1232">
            <v>31</v>
          </cell>
          <cell r="N1232" t="str">
            <v>RESOLUCION</v>
          </cell>
          <cell r="O1232">
            <v>175</v>
          </cell>
          <cell r="P1232">
            <v>43133</v>
          </cell>
          <cell r="Q1232" t="str">
            <v>AYUDA TEMPORAL A LAS FAMILIAS DE VARIAS LOCALIDADES, PARA RELOCALIZACIÓN DE HOGARES LOCALIZADOS EN ZONAS DE ALTO RIESGO NO MITIGABLE ID:2013000017, LOCALIDAD:19 CIUDAD BOLÍVAR, UPZ:67 LUCERO, SECTOR:QUEBRADA CAÑO BAÚL</v>
          </cell>
          <cell r="R1232">
            <v>3017000</v>
          </cell>
          <cell r="S1232">
            <v>862000</v>
          </cell>
          <cell r="T1232">
            <v>0</v>
          </cell>
          <cell r="U1232">
            <v>2155000</v>
          </cell>
          <cell r="V1232">
            <v>2155000</v>
          </cell>
        </row>
        <row r="1233">
          <cell r="J1233">
            <v>585</v>
          </cell>
          <cell r="K1233">
            <v>43133</v>
          </cell>
          <cell r="L1233" t="str">
            <v>JOSE MODESTO HERNANDEZ MORENO</v>
          </cell>
          <cell r="M1233">
            <v>31</v>
          </cell>
          <cell r="N1233" t="str">
            <v>RESOLUCION</v>
          </cell>
          <cell r="O1233">
            <v>176</v>
          </cell>
          <cell r="P1233">
            <v>43133</v>
          </cell>
          <cell r="Q1233" t="str">
            <v>AYUDA TEMPORAL A LAS FAMILIAS DE VARIAS LOCALIDADES, PARA RELOCALIZACIÓN DE HOGARES LOCALIZADOS EN ZONAS DE ALTO RIESGO NO MITIGABLE ID:2011-19-13514, LOCALIDAD:19 CIUDAD BOLÍVAR, UPZ:68 EL TESORO</v>
          </cell>
          <cell r="R1233">
            <v>2924376</v>
          </cell>
          <cell r="S1233">
            <v>417768</v>
          </cell>
          <cell r="T1233">
            <v>0</v>
          </cell>
          <cell r="U1233">
            <v>2506608</v>
          </cell>
          <cell r="V1233">
            <v>2506608</v>
          </cell>
        </row>
        <row r="1234">
          <cell r="J1234">
            <v>586</v>
          </cell>
          <cell r="K1234">
            <v>43133</v>
          </cell>
          <cell r="L1234" t="str">
            <v>GRACILIANA  AVILA PITA</v>
          </cell>
          <cell r="M1234">
            <v>31</v>
          </cell>
          <cell r="N1234" t="str">
            <v>RESOLUCION</v>
          </cell>
          <cell r="O1234">
            <v>177</v>
          </cell>
          <cell r="P1234">
            <v>43133</v>
          </cell>
          <cell r="Q1234" t="str">
            <v>AYUDA TEMPORAL A LAS FAMILIAS DE VARIAS LOCALIDADES, PARA RELOCALIZACIÓN DE HOGARES LOCALIZADOS EN ZONAS DE ALTO RIESGO NO MITIGABLE ID:2011-18-13622, LOCALIDAD:18 RAFAEL URIBE URIBE, UPZ:55 DIANA TURBAY</v>
          </cell>
          <cell r="R1234">
            <v>3017028</v>
          </cell>
          <cell r="S1234">
            <v>0</v>
          </cell>
          <cell r="T1234">
            <v>0</v>
          </cell>
          <cell r="U1234">
            <v>3017028</v>
          </cell>
          <cell r="V1234">
            <v>862008</v>
          </cell>
        </row>
        <row r="1235">
          <cell r="J1235">
            <v>587</v>
          </cell>
          <cell r="K1235">
            <v>43133</v>
          </cell>
          <cell r="L1235" t="str">
            <v>MARIA MIRNA PUAMA MEMBACHE</v>
          </cell>
          <cell r="M1235">
            <v>31</v>
          </cell>
          <cell r="N1235" t="str">
            <v>RESOLUCION</v>
          </cell>
          <cell r="O1235">
            <v>178</v>
          </cell>
          <cell r="P1235">
            <v>43133</v>
          </cell>
          <cell r="Q1235" t="str">
            <v>AYUDA TEMPORAL A LAS FAMILIAS DE VARIAS LOCALIDADES, PARA RELOCALIZACIÓN DE HOGARES LOCALIZADOS EN ZONAS DE ALTO RIESGO NO MITIGABLE ID:2015-W166-441, LOCALIDAD:19 CIUDAD BOLÍVAR, UPZ:67 LUCERO, SECTOR:WOUNAAN</v>
          </cell>
          <cell r="R1235">
            <v>7036432</v>
          </cell>
          <cell r="S1235">
            <v>0</v>
          </cell>
          <cell r="T1235">
            <v>0</v>
          </cell>
          <cell r="U1235">
            <v>7036432</v>
          </cell>
          <cell r="V1235">
            <v>4330112</v>
          </cell>
        </row>
        <row r="1236">
          <cell r="J1236">
            <v>588</v>
          </cell>
          <cell r="K1236">
            <v>43133</v>
          </cell>
          <cell r="L1236" t="str">
            <v>LUZ ISLENI CADENA SANCHEZ</v>
          </cell>
          <cell r="M1236">
            <v>31</v>
          </cell>
          <cell r="N1236" t="str">
            <v>RESOLUCION</v>
          </cell>
          <cell r="O1236">
            <v>179</v>
          </cell>
          <cell r="P1236">
            <v>43133</v>
          </cell>
          <cell r="Q1236" t="str">
            <v>AYUDA TEMPORAL A LAS FAMILIAS DE VARIAS LOCALIDADES, PARA RELOCALIZACIÓN DE HOGARES LOCALIZADOS EN ZONAS DE ALTO RIESGO NO MITIGABLE ID:2012-5-14150, LOCALIDAD:05 USME, UPZ:58 COMUNEROS</v>
          </cell>
          <cell r="R1236">
            <v>2582006</v>
          </cell>
          <cell r="S1236">
            <v>368858</v>
          </cell>
          <cell r="T1236">
            <v>0</v>
          </cell>
          <cell r="U1236">
            <v>2213148</v>
          </cell>
          <cell r="V1236">
            <v>2213148</v>
          </cell>
        </row>
        <row r="1237">
          <cell r="J1237">
            <v>589</v>
          </cell>
          <cell r="K1237">
            <v>43133</v>
          </cell>
          <cell r="L1237" t="str">
            <v>ALEJANDRO  CUAMA CHIRIMIA</v>
          </cell>
          <cell r="M1237">
            <v>31</v>
          </cell>
          <cell r="N1237" t="str">
            <v>RESOLUCION</v>
          </cell>
          <cell r="O1237">
            <v>180</v>
          </cell>
          <cell r="P1237">
            <v>43133</v>
          </cell>
          <cell r="Q1237" t="str">
            <v>AYUDA TEMPORAL A LAS FAMILIAS DE VARIAS LOCALIDADES, PARA RELOCALIZACIÓN DE HOGARES LOCALIZADOS EN ZONAS DE ALTO RIESGO NO MITIGABLE ID:2015-W166-211, LOCALIDAD:04 SAN CRISTÓBAL, UPZ:33 SOSIEGO, SECTOR:EPERARA</v>
          </cell>
          <cell r="R1237">
            <v>5525975</v>
          </cell>
          <cell r="S1237">
            <v>0</v>
          </cell>
          <cell r="T1237">
            <v>0</v>
          </cell>
          <cell r="U1237">
            <v>5525975</v>
          </cell>
          <cell r="V1237">
            <v>3400600</v>
          </cell>
        </row>
        <row r="1238">
          <cell r="J1238">
            <v>590</v>
          </cell>
          <cell r="K1238">
            <v>43133</v>
          </cell>
          <cell r="L1238" t="str">
            <v>MARIA ANGELICA QUIÑONEZ MOLANO</v>
          </cell>
          <cell r="M1238">
            <v>31</v>
          </cell>
          <cell r="N1238" t="str">
            <v>RESOLUCION</v>
          </cell>
          <cell r="O1238">
            <v>181</v>
          </cell>
          <cell r="P1238">
            <v>43133</v>
          </cell>
          <cell r="Q1238" t="str">
            <v>AYUDA TEMPORAL A LAS FAMILIAS DE VARIAS LOCALIDADES, PARA RELOCALIZACIÓN DE HOGARES LOCALIZADOS EN ZONAS DE ALTO RIESGO NO MITIGABLE ID:2013000294, LOCALIDAD:19 CIUDAD BOLÍVAR, UPZ:67 LUCERO, SECTOR:QUEBRADA TROMPETA</v>
          </cell>
          <cell r="R1238">
            <v>3157315</v>
          </cell>
          <cell r="S1238">
            <v>451045</v>
          </cell>
          <cell r="T1238">
            <v>0</v>
          </cell>
          <cell r="U1238">
            <v>2706270</v>
          </cell>
          <cell r="V1238">
            <v>2706270</v>
          </cell>
        </row>
        <row r="1239">
          <cell r="J1239">
            <v>591</v>
          </cell>
          <cell r="K1239">
            <v>43133</v>
          </cell>
          <cell r="L1239" t="str">
            <v>BRIGETH ADRIANA JIMENEZ WILCHES</v>
          </cell>
          <cell r="M1239">
            <v>31</v>
          </cell>
          <cell r="N1239" t="str">
            <v>RESOLUCION</v>
          </cell>
          <cell r="O1239">
            <v>182</v>
          </cell>
          <cell r="P1239">
            <v>43133</v>
          </cell>
          <cell r="Q1239" t="str">
            <v>AYUDA TEMPORAL A LAS FAMILIAS DE VARIAS LOCALIDADES, PARA RELOCALIZACIÓN DE HOGARES LOCALIZADOS EN ZONAS DE ALTO RIESGO NO MITIGABLE ID:2013-4-14633, LOCALIDAD:04 SAN CRISTÓBAL, UPZ:32 SAN BLAS</v>
          </cell>
          <cell r="R1239">
            <v>6897150</v>
          </cell>
          <cell r="S1239">
            <v>0</v>
          </cell>
          <cell r="T1239">
            <v>0</v>
          </cell>
          <cell r="U1239">
            <v>6897150</v>
          </cell>
          <cell r="V1239">
            <v>4244400</v>
          </cell>
        </row>
        <row r="1240">
          <cell r="J1240">
            <v>592</v>
          </cell>
          <cell r="K1240">
            <v>43133</v>
          </cell>
          <cell r="L1240" t="str">
            <v>MARIA ROCIO SANCHEZ LINARES</v>
          </cell>
          <cell r="M1240">
            <v>31</v>
          </cell>
          <cell r="N1240" t="str">
            <v>RESOLUCION</v>
          </cell>
          <cell r="O1240">
            <v>183</v>
          </cell>
          <cell r="P1240">
            <v>43133</v>
          </cell>
          <cell r="Q1240" t="str">
            <v>AYUDA TEMPORAL A LAS FAMILIAS DE VARIAS LOCALIDADES, PARA RELOCALIZACIÓN DE HOGARES LOCALIZADOS EN ZONAS DE ALTO RIESGO NO MITIGABLE ID:2016-08-14851, LOCALIDAD:08 KENNEDY, UPZ:82 PATIO BONITO, SECTOR:PALMITAS</v>
          </cell>
          <cell r="R1240">
            <v>7672262</v>
          </cell>
          <cell r="S1240">
            <v>0</v>
          </cell>
          <cell r="T1240">
            <v>0</v>
          </cell>
          <cell r="U1240">
            <v>7672262</v>
          </cell>
          <cell r="V1240">
            <v>4721392</v>
          </cell>
        </row>
        <row r="1241">
          <cell r="J1241">
            <v>593</v>
          </cell>
          <cell r="K1241">
            <v>43133</v>
          </cell>
          <cell r="L1241" t="str">
            <v>LUIS FERNANDO PADILLA VELASQUEZ</v>
          </cell>
          <cell r="M1241">
            <v>31</v>
          </cell>
          <cell r="N1241" t="str">
            <v>RESOLUCION</v>
          </cell>
          <cell r="O1241">
            <v>184</v>
          </cell>
          <cell r="P1241">
            <v>43133</v>
          </cell>
          <cell r="Q1241" t="str">
            <v>AYUDA TEMPORAL A LAS FAMILIAS DE VARIAS LOCALIDADES, PARA RELOCALIZACIÓN DE HOGARES LOCALIZADOS EN ZONAS DE ALTO RIESGO NO MITIGABLE ID:2016-08-14869, LOCALIDAD:08 KENNEDY, UPZ:82 PATIO BONITO, SECTOR:PALMITAS</v>
          </cell>
          <cell r="R1241">
            <v>5754190</v>
          </cell>
          <cell r="S1241">
            <v>0</v>
          </cell>
          <cell r="T1241">
            <v>0</v>
          </cell>
          <cell r="U1241">
            <v>5754190</v>
          </cell>
          <cell r="V1241">
            <v>3541040</v>
          </cell>
        </row>
        <row r="1242">
          <cell r="J1242">
            <v>594</v>
          </cell>
          <cell r="K1242">
            <v>43133</v>
          </cell>
          <cell r="L1242" t="str">
            <v>FERNANDO  CHAMAPURO CHOCHO</v>
          </cell>
          <cell r="M1242">
            <v>31</v>
          </cell>
          <cell r="N1242" t="str">
            <v>RESOLUCION</v>
          </cell>
          <cell r="O1242">
            <v>185</v>
          </cell>
          <cell r="P1242">
            <v>43133</v>
          </cell>
          <cell r="Q1242" t="str">
            <v>AYUDA TEMPORAL A LAS FAMILIAS DE VARIAS LOCALIDADES, PARA RELOCALIZACIÓN DE HOGARES LOCALIZADOS EN ZONAS DE ALTO RIESGO NO MITIGABLE ID:2015-W166-431, LOCALIDAD:19 CIUDAD BOLÍVAR, UPZ:68 EL TESORO, SECTOR:WOUNAAN</v>
          </cell>
          <cell r="R1242">
            <v>7036432</v>
          </cell>
          <cell r="S1242">
            <v>0</v>
          </cell>
          <cell r="T1242">
            <v>0</v>
          </cell>
          <cell r="U1242">
            <v>7036432</v>
          </cell>
          <cell r="V1242">
            <v>4330112</v>
          </cell>
        </row>
        <row r="1243">
          <cell r="J1243">
            <v>595</v>
          </cell>
          <cell r="K1243">
            <v>43133</v>
          </cell>
          <cell r="L1243" t="str">
            <v>FELIPE  DURA CHAMAPURA</v>
          </cell>
          <cell r="M1243">
            <v>31</v>
          </cell>
          <cell r="N1243" t="str">
            <v>RESOLUCION</v>
          </cell>
          <cell r="O1243">
            <v>186</v>
          </cell>
          <cell r="P1243">
            <v>43133</v>
          </cell>
          <cell r="Q1243" t="str">
            <v>AYUDA TEMPORAL A LAS FAMILIAS DE VARIAS LOCALIDADES, PARA RELOCALIZACIÓN DE HOGARES LOCALIZADOS EN ZONAS DE ALTO RIESGO NO MITIGABLE ID:2015-W166-434, LOCALIDAD:19 CIUDAD BOLÍVAR, UPZ:67 LUCERO, SECTOR:WOUNAAN</v>
          </cell>
          <cell r="R1243">
            <v>7036432</v>
          </cell>
          <cell r="S1243">
            <v>0</v>
          </cell>
          <cell r="T1243">
            <v>0</v>
          </cell>
          <cell r="U1243">
            <v>7036432</v>
          </cell>
          <cell r="V1243">
            <v>4330112</v>
          </cell>
        </row>
        <row r="1244">
          <cell r="J1244">
            <v>596</v>
          </cell>
          <cell r="K1244">
            <v>43133</v>
          </cell>
          <cell r="L1244" t="str">
            <v>JOSELITO  CARDENAS CABEZON</v>
          </cell>
          <cell r="M1244">
            <v>31</v>
          </cell>
          <cell r="N1244" t="str">
            <v>RESOLUCION</v>
          </cell>
          <cell r="O1244">
            <v>187</v>
          </cell>
          <cell r="P1244">
            <v>43133</v>
          </cell>
          <cell r="Q1244" t="str">
            <v>AYUDA TEMPORAL A LAS FAMILIAS DE VARIAS LOCALIDADES, PARA RELOCALIZACIÓN DE HOGARES LOCALIZADOS EN ZONAS DE ALTO RIESGO NO MITIGABLE ID:2014-W166-022, LOCALIDAD:19 CIUDAD BOLÍVAR, UPZ:68 EL TESORO, SECTOR:WOUNAAN</v>
          </cell>
          <cell r="R1244">
            <v>6713226</v>
          </cell>
          <cell r="S1244">
            <v>0</v>
          </cell>
          <cell r="T1244">
            <v>0</v>
          </cell>
          <cell r="U1244">
            <v>6713226</v>
          </cell>
          <cell r="V1244">
            <v>4131216</v>
          </cell>
        </row>
        <row r="1245">
          <cell r="J1245">
            <v>597</v>
          </cell>
          <cell r="K1245">
            <v>43133</v>
          </cell>
          <cell r="L1245" t="str">
            <v>JUAN  CHIRIPUA PUCHICAMA</v>
          </cell>
          <cell r="M1245">
            <v>31</v>
          </cell>
          <cell r="N1245" t="str">
            <v>RESOLUCION</v>
          </cell>
          <cell r="O1245">
            <v>188</v>
          </cell>
          <cell r="P1245">
            <v>43133</v>
          </cell>
          <cell r="Q1245" t="str">
            <v>AYUDA TEMPORAL A LAS FAMILIAS DE VARIAS LOCALIDADES, PARA RELOCALIZACIÓN DE HOGARES LOCALIZADOS EN ZONAS DE ALTO RIESGO NO MITIGABLE ID:2014-W166-013, LOCALIDAD:19 CIUDAD BOLÍVAR, UPZ:68 EL TESORO, SECTOR:WOUNAAN</v>
          </cell>
          <cell r="R1245">
            <v>5946005</v>
          </cell>
          <cell r="S1245">
            <v>0</v>
          </cell>
          <cell r="T1245">
            <v>0</v>
          </cell>
          <cell r="U1245">
            <v>5946005</v>
          </cell>
          <cell r="V1245">
            <v>3659080</v>
          </cell>
        </row>
        <row r="1246">
          <cell r="J1246">
            <v>598</v>
          </cell>
          <cell r="K1246">
            <v>43133</v>
          </cell>
          <cell r="L1246" t="str">
            <v>GLORIA MARCELA VEGA MARIN</v>
          </cell>
          <cell r="M1246">
            <v>31</v>
          </cell>
          <cell r="N1246" t="str">
            <v>RESOLUCION</v>
          </cell>
          <cell r="O1246">
            <v>189</v>
          </cell>
          <cell r="P1246">
            <v>43133</v>
          </cell>
          <cell r="Q1246" t="str">
            <v>AYUDA TEMPORAL A LAS FAMILIAS DE VARIAS LOCALIDADES, PARA RELOCALIZACIÓN DE HOGARES LOCALIZADOS EN ZONAS DE ALTO RIESGO NO MITIGABLE ID:2011-3-13136, LOCALIDAD:03 SANTA FE, UPZ:96 LOURDES</v>
          </cell>
          <cell r="R1246">
            <v>7000929</v>
          </cell>
          <cell r="S1246">
            <v>0</v>
          </cell>
          <cell r="T1246">
            <v>0</v>
          </cell>
          <cell r="U1246">
            <v>7000929</v>
          </cell>
          <cell r="V1246">
            <v>4308264</v>
          </cell>
        </row>
        <row r="1247">
          <cell r="J1247">
            <v>599</v>
          </cell>
          <cell r="K1247">
            <v>43133</v>
          </cell>
          <cell r="L1247" t="str">
            <v>JAIRO ANDRES VASQUEZ GARCIA</v>
          </cell>
          <cell r="M1247">
            <v>31</v>
          </cell>
          <cell r="N1247" t="str">
            <v>RESOLUCION</v>
          </cell>
          <cell r="O1247">
            <v>190</v>
          </cell>
          <cell r="P1247">
            <v>43133</v>
          </cell>
          <cell r="Q1247" t="str">
            <v>AYUDA TEMPORAL A LAS FAMILIAS DE VARIAS LOCALIDADES, PARA RELOCALIZACIÓN DE HOGARES LOCALIZADOS EN ZONAS DE ALTO RIESGO NO MITIGABLE ID:2014-P474-00745, LOCALIDAD:04 SAN CRISTÓBAL, UPZ:33 SOSIEGO, SECTOR:PROCESO LA MARIA</v>
          </cell>
          <cell r="R1247">
            <v>7540000</v>
          </cell>
          <cell r="S1247">
            <v>0</v>
          </cell>
          <cell r="T1247">
            <v>0</v>
          </cell>
          <cell r="U1247">
            <v>7540000</v>
          </cell>
          <cell r="V1247">
            <v>4640000</v>
          </cell>
        </row>
        <row r="1248">
          <cell r="J1248">
            <v>600</v>
          </cell>
          <cell r="K1248">
            <v>43133</v>
          </cell>
          <cell r="L1248" t="str">
            <v>YACQUELINE  TRIANA LOPEZ</v>
          </cell>
          <cell r="M1248">
            <v>31</v>
          </cell>
          <cell r="N1248" t="str">
            <v>RESOLUCION</v>
          </cell>
          <cell r="O1248">
            <v>191</v>
          </cell>
          <cell r="P1248">
            <v>43133</v>
          </cell>
          <cell r="Q1248" t="str">
            <v>AYUDA TEMPORAL A LAS FAMILIAS DE VARIAS LOCALIDADES, PARA RELOCALIZACIÓN DE HOGARES LOCALIZADOS EN ZONAS DE ALTO RIESGO NO MITIGABLE ID:2011-1-12798, LOCALIDAD:01 USAQUÉN, UPZ:11 SAN CRISTÓBAL NORTE, SECTOR:OLA INVERNAL 2010 FOPAE</v>
          </cell>
          <cell r="R1248">
            <v>5528289</v>
          </cell>
          <cell r="S1248">
            <v>0</v>
          </cell>
          <cell r="T1248">
            <v>0</v>
          </cell>
          <cell r="U1248">
            <v>5528289</v>
          </cell>
          <cell r="V1248">
            <v>3402024</v>
          </cell>
        </row>
        <row r="1249">
          <cell r="J1249">
            <v>601</v>
          </cell>
          <cell r="K1249">
            <v>43133</v>
          </cell>
          <cell r="L1249" t="str">
            <v>ROBINSON FERNEY MALAMBO QUESADA</v>
          </cell>
          <cell r="M1249">
            <v>31</v>
          </cell>
          <cell r="N1249" t="str">
            <v>RESOLUCION</v>
          </cell>
          <cell r="O1249">
            <v>192</v>
          </cell>
          <cell r="P1249">
            <v>43133</v>
          </cell>
          <cell r="Q1249" t="str">
            <v>AYUDA TEMPORAL A LAS FAMILIAS DE VARIAS LOCALIDADES, PARA RELOCALIZACIÓN DE HOGARES LOCALIZADOS EN ZONAS DE ALTO RIESGO NO MITIGABLE ID:2012-19-13931, LOCALIDAD:19 CIUDAD BOLÍVAR, UPZ:67 LUCERO</v>
          </cell>
          <cell r="R1249">
            <v>3614814</v>
          </cell>
          <cell r="S1249">
            <v>0</v>
          </cell>
          <cell r="T1249">
            <v>0</v>
          </cell>
          <cell r="U1249">
            <v>3614814</v>
          </cell>
          <cell r="V1249">
            <v>2065608</v>
          </cell>
        </row>
        <row r="1250">
          <cell r="J1250">
            <v>602</v>
          </cell>
          <cell r="K1250">
            <v>43133</v>
          </cell>
          <cell r="L1250" t="str">
            <v>REINALDO  CABEZON MERCAZA</v>
          </cell>
          <cell r="M1250">
            <v>31</v>
          </cell>
          <cell r="N1250" t="str">
            <v>RESOLUCION</v>
          </cell>
          <cell r="O1250">
            <v>193</v>
          </cell>
          <cell r="P1250">
            <v>43133</v>
          </cell>
          <cell r="Q1250" t="str">
            <v>AYUDA TEMPORAL A LAS FAMILIAS DE VARIAS LOCALIDADES, PARA RELOCALIZACIÓN DE HOGARES LOCALIZADOS EN ZONAS DE ALTO RIESGO NO MITIGABLE ID:2014-W166-086, LOCALIDAD:19 CIUDAD BOLÍVAR, UPZ:68 EL TESORO, SECTOR:WOUNAAN</v>
          </cell>
          <cell r="R1250">
            <v>8066617</v>
          </cell>
          <cell r="S1250">
            <v>0</v>
          </cell>
          <cell r="T1250">
            <v>0</v>
          </cell>
          <cell r="U1250">
            <v>8066617</v>
          </cell>
          <cell r="V1250">
            <v>4964072</v>
          </cell>
        </row>
        <row r="1251">
          <cell r="J1251">
            <v>603</v>
          </cell>
          <cell r="K1251">
            <v>43133</v>
          </cell>
          <cell r="L1251" t="str">
            <v>JOSE ALFONSO BETANCUR MORA</v>
          </cell>
          <cell r="M1251">
            <v>31</v>
          </cell>
          <cell r="N1251" t="str">
            <v>RESOLUCION</v>
          </cell>
          <cell r="O1251">
            <v>194</v>
          </cell>
          <cell r="P1251">
            <v>43133</v>
          </cell>
          <cell r="Q1251" t="str">
            <v>AYUDA TEMPORAL A LAS FAMILIAS DE VARIAS LOCALIDADES, PARA RELOCALIZACIÓN DE HOGARES LOCALIZADOS EN ZONAS DE ALTO RIESGO NO MITIGABLE ID:2013000228, LOCALIDAD:19 CIUDAD BOLÍVAR, UPZ:67 LUCERO, SECTOR:QUEBRADA TROMPETA</v>
          </cell>
          <cell r="R1251">
            <v>3157315</v>
          </cell>
          <cell r="S1251">
            <v>451045</v>
          </cell>
          <cell r="T1251">
            <v>0</v>
          </cell>
          <cell r="U1251">
            <v>2706270</v>
          </cell>
          <cell r="V1251">
            <v>2706270</v>
          </cell>
        </row>
        <row r="1252">
          <cell r="J1252">
            <v>604</v>
          </cell>
          <cell r="K1252">
            <v>43133</v>
          </cell>
          <cell r="L1252" t="str">
            <v>ROSA EMMA BARAJAS</v>
          </cell>
          <cell r="M1252">
            <v>31</v>
          </cell>
          <cell r="N1252" t="str">
            <v>RESOLUCION</v>
          </cell>
          <cell r="O1252">
            <v>195</v>
          </cell>
          <cell r="P1252">
            <v>43133</v>
          </cell>
          <cell r="Q1252" t="str">
            <v>AYUDA TEMPORAL A LAS FAMILIAS DE VARIAS LOCALIDADES, PARA RELOCALIZACIÓN DE HOGARES LOCALIZADOS EN ZONAS DE ALTO RIESGO NO MITIGABLE ID:2013000016, LOCALIDAD:19 CIUDAD BOLÍVAR, UPZ:67 LUCERO, SECTOR:QUEBRADA CAÑO BAÚL</v>
          </cell>
          <cell r="R1252">
            <v>3017000</v>
          </cell>
          <cell r="S1252">
            <v>862000</v>
          </cell>
          <cell r="T1252">
            <v>0</v>
          </cell>
          <cell r="U1252">
            <v>2155000</v>
          </cell>
          <cell r="V1252">
            <v>2155000</v>
          </cell>
        </row>
        <row r="1253">
          <cell r="J1253">
            <v>605</v>
          </cell>
          <cell r="K1253">
            <v>43133</v>
          </cell>
          <cell r="L1253" t="str">
            <v>CARMEN ANDREA VALLEJO RUANO</v>
          </cell>
          <cell r="M1253">
            <v>31</v>
          </cell>
          <cell r="N1253" t="str">
            <v>RESOLUCION</v>
          </cell>
          <cell r="O1253">
            <v>196</v>
          </cell>
          <cell r="P1253">
            <v>43133</v>
          </cell>
          <cell r="Q1253" t="str">
            <v>AYUDA TEMPORAL A LAS FAMILIAS DE VARIAS LOCALIDADES, PARA RELOCALIZACIÓN DE HOGARES LOCALIZADOS EN ZONAS DE ALTO RIESGO NO MITIGABLE ID:2011-19-12939, LOCALIDAD:19 CIUDAD BOLÍVAR, UPZ:67 LUCERO</v>
          </cell>
          <cell r="R1253">
            <v>2661659</v>
          </cell>
          <cell r="S1253">
            <v>0</v>
          </cell>
          <cell r="T1253">
            <v>0</v>
          </cell>
          <cell r="U1253">
            <v>2661659</v>
          </cell>
          <cell r="V1253">
            <v>1520948</v>
          </cell>
        </row>
        <row r="1254">
          <cell r="J1254">
            <v>606</v>
          </cell>
          <cell r="K1254">
            <v>43133</v>
          </cell>
          <cell r="L1254" t="str">
            <v>MARBEL ANDREA MARTINEZ ECHEVERRY</v>
          </cell>
          <cell r="M1254">
            <v>31</v>
          </cell>
          <cell r="N1254" t="str">
            <v>RESOLUCION</v>
          </cell>
          <cell r="O1254">
            <v>197</v>
          </cell>
          <cell r="P1254">
            <v>43133</v>
          </cell>
          <cell r="Q1254" t="str">
            <v>AYUDA TEMPORAL A LAS FAMILIAS DE VARIAS LOCALIDADES, PARA RELOCALIZACIÓN DE HOGARES LOCALIZADOS EN ZONAS DE ALTO RIESGO NO MITIGABLE ID:2016-08-14835, LOCALIDAD:08 KENNEDY, UPZ:82 PATIO BONITO, SECTOR:PALMITAS</v>
          </cell>
          <cell r="R1254">
            <v>5946005</v>
          </cell>
          <cell r="S1254">
            <v>0</v>
          </cell>
          <cell r="T1254">
            <v>0</v>
          </cell>
          <cell r="U1254">
            <v>5946005</v>
          </cell>
          <cell r="V1254">
            <v>3659080</v>
          </cell>
        </row>
        <row r="1255">
          <cell r="J1255">
            <v>607</v>
          </cell>
          <cell r="K1255">
            <v>43133</v>
          </cell>
          <cell r="L1255" t="str">
            <v>ALBA LILIANA TUNJUELO NIEVES</v>
          </cell>
          <cell r="M1255">
            <v>31</v>
          </cell>
          <cell r="N1255" t="str">
            <v>RESOLUCION</v>
          </cell>
          <cell r="O1255">
            <v>207</v>
          </cell>
          <cell r="P1255">
            <v>43133</v>
          </cell>
          <cell r="Q1255" t="str">
            <v>AYUDA TEMPORAL A LAS FAMILIAS DE VARIAS LOCALIDADES, PARA RELOCALIZACIÓN DE HOGARES LOCALIZADOS EN ZONAS DE ALTO RIESGO NO MITIGABLE ID:2012-ALES-7, LOCALIDAD:19 CIUDAD BOLÍVAR, UPZ:69 ISMAEL PERDOMO, SECTOR:ALTOS DE LA ESTANCIA</v>
          </cell>
          <cell r="R1255">
            <v>3022327</v>
          </cell>
          <cell r="S1255">
            <v>431761</v>
          </cell>
          <cell r="T1255">
            <v>0</v>
          </cell>
          <cell r="U1255">
            <v>2590566</v>
          </cell>
          <cell r="V1255">
            <v>2590566</v>
          </cell>
        </row>
        <row r="1256">
          <cell r="J1256">
            <v>608</v>
          </cell>
          <cell r="K1256">
            <v>43133</v>
          </cell>
          <cell r="L1256" t="str">
            <v>TERESA DE JESUS BERNAL DE GONZALEZ</v>
          </cell>
          <cell r="M1256">
            <v>31</v>
          </cell>
          <cell r="N1256" t="str">
            <v>RESOLUCION</v>
          </cell>
          <cell r="O1256">
            <v>208</v>
          </cell>
          <cell r="P1256">
            <v>43133</v>
          </cell>
          <cell r="Q1256" t="str">
            <v>AYUDA TEMPORAL A LAS FAMILIAS DE VARIAS LOCALIDADES, PARA RELOCALIZACIÓN DE HOGARES LOCALIZADOS EN ZONAS DE ALTO RIESGO NO MITIGABLE ID:2009-5-11042, LOCALIDAD:05 USME, UPZ:57 GRAN YOMASA</v>
          </cell>
          <cell r="R1256">
            <v>6868797</v>
          </cell>
          <cell r="S1256">
            <v>0</v>
          </cell>
          <cell r="T1256">
            <v>0</v>
          </cell>
          <cell r="U1256">
            <v>6868797</v>
          </cell>
          <cell r="V1256">
            <v>4226952</v>
          </cell>
        </row>
        <row r="1257">
          <cell r="J1257">
            <v>609</v>
          </cell>
          <cell r="K1257">
            <v>43133</v>
          </cell>
          <cell r="L1257" t="str">
            <v>SARAY  GUTIERREZ PEDREROS</v>
          </cell>
          <cell r="M1257">
            <v>31</v>
          </cell>
          <cell r="N1257" t="str">
            <v>RESOLUCION</v>
          </cell>
          <cell r="O1257">
            <v>209</v>
          </cell>
          <cell r="P1257">
            <v>43133</v>
          </cell>
          <cell r="Q1257" t="str">
            <v>AYUDA TEMPORAL A LAS FAMILIAS DE VARIAS LOCALIDADES, PARA RELOCALIZACIÓN DE HOGARES LOCALIZADOS EN ZONAS DE ALTO RIESGO NO MITIGABLE ID:2016-08-14810, LOCALIDAD:08 KENNEDY, UPZ:82 PATIO BONITO, SECTOR:PALMITAS</v>
          </cell>
          <cell r="R1257">
            <v>3137015</v>
          </cell>
          <cell r="S1257">
            <v>448145</v>
          </cell>
          <cell r="T1257">
            <v>0</v>
          </cell>
          <cell r="U1257">
            <v>2688870</v>
          </cell>
          <cell r="V1257">
            <v>2688870</v>
          </cell>
        </row>
        <row r="1258">
          <cell r="J1258">
            <v>610</v>
          </cell>
          <cell r="K1258">
            <v>43133</v>
          </cell>
          <cell r="L1258" t="str">
            <v>NOLBERTO  ALAPE TAPIERO</v>
          </cell>
          <cell r="M1258">
            <v>31</v>
          </cell>
          <cell r="N1258" t="str">
            <v>RESOLUCION</v>
          </cell>
          <cell r="O1258">
            <v>210</v>
          </cell>
          <cell r="P1258">
            <v>43133</v>
          </cell>
          <cell r="Q1258" t="str">
            <v>AYUDA TEMPORAL A LAS FAMILIAS DE VARIAS LOCALIDADES, PARA RELOCALIZACIÓN DE HOGARES LOCALIZADOS EN ZONAS DE ALTO RIESGO NO MITIGABLE ID:2012-19-13842, LOCALIDAD:19 CIUDAD BOLÍVAR, UPZ:67 LUCERO</v>
          </cell>
          <cell r="R1258">
            <v>5946005</v>
          </cell>
          <cell r="S1258">
            <v>0</v>
          </cell>
          <cell r="T1258">
            <v>0</v>
          </cell>
          <cell r="U1258">
            <v>5946005</v>
          </cell>
          <cell r="V1258">
            <v>3659080</v>
          </cell>
        </row>
        <row r="1259">
          <cell r="J1259">
            <v>611</v>
          </cell>
          <cell r="K1259">
            <v>43133</v>
          </cell>
          <cell r="L1259" t="str">
            <v>JOSE ORLANDO GIRALDO GOMEZ</v>
          </cell>
          <cell r="M1259">
            <v>31</v>
          </cell>
          <cell r="N1259" t="str">
            <v>RESOLUCION</v>
          </cell>
          <cell r="O1259">
            <v>211</v>
          </cell>
          <cell r="P1259">
            <v>43133</v>
          </cell>
          <cell r="Q1259" t="str">
            <v>AYUDA TEMPORAL A LAS FAMILIAS DE VARIAS LOCALIDADES, PARA RELOCALIZACIÓN DE HOGARES LOCALIZADOS EN ZONAS DE ALTO RIESGO NO MITIGABLE ID:2015-W166-502, LOCALIDAD:03 SANTA FE, UPZ:95 LAS CRUCES, SECTOR:UITOTO</v>
          </cell>
          <cell r="R1259">
            <v>7036432</v>
          </cell>
          <cell r="S1259">
            <v>0</v>
          </cell>
          <cell r="T1259">
            <v>0</v>
          </cell>
          <cell r="U1259">
            <v>7036432</v>
          </cell>
          <cell r="V1259">
            <v>4330112</v>
          </cell>
        </row>
        <row r="1260">
          <cell r="J1260">
            <v>612</v>
          </cell>
          <cell r="K1260">
            <v>43133</v>
          </cell>
          <cell r="L1260" t="str">
            <v>ADAN  CARPIO CHAMAPURO</v>
          </cell>
          <cell r="M1260">
            <v>31</v>
          </cell>
          <cell r="N1260" t="str">
            <v>RESOLUCION</v>
          </cell>
          <cell r="O1260">
            <v>250</v>
          </cell>
          <cell r="P1260">
            <v>43133</v>
          </cell>
          <cell r="Q1260" t="str">
            <v>AYUDA TEMPORAL A LAS FAMILIAS DE VARIAS LOCALIDADES, PARA RELOCALIZACIÓN DE HOGARES LOCALIZADOS EN ZONAS DE ALTO RIESGO NO MITIGABLE ID:2015-W166-426, LOCALIDAD:19 CIUDAD BOLÍVAR, UPZ:68 EL TESORO, SECTOR:WOUNAAN</v>
          </cell>
          <cell r="R1260">
            <v>5528393</v>
          </cell>
          <cell r="S1260">
            <v>0</v>
          </cell>
          <cell r="T1260">
            <v>0</v>
          </cell>
          <cell r="U1260">
            <v>5528393</v>
          </cell>
          <cell r="V1260">
            <v>3402088</v>
          </cell>
        </row>
        <row r="1261">
          <cell r="J1261">
            <v>613</v>
          </cell>
          <cell r="K1261">
            <v>43133</v>
          </cell>
          <cell r="L1261" t="str">
            <v>YURY VICTORIA VARGAS DIAZ</v>
          </cell>
          <cell r="M1261">
            <v>31</v>
          </cell>
          <cell r="N1261" t="str">
            <v>RESOLUCION</v>
          </cell>
          <cell r="O1261">
            <v>212</v>
          </cell>
          <cell r="P1261">
            <v>43133</v>
          </cell>
          <cell r="Q1261" t="str">
            <v>AYUDA TEMPORAL A LAS FAMILIAS DE VARIAS LOCALIDADES, PARA RELOCALIZACIÓN DE HOGARES LOCALIZADOS EN ZONAS DE ALTO RIESGO NO MITIGABLE ID:2011-4-13634, LOCALIDAD:04 SAN CRISTÓBAL, UPZ:32 SAN BLAS</v>
          </cell>
          <cell r="R1261">
            <v>5172000</v>
          </cell>
          <cell r="S1261">
            <v>0</v>
          </cell>
          <cell r="T1261">
            <v>0</v>
          </cell>
          <cell r="U1261">
            <v>5172000</v>
          </cell>
          <cell r="V1261">
            <v>3448000</v>
          </cell>
        </row>
        <row r="1262">
          <cell r="J1262">
            <v>614</v>
          </cell>
          <cell r="K1262">
            <v>43133</v>
          </cell>
          <cell r="L1262" t="str">
            <v>OSCAR EMILIO LUVIESA CHAMARRA</v>
          </cell>
          <cell r="M1262">
            <v>31</v>
          </cell>
          <cell r="N1262" t="str">
            <v>RESOLUCION</v>
          </cell>
          <cell r="O1262">
            <v>251</v>
          </cell>
          <cell r="P1262">
            <v>43133</v>
          </cell>
          <cell r="Q1262" t="str">
            <v>AYUDA TEMPORAL A LAS FAMILIAS DE VARIAS LOCALIDADES, PARA RELOCALIZACIÓN DE HOGARES LOCALIZADOS EN ZONAS DE ALTO RIESGO NO MITIGABLE ID:2014-W166-008, LOCALIDAD:19 CIUDAD BOLÍVAR, UPZ:67 LUCERO, SECTOR:WOUNAAN</v>
          </cell>
          <cell r="R1262">
            <v>6236100</v>
          </cell>
          <cell r="S1262">
            <v>0</v>
          </cell>
          <cell r="T1262">
            <v>0</v>
          </cell>
          <cell r="U1262">
            <v>6236100</v>
          </cell>
          <cell r="V1262">
            <v>3837600</v>
          </cell>
        </row>
        <row r="1263">
          <cell r="J1263">
            <v>615</v>
          </cell>
          <cell r="K1263">
            <v>43133</v>
          </cell>
          <cell r="L1263" t="str">
            <v>DIEGO ENRIQUE GALLEGO MORALES</v>
          </cell>
          <cell r="M1263">
            <v>31</v>
          </cell>
          <cell r="N1263" t="str">
            <v>RESOLUCION</v>
          </cell>
          <cell r="O1263">
            <v>213</v>
          </cell>
          <cell r="P1263">
            <v>43133</v>
          </cell>
          <cell r="Q1263" t="str">
            <v>AYUDA TEMPORAL A LAS FAMILIAS DE VARIAS LOCALIDADES, PARA RELOCALIZACIÓN DE HOGARES LOCALIZADOS EN ZONAS DE ALTO RIESGO NO MITIGABLE ID:2012-19-14412, LOCALIDAD:19 CIUDAD BOLÍVAR, UPZ:68 EL TESORO, SECTOR:QUEBRADA TROMPETA</v>
          </cell>
          <cell r="R1263">
            <v>4795154</v>
          </cell>
          <cell r="S1263">
            <v>0</v>
          </cell>
          <cell r="T1263">
            <v>0</v>
          </cell>
          <cell r="U1263">
            <v>4795154</v>
          </cell>
          <cell r="V1263">
            <v>2950864</v>
          </cell>
        </row>
        <row r="1264">
          <cell r="J1264">
            <v>616</v>
          </cell>
          <cell r="K1264">
            <v>43133</v>
          </cell>
          <cell r="L1264" t="str">
            <v>JOSE ADER MENBACHE GARCIA</v>
          </cell>
          <cell r="M1264">
            <v>31</v>
          </cell>
          <cell r="N1264" t="str">
            <v>RESOLUCION</v>
          </cell>
          <cell r="O1264">
            <v>252</v>
          </cell>
          <cell r="P1264">
            <v>43133</v>
          </cell>
          <cell r="Q1264" t="str">
            <v>AYUDA TEMPORAL A LAS FAMILIAS DE VARIAS LOCALIDADES, PARA RELOCALIZACIÓN DE HOGARES LOCALIZADOS EN ZONAS DE ALTO RIESGO NO MITIGABLE ID:2014-W166-071, LOCALIDAD:19 CIUDAD BOLÍVAR, UPZ:68 EL TESORO, SECTOR:WOUNAAN</v>
          </cell>
          <cell r="R1264">
            <v>5285280</v>
          </cell>
          <cell r="S1264">
            <v>0</v>
          </cell>
          <cell r="T1264">
            <v>0</v>
          </cell>
          <cell r="U1264">
            <v>5285280</v>
          </cell>
          <cell r="V1264">
            <v>3252480</v>
          </cell>
        </row>
        <row r="1265">
          <cell r="J1265">
            <v>617</v>
          </cell>
          <cell r="K1265">
            <v>43133</v>
          </cell>
          <cell r="L1265" t="str">
            <v>EMILIO  ACEVEDO AGUIRRE</v>
          </cell>
          <cell r="M1265">
            <v>31</v>
          </cell>
          <cell r="N1265" t="str">
            <v>RESOLUCION</v>
          </cell>
          <cell r="O1265">
            <v>214</v>
          </cell>
          <cell r="P1265">
            <v>43133</v>
          </cell>
          <cell r="Q1265" t="str">
            <v>AYUDA TEMPORAL A LAS FAMILIAS DE VARIAS LOCALIDADES, PARA RELOCALIZACIÓN DE HOGARES LOCALIZADOS EN ZONAS DE ALTO RIESGO NO MITIGABLE ID:2011-19-12515, LOCALIDAD:19 CIUDAD BOLÍVAR, UPZ:67 LUCERO, SECTOR:OLA INVERNAL 2010 FOPAE</v>
          </cell>
          <cell r="R1265">
            <v>2845920</v>
          </cell>
          <cell r="S1265">
            <v>406560</v>
          </cell>
          <cell r="T1265">
            <v>0</v>
          </cell>
          <cell r="U1265">
            <v>2439360</v>
          </cell>
          <cell r="V1265">
            <v>2439360</v>
          </cell>
        </row>
        <row r="1266">
          <cell r="J1266">
            <v>618</v>
          </cell>
          <cell r="K1266">
            <v>43133</v>
          </cell>
          <cell r="L1266" t="str">
            <v>FANNY  ISMARE MERCAZA</v>
          </cell>
          <cell r="M1266">
            <v>31</v>
          </cell>
          <cell r="N1266" t="str">
            <v>RESOLUCION</v>
          </cell>
          <cell r="O1266">
            <v>253</v>
          </cell>
          <cell r="P1266">
            <v>43133</v>
          </cell>
          <cell r="Q1266" t="str">
            <v>AYUDA TEMPORAL A LAS FAMILIAS DE VARIAS LOCALIDADES, PARA RELOCALIZACIÓN DE HOGARES LOCALIZADOS EN ZONAS DE ALTO RIESGO NO MITIGABLE ID:2015-W166-421, LOCALIDAD:19 CIUDAD BOLÍVAR, UPZ:67 LUCERO, SECTOR:WOUNAAN</v>
          </cell>
          <cell r="R1266">
            <v>7036432</v>
          </cell>
          <cell r="S1266">
            <v>0</v>
          </cell>
          <cell r="T1266">
            <v>0</v>
          </cell>
          <cell r="U1266">
            <v>7036432</v>
          </cell>
          <cell r="V1266">
            <v>4330112</v>
          </cell>
        </row>
        <row r="1267">
          <cell r="J1267">
            <v>619</v>
          </cell>
          <cell r="K1267">
            <v>43133</v>
          </cell>
          <cell r="L1267" t="str">
            <v>MARIO HUGO RODRIGUEZ FLOREZ</v>
          </cell>
          <cell r="M1267">
            <v>31</v>
          </cell>
          <cell r="N1267" t="str">
            <v>RESOLUCION</v>
          </cell>
          <cell r="O1267">
            <v>215</v>
          </cell>
          <cell r="P1267">
            <v>43133</v>
          </cell>
          <cell r="Q1267" t="str">
            <v>AYUDA TEMPORAL A LAS FAMILIAS DE VARIAS LOCALIDADES, PARA RELOCALIZACIÓN DE HOGARES LOCALIZADOS EN ZONAS DE ALTO RIESGO NO MITIGABLE ID:2012-ALES-389, LOCALIDAD:19 CIUDAD BOLÍVAR, UPZ:69 ISMAEL PERDOMO, SECTOR:ALTOS DE LA ESTANCIA</v>
          </cell>
          <cell r="R1267">
            <v>6233708</v>
          </cell>
          <cell r="S1267">
            <v>0</v>
          </cell>
          <cell r="T1267">
            <v>0</v>
          </cell>
          <cell r="U1267">
            <v>6233708</v>
          </cell>
          <cell r="V1267">
            <v>3836128</v>
          </cell>
        </row>
        <row r="1268">
          <cell r="J1268">
            <v>620</v>
          </cell>
          <cell r="K1268">
            <v>43133</v>
          </cell>
          <cell r="L1268" t="str">
            <v>NELLY  SUA OJEDA</v>
          </cell>
          <cell r="M1268">
            <v>31</v>
          </cell>
          <cell r="N1268" t="str">
            <v>RESOLUCION</v>
          </cell>
          <cell r="O1268">
            <v>254</v>
          </cell>
          <cell r="P1268">
            <v>43133</v>
          </cell>
          <cell r="Q1268" t="str">
            <v>AYUDA TEMPORAL A LAS FAMILIAS DE VARIAS LOCALIDADES, PARA RELOCALIZACIÓN DE HOGARES LOCALIZADOS EN ZONAS DE ALTO RIESGO NO MITIGABLE ID:2012-19-14068, LOCALIDAD:19 CIUDAD BOLÍVAR, UPZ:68 EL TESORO, SECTOR:QUEBRADA TROMPETA</v>
          </cell>
          <cell r="R1268">
            <v>3570210</v>
          </cell>
          <cell r="S1268">
            <v>510030</v>
          </cell>
          <cell r="T1268">
            <v>0</v>
          </cell>
          <cell r="U1268">
            <v>3060180</v>
          </cell>
          <cell r="V1268">
            <v>3060180</v>
          </cell>
        </row>
        <row r="1269">
          <cell r="J1269">
            <v>621</v>
          </cell>
          <cell r="K1269">
            <v>43133</v>
          </cell>
          <cell r="L1269" t="str">
            <v>ANDREA ESMERALDA FRANCO ALGECIRA</v>
          </cell>
          <cell r="M1269">
            <v>31</v>
          </cell>
          <cell r="N1269" t="str">
            <v>RESOLUCION</v>
          </cell>
          <cell r="O1269">
            <v>255</v>
          </cell>
          <cell r="P1269">
            <v>43133</v>
          </cell>
          <cell r="Q1269" t="str">
            <v>AYUDA TEMPORAL A LAS FAMILIAS DE VARIAS LOCALIDADES, PARA RELOCALIZACIÓN DE HOGARES LOCALIZADOS EN ZONAS DE ALTO RIESGO NO MITIGABLE ID:2014-18-14706, LOCALIDAD:18 RAFAEL URIBE URIBE, UPZ:53 MARCO FIDEL SUÁREZ</v>
          </cell>
          <cell r="R1269">
            <v>2893681</v>
          </cell>
          <cell r="S1269">
            <v>413383</v>
          </cell>
          <cell r="T1269">
            <v>0</v>
          </cell>
          <cell r="U1269">
            <v>2480298</v>
          </cell>
          <cell r="V1269">
            <v>2480298</v>
          </cell>
        </row>
        <row r="1270">
          <cell r="J1270">
            <v>622</v>
          </cell>
          <cell r="K1270">
            <v>43133</v>
          </cell>
          <cell r="L1270" t="str">
            <v>MARIA INES CERINZA</v>
          </cell>
          <cell r="M1270">
            <v>31</v>
          </cell>
          <cell r="N1270" t="str">
            <v>RESOLUCION</v>
          </cell>
          <cell r="O1270">
            <v>256</v>
          </cell>
          <cell r="P1270">
            <v>43133</v>
          </cell>
          <cell r="Q1270" t="str">
            <v>AYUDA TEMPORAL A LAS FAMILIAS DE VARIAS LOCALIDADES, PARA RELOCALIZACIÓN DE HOGARES LOCALIZADOS EN ZONAS DE ALTO RIESGO NO MITIGABLE ID:2011-19-12555, LOCALIDAD:19 CIUDAD BOLÍVAR, UPZ:69 ISMAEL PERDOMO, SECTOR:OLA INVERNAL 2010 FOPAE</v>
          </cell>
          <cell r="R1270">
            <v>5754190</v>
          </cell>
          <cell r="S1270">
            <v>0</v>
          </cell>
          <cell r="T1270">
            <v>0</v>
          </cell>
          <cell r="U1270">
            <v>5754190</v>
          </cell>
          <cell r="V1270">
            <v>3098410</v>
          </cell>
        </row>
        <row r="1271">
          <cell r="J1271">
            <v>623</v>
          </cell>
          <cell r="K1271">
            <v>43133</v>
          </cell>
          <cell r="L1271" t="str">
            <v>NUBIA ESPERANZA SIERRA LEON</v>
          </cell>
          <cell r="M1271">
            <v>31</v>
          </cell>
          <cell r="N1271" t="str">
            <v>RESOLUCION</v>
          </cell>
          <cell r="O1271">
            <v>257</v>
          </cell>
          <cell r="P1271">
            <v>43133</v>
          </cell>
          <cell r="Q1271" t="str">
            <v>AYUDA TEMPORAL A LAS FAMILIAS DE VARIAS LOCALIDADES, PARA RELOCALIZACIÓN DE HOGARES LOCALIZADOS EN ZONAS DE ALTO RIESGO NO MITIGABLE ID:2016-08-14783, LOCALIDAD:08 KENNEDY, UPZ:82 PATIO BONITO, SECTOR:PALMITAS</v>
          </cell>
          <cell r="R1271">
            <v>5274672</v>
          </cell>
          <cell r="S1271">
            <v>0</v>
          </cell>
          <cell r="T1271">
            <v>0</v>
          </cell>
          <cell r="U1271">
            <v>5274672</v>
          </cell>
          <cell r="V1271">
            <v>3245952</v>
          </cell>
        </row>
        <row r="1272">
          <cell r="J1272">
            <v>624</v>
          </cell>
          <cell r="K1272">
            <v>43133</v>
          </cell>
          <cell r="L1272" t="str">
            <v>MONICA ANDREA VELEZ FERRIN</v>
          </cell>
          <cell r="M1272">
            <v>31</v>
          </cell>
          <cell r="N1272" t="str">
            <v>RESOLUCION</v>
          </cell>
          <cell r="O1272">
            <v>258</v>
          </cell>
          <cell r="P1272">
            <v>43133</v>
          </cell>
          <cell r="Q1272" t="str">
            <v>AYUDA TEMPORAL A LAS FAMILIAS DE VARIAS LOCALIDADES, PARA RELOCALIZACIÓN DE HOGARES LOCALIZADOS EN ZONAS DE ALTO RIESGO NO MITIGABLE ID:2012-19-14510, LOCALIDAD:19 CIUDAD BOLÍVAR, UPZ:68 EL TESORO, SECTOR:QUEBRADA EL INFIERNO</v>
          </cell>
          <cell r="R1272">
            <v>3098410</v>
          </cell>
          <cell r="S1272">
            <v>885260</v>
          </cell>
          <cell r="T1272">
            <v>0</v>
          </cell>
          <cell r="U1272">
            <v>2213150</v>
          </cell>
          <cell r="V1272">
            <v>2213150</v>
          </cell>
        </row>
        <row r="1273">
          <cell r="J1273">
            <v>625</v>
          </cell>
          <cell r="K1273">
            <v>43133</v>
          </cell>
          <cell r="L1273" t="str">
            <v>PABLO EMILIO REYES CALDERON</v>
          </cell>
          <cell r="M1273">
            <v>31</v>
          </cell>
          <cell r="N1273" t="str">
            <v>RESOLUCION</v>
          </cell>
          <cell r="O1273">
            <v>259</v>
          </cell>
          <cell r="P1273">
            <v>43133</v>
          </cell>
          <cell r="Q1273" t="str">
            <v>AYUDA TEMPORAL A LAS FAMILIAS DE VARIAS LOCALIDADES, PARA RELOCALIZACIÓN DE HOGARES LOCALIZADOS EN ZONAS DE ALTO RIESGO NO MITIGABLE ID:2013-Q10-00229, LOCALIDAD:19 CIUDAD BOLÍVAR, UPZ:67 LUCERO, SECTOR:PEÑA COLORADA</v>
          </cell>
          <cell r="R1273">
            <v>2685291</v>
          </cell>
          <cell r="S1273">
            <v>767226</v>
          </cell>
          <cell r="T1273">
            <v>0</v>
          </cell>
          <cell r="U1273">
            <v>1918065</v>
          </cell>
          <cell r="V1273">
            <v>1918065</v>
          </cell>
        </row>
        <row r="1274">
          <cell r="J1274">
            <v>626</v>
          </cell>
          <cell r="K1274">
            <v>43133</v>
          </cell>
          <cell r="L1274" t="str">
            <v>RUPERTO  SUAREZ MOLINA</v>
          </cell>
          <cell r="M1274">
            <v>31</v>
          </cell>
          <cell r="N1274" t="str">
            <v>RESOLUCION</v>
          </cell>
          <cell r="O1274">
            <v>260</v>
          </cell>
          <cell r="P1274">
            <v>43133</v>
          </cell>
          <cell r="Q1274" t="str">
            <v>AYUDA TEMPORAL A LAS FAMILIAS DE VARIAS LOCALIDADES, PARA RELOCALIZACIÓN DE HOGARES LOCALIZADOS EN ZONAS DE ALTO RIESGO NO MITIGABLE ID:2016-08-14894, LOCALIDAD:08 KENNEDY, UPZ:82 PATIO BONITO, SECTOR:PALMITAS</v>
          </cell>
          <cell r="R1274">
            <v>5178771</v>
          </cell>
          <cell r="S1274">
            <v>0</v>
          </cell>
          <cell r="T1274">
            <v>0</v>
          </cell>
          <cell r="U1274">
            <v>5178771</v>
          </cell>
          <cell r="V1274">
            <v>3186936</v>
          </cell>
        </row>
        <row r="1275">
          <cell r="J1275">
            <v>627</v>
          </cell>
          <cell r="K1275">
            <v>43133</v>
          </cell>
          <cell r="L1275" t="str">
            <v>JOSE EDILBERTO RESTREPO FORERO</v>
          </cell>
          <cell r="M1275">
            <v>31</v>
          </cell>
          <cell r="N1275" t="str">
            <v>RESOLUCION</v>
          </cell>
          <cell r="O1275">
            <v>261</v>
          </cell>
          <cell r="P1275">
            <v>43133</v>
          </cell>
          <cell r="Q1275" t="str">
            <v>AYUDA TEMPORAL A LAS FAMILIAS DE VARIAS LOCALIDADES, PARA RELOCALIZACIÓN DE HOGARES LOCALIZADOS EN ZONAS DE ALTO RIESGO NO MITIGABLE ID:2011-4-13183, LOCALIDAD:04 SAN CRISTÓBAL, UPZ:32 SAN BLAS</v>
          </cell>
          <cell r="R1275">
            <v>2924376</v>
          </cell>
          <cell r="S1275">
            <v>417768</v>
          </cell>
          <cell r="T1275">
            <v>0</v>
          </cell>
          <cell r="U1275">
            <v>2506608</v>
          </cell>
          <cell r="V1275">
            <v>2506608</v>
          </cell>
        </row>
        <row r="1276">
          <cell r="J1276">
            <v>628</v>
          </cell>
          <cell r="K1276">
            <v>43133</v>
          </cell>
          <cell r="L1276" t="str">
            <v>HERNANDO  CASTRO MERGAREJO</v>
          </cell>
          <cell r="M1276">
            <v>31</v>
          </cell>
          <cell r="N1276" t="str">
            <v>RESOLUCION</v>
          </cell>
          <cell r="O1276">
            <v>262</v>
          </cell>
          <cell r="P1276">
            <v>43133</v>
          </cell>
          <cell r="Q1276" t="str">
            <v>AYUDA TEMPORAL A LAS FAMILIAS DE VARIAS LOCALIDADES, PARA RELOCALIZACIÓN DE HOGARES LOCALIZADOS EN ZONAS DE ALTO RIESGO NO MITIGABLE ID:2013-Q09-00479, LOCALIDAD:19 CIUDAD BOLÍVAR, UPZ:67 LUCERO, SECTOR:QUEBRADA TROMPETA</v>
          </cell>
          <cell r="R1276">
            <v>3157315</v>
          </cell>
          <cell r="S1276">
            <v>451045</v>
          </cell>
          <cell r="T1276">
            <v>0</v>
          </cell>
          <cell r="U1276">
            <v>2706270</v>
          </cell>
          <cell r="V1276">
            <v>2706270</v>
          </cell>
        </row>
        <row r="1277">
          <cell r="J1277">
            <v>629</v>
          </cell>
          <cell r="K1277">
            <v>43133</v>
          </cell>
          <cell r="L1277" t="str">
            <v>MARIA CLAUDIA MENDEZ SANCHEZ</v>
          </cell>
          <cell r="M1277">
            <v>31</v>
          </cell>
          <cell r="N1277" t="str">
            <v>RESOLUCION</v>
          </cell>
          <cell r="O1277">
            <v>263</v>
          </cell>
          <cell r="P1277">
            <v>43133</v>
          </cell>
          <cell r="Q1277" t="str">
            <v>AYUDA TEMPORAL A LAS FAMILIAS DE VARIAS LOCALIDADES, PARA RELOCALIZACIÓN DE HOGARES LOCALIZADOS EN ZONAS DE ALTO RIESGO NO MITIGABLE ID:2011-19-12752, LOCALIDAD:19 CIUDAD BOLÍVAR, UPZ:68 EL TESORO, SECTOR:QUEBRADA EL INFIERNO</v>
          </cell>
          <cell r="R1277">
            <v>2845220</v>
          </cell>
          <cell r="S1277">
            <v>812920</v>
          </cell>
          <cell r="T1277">
            <v>0</v>
          </cell>
          <cell r="U1277">
            <v>2032300</v>
          </cell>
          <cell r="V1277">
            <v>2032300</v>
          </cell>
        </row>
        <row r="1278">
          <cell r="J1278">
            <v>630</v>
          </cell>
          <cell r="K1278">
            <v>43133</v>
          </cell>
          <cell r="L1278" t="str">
            <v>LUZ DARY VIRVIESCAS SANCHEZ</v>
          </cell>
          <cell r="M1278">
            <v>31</v>
          </cell>
          <cell r="N1278" t="str">
            <v>RESOLUCION</v>
          </cell>
          <cell r="O1278">
            <v>264</v>
          </cell>
          <cell r="P1278">
            <v>43133</v>
          </cell>
          <cell r="Q1278" t="str">
            <v>AYUDA TEMPORAL A LAS FAMILIAS DE VARIAS LOCALIDADES, PARA RELOCALIZACIÓN DE HOGARES LOCALIZADOS EN ZONAS DE ALTO RIESGO NO MITIGABLE ID:2011-19-12751, LOCALIDAD:19 CIUDAD BOLÍVAR, UPZ:68 EL TESORO, SECTOR:QUEBRADA EL INFIERNO</v>
          </cell>
          <cell r="R1278">
            <v>2845920</v>
          </cell>
          <cell r="S1278">
            <v>406560</v>
          </cell>
          <cell r="T1278">
            <v>0</v>
          </cell>
          <cell r="U1278">
            <v>2439360</v>
          </cell>
          <cell r="V1278">
            <v>2439360</v>
          </cell>
        </row>
        <row r="1279">
          <cell r="J1279">
            <v>631</v>
          </cell>
          <cell r="K1279">
            <v>43133</v>
          </cell>
          <cell r="L1279" t="str">
            <v>SILVIA  CABRERA GUERRERO</v>
          </cell>
          <cell r="M1279">
            <v>31</v>
          </cell>
          <cell r="N1279" t="str">
            <v>RESOLUCION</v>
          </cell>
          <cell r="O1279">
            <v>265</v>
          </cell>
          <cell r="P1279">
            <v>43133</v>
          </cell>
          <cell r="Q1279" t="str">
            <v>AYUDA TEMPORAL A LAS FAMILIAS DE VARIAS LOCALIDADES, PARA RELOCALIZACIÓN DE HOGARES LOCALIZADOS EN ZONAS DE ALTO RIESGO NO MITIGABLE ID:2015-W166-401, LOCALIDAD:19 CIUDAD BOLÍVAR, UPZ:70 JERUSALÉN, SECTOR:UITOTO</v>
          </cell>
          <cell r="R1279">
            <v>7036432</v>
          </cell>
          <cell r="S1279">
            <v>0</v>
          </cell>
          <cell r="T1279">
            <v>0</v>
          </cell>
          <cell r="U1279">
            <v>7036432</v>
          </cell>
          <cell r="V1279">
            <v>4330112</v>
          </cell>
        </row>
        <row r="1280">
          <cell r="J1280">
            <v>632</v>
          </cell>
          <cell r="K1280">
            <v>43133</v>
          </cell>
          <cell r="L1280" t="str">
            <v>ANUNCIO  MOÑA BURGARA</v>
          </cell>
          <cell r="M1280">
            <v>31</v>
          </cell>
          <cell r="N1280" t="str">
            <v>RESOLUCION</v>
          </cell>
          <cell r="O1280">
            <v>266</v>
          </cell>
          <cell r="P1280">
            <v>43133</v>
          </cell>
          <cell r="Q1280" t="str">
            <v>AYUDA TEMPORAL A LAS FAMILIAS DE VARIAS LOCALIDADES, PARA RELOCALIZACIÓN DE HOGARES LOCALIZADOS EN ZONAS DE ALTO RIESGO NO MITIGABLE ID:2014-W166-052, LOCALIDAD:19 CIUDAD BOLÍVAR, UPZ:68 EL TESORO, SECTOR:WOUNAAN</v>
          </cell>
          <cell r="R1280">
            <v>5178771</v>
          </cell>
          <cell r="S1280">
            <v>0</v>
          </cell>
          <cell r="T1280">
            <v>0</v>
          </cell>
          <cell r="U1280">
            <v>5178771</v>
          </cell>
          <cell r="V1280">
            <v>3186936</v>
          </cell>
        </row>
        <row r="1281">
          <cell r="J1281">
            <v>633</v>
          </cell>
          <cell r="K1281">
            <v>43133</v>
          </cell>
          <cell r="L1281" t="str">
            <v>SANDRA PATRICIA RODRIGUEZ ORTIZ</v>
          </cell>
          <cell r="M1281">
            <v>31</v>
          </cell>
          <cell r="N1281" t="str">
            <v>RESOLUCION</v>
          </cell>
          <cell r="O1281">
            <v>267</v>
          </cell>
          <cell r="P1281">
            <v>43133</v>
          </cell>
          <cell r="Q1281" t="str">
            <v>AYUDA TEMPORAL A LAS FAMILIAS DE VARIAS LOCALIDADES, PARA RELOCALIZACIÓN DE HOGARES LOCALIZADOS EN ZONAS DE ALTO RIESGO NO MITIGABLE ID:2014-OTR-01170, LOCALIDAD:11 SUBA, UPZ:71 TIBABUYES, SECTOR:GAVILANES</v>
          </cell>
          <cell r="R1281">
            <v>3014166</v>
          </cell>
          <cell r="S1281">
            <v>502361</v>
          </cell>
          <cell r="T1281">
            <v>0</v>
          </cell>
          <cell r="U1281">
            <v>2511805</v>
          </cell>
          <cell r="V1281">
            <v>2511805</v>
          </cell>
        </row>
        <row r="1282">
          <cell r="J1282">
            <v>634</v>
          </cell>
          <cell r="K1282">
            <v>43133</v>
          </cell>
          <cell r="L1282" t="str">
            <v>ELISABETH  MENESES RODRIGUEZ</v>
          </cell>
          <cell r="M1282">
            <v>31</v>
          </cell>
          <cell r="N1282" t="str">
            <v>RESOLUCION</v>
          </cell>
          <cell r="O1282">
            <v>268</v>
          </cell>
          <cell r="P1282">
            <v>43133</v>
          </cell>
          <cell r="Q1282" t="str">
            <v>AYUDA TEMPORAL A LAS FAMILIAS DE VARIAS LOCALIDADES, PARA RELOCALIZACIÓN DE HOGARES LOCALIZADOS EN ZONAS DE ALTO RIESGO NO MITIGABLE ID:2011-4-12690, LOCALIDAD:04 SAN CRISTÓBAL, UPZ:32 SAN BLAS</v>
          </cell>
          <cell r="R1282">
            <v>2590566</v>
          </cell>
          <cell r="S1282">
            <v>431761</v>
          </cell>
          <cell r="T1282">
            <v>0</v>
          </cell>
          <cell r="U1282">
            <v>2158805</v>
          </cell>
          <cell r="V1282">
            <v>2158805</v>
          </cell>
        </row>
        <row r="1283">
          <cell r="J1283">
            <v>635</v>
          </cell>
          <cell r="K1283">
            <v>43133</v>
          </cell>
          <cell r="L1283" t="str">
            <v>ANA VICTORIA MOLINA VARGAS</v>
          </cell>
          <cell r="M1283">
            <v>31</v>
          </cell>
          <cell r="N1283" t="str">
            <v>RESOLUCION</v>
          </cell>
          <cell r="O1283">
            <v>269</v>
          </cell>
          <cell r="P1283">
            <v>43133</v>
          </cell>
          <cell r="Q1283" t="str">
            <v>AYUDA TEMPORAL A LAS FAMILIAS DE VARIAS LOCALIDADES, PARA RELOCALIZACIÓN DE HOGARES LOCALIZADOS EN ZONAS DE ALTO RIESGO NO MITIGABLE ID:2016-4-14767, LOCALIDAD:04 SAN CRISTÓBAL, UPZ:32 SAN BLAS</v>
          </cell>
          <cell r="R1283">
            <v>3098412</v>
          </cell>
          <cell r="S1283">
            <v>516402</v>
          </cell>
          <cell r="T1283">
            <v>0</v>
          </cell>
          <cell r="U1283">
            <v>2582010</v>
          </cell>
          <cell r="V1283">
            <v>2582010</v>
          </cell>
        </row>
        <row r="1284">
          <cell r="J1284">
            <v>636</v>
          </cell>
          <cell r="K1284">
            <v>43133</v>
          </cell>
          <cell r="L1284" t="str">
            <v>CARMEN  MARTINEZ</v>
          </cell>
          <cell r="M1284">
            <v>31</v>
          </cell>
          <cell r="N1284" t="str">
            <v>RESOLUCION</v>
          </cell>
          <cell r="O1284">
            <v>270</v>
          </cell>
          <cell r="P1284">
            <v>43133</v>
          </cell>
          <cell r="Q1284" t="str">
            <v>AYUDA TEMPORAL A LAS FAMILIAS DE VARIAS LOCALIDADES, PARA RELOCALIZACIÓN DE HOGARES LOCALIZADOS EN ZONAS DE ALTO RIESGO NO MITIGABLE ID:2012-19-14046, LOCALIDAD:19 CIUDAD BOLÍVAR, UPZ:68 EL TESORO, SECTOR:QUEBRADA TROMPETA</v>
          </cell>
          <cell r="R1284">
            <v>2892240</v>
          </cell>
          <cell r="S1284">
            <v>482040</v>
          </cell>
          <cell r="T1284">
            <v>0</v>
          </cell>
          <cell r="U1284">
            <v>2410200</v>
          </cell>
          <cell r="V1284">
            <v>2410200</v>
          </cell>
        </row>
        <row r="1285">
          <cell r="J1285">
            <v>637</v>
          </cell>
          <cell r="K1285">
            <v>43133</v>
          </cell>
          <cell r="L1285" t="str">
            <v>MANUEL LIBARDO ARIAS MARQUEZ</v>
          </cell>
          <cell r="M1285">
            <v>31</v>
          </cell>
          <cell r="N1285" t="str">
            <v>RESOLUCION</v>
          </cell>
          <cell r="O1285">
            <v>271</v>
          </cell>
          <cell r="P1285">
            <v>43133</v>
          </cell>
          <cell r="Q1285" t="str">
            <v>AYUDA TEMPORAL A LAS FAMILIAS DE VARIAS LOCALIDADES, PARA RELOCALIZACIÓN DE HOGARES LOCALIZADOS EN ZONAS DE ALTO RIESGO NO MITIGABLE ID:2007-19-9702, LOCALIDAD:19 CIUDAD BOLÍVAR, UPZ:69 ISMAEL PERDOMO</v>
          </cell>
          <cell r="R1285">
            <v>2582006</v>
          </cell>
          <cell r="S1285">
            <v>368858</v>
          </cell>
          <cell r="T1285">
            <v>0</v>
          </cell>
          <cell r="U1285">
            <v>2213148</v>
          </cell>
          <cell r="V1285">
            <v>2213148</v>
          </cell>
        </row>
        <row r="1286">
          <cell r="J1286">
            <v>638</v>
          </cell>
          <cell r="K1286">
            <v>43133</v>
          </cell>
          <cell r="L1286" t="str">
            <v>YERSON FABIAN LOPEZ PENAGOS</v>
          </cell>
          <cell r="M1286">
            <v>31</v>
          </cell>
          <cell r="N1286" t="str">
            <v>RESOLUCION</v>
          </cell>
          <cell r="O1286">
            <v>512</v>
          </cell>
          <cell r="P1286">
            <v>43102</v>
          </cell>
          <cell r="Q1286" t="str">
            <v>Asignacion del instrumento financiero a las familias ocupantes del predio que hayan superado la fase de verificacion dentro  del marco del Decreto 457 de 2017. LOCALIDAD: KENNEDY; BARRIO: VEREDITAS; ID: 2017-8-383888</v>
          </cell>
          <cell r="R1286">
            <v>54686940</v>
          </cell>
          <cell r="S1286">
            <v>0</v>
          </cell>
          <cell r="T1286">
            <v>0</v>
          </cell>
          <cell r="U1286">
            <v>54686940</v>
          </cell>
          <cell r="V1286">
            <v>54686940</v>
          </cell>
        </row>
        <row r="1287">
          <cell r="J1287">
            <v>639</v>
          </cell>
          <cell r="K1287">
            <v>43133</v>
          </cell>
          <cell r="L1287" t="str">
            <v>EVA  ORTIZ CABEZON</v>
          </cell>
          <cell r="M1287">
            <v>31</v>
          </cell>
          <cell r="N1287" t="str">
            <v>RESOLUCION</v>
          </cell>
          <cell r="O1287">
            <v>272</v>
          </cell>
          <cell r="P1287">
            <v>43133</v>
          </cell>
          <cell r="Q1287" t="str">
            <v>AYUDA TEMPORAL A LAS FAMILIAS DE VARIAS LOCALIDADES, PARA RELOCALIZACIÓN DE HOGARES LOCALIZADOS EN ZONAS DE ALTO RIESGO NO MITIGABLE ID:2014-W166-058, LOCALIDAD:19 CIUDAD BOLÍVAR, UPZ:68 EL TESORO, SECTOR:WOUNAAN</v>
          </cell>
          <cell r="R1287">
            <v>5284500</v>
          </cell>
          <cell r="S1287">
            <v>0</v>
          </cell>
          <cell r="T1287">
            <v>0</v>
          </cell>
          <cell r="U1287">
            <v>5284500</v>
          </cell>
          <cell r="V1287">
            <v>3252000</v>
          </cell>
        </row>
        <row r="1288">
          <cell r="J1288">
            <v>640</v>
          </cell>
          <cell r="K1288">
            <v>43133</v>
          </cell>
          <cell r="L1288" t="str">
            <v>JOSE GONZALO PINZON SOSA</v>
          </cell>
          <cell r="M1288">
            <v>31</v>
          </cell>
          <cell r="N1288" t="str">
            <v>RESOLUCION</v>
          </cell>
          <cell r="O1288">
            <v>106</v>
          </cell>
          <cell r="P1288">
            <v>43133</v>
          </cell>
          <cell r="Q1288" t="str">
            <v>AYUDA TEMPORAL A LAS FAMILIAS DE VARIAS LOCALIDADES, PARA RELOCALIZACIÓN DE HOGARES LOCALIZADOS EN ZONAS DE ALTO RIESGO NO MITIGABLE ID:2011-4-12686, LOCALIDAD:04 SAN CRISTÓBAL, UPZ:32 SAN BLAS</v>
          </cell>
          <cell r="R1288">
            <v>2977086</v>
          </cell>
          <cell r="S1288">
            <v>496181</v>
          </cell>
          <cell r="T1288">
            <v>0</v>
          </cell>
          <cell r="U1288">
            <v>2480905</v>
          </cell>
          <cell r="V1288">
            <v>2480905</v>
          </cell>
        </row>
        <row r="1289">
          <cell r="J1289">
            <v>641</v>
          </cell>
          <cell r="K1289">
            <v>43133</v>
          </cell>
          <cell r="L1289" t="str">
            <v>NUBIA ENID MENDEZ CORREDOR</v>
          </cell>
          <cell r="M1289">
            <v>31</v>
          </cell>
          <cell r="N1289" t="str">
            <v>RESOLUCION</v>
          </cell>
          <cell r="O1289">
            <v>107</v>
          </cell>
          <cell r="P1289">
            <v>43133</v>
          </cell>
          <cell r="Q1289" t="str">
            <v>AYUDA TEMPORAL A LAS FAMILIAS DE VARIAS LOCALIDADES, PARA RELOCALIZACIÓN DE HOGARES LOCALIZADOS EN ZONAS DE ALTO RIESGO NO MITIGABLE ID:2014-LC-00812, LOCALIDAD:19 CIUDAD BOLÍVAR, UPZ:69 ISMAEL PERDOMO</v>
          </cell>
          <cell r="R1289">
            <v>2882880</v>
          </cell>
          <cell r="S1289">
            <v>480480</v>
          </cell>
          <cell r="T1289">
            <v>0</v>
          </cell>
          <cell r="U1289">
            <v>2402400</v>
          </cell>
          <cell r="V1289">
            <v>2402400</v>
          </cell>
        </row>
        <row r="1290">
          <cell r="J1290">
            <v>642</v>
          </cell>
          <cell r="K1290">
            <v>43133</v>
          </cell>
          <cell r="L1290" t="str">
            <v>JHON ALEXANDER SARMIENTO</v>
          </cell>
          <cell r="M1290">
            <v>31</v>
          </cell>
          <cell r="N1290" t="str">
            <v>RESOLUCION</v>
          </cell>
          <cell r="O1290">
            <v>108</v>
          </cell>
          <cell r="P1290">
            <v>43133</v>
          </cell>
          <cell r="Q1290" t="str">
            <v>AYUDA TEMPORAL A LAS FAMILIAS DE VARIAS LOCALIDADES, PARA RELOCALIZACIÓN DE HOGARES LOCALIZADOS EN ZONAS DE ALTO RIESGO NO MITIGABLE ID:2012-T314-04, LOCALIDAD:04 SAN CRISTÓBAL, UPZ:50 LA GLORIA</v>
          </cell>
          <cell r="R1290">
            <v>2784006</v>
          </cell>
          <cell r="S1290">
            <v>464001</v>
          </cell>
          <cell r="T1290">
            <v>0</v>
          </cell>
          <cell r="U1290">
            <v>2320005</v>
          </cell>
          <cell r="V1290">
            <v>2320005</v>
          </cell>
        </row>
        <row r="1291">
          <cell r="J1291">
            <v>643</v>
          </cell>
          <cell r="K1291">
            <v>43133</v>
          </cell>
          <cell r="L1291" t="str">
            <v>JESUS MARCIAL MAYAG IPUJAN</v>
          </cell>
          <cell r="M1291">
            <v>31</v>
          </cell>
          <cell r="N1291" t="str">
            <v>RESOLUCION</v>
          </cell>
          <cell r="O1291">
            <v>109</v>
          </cell>
          <cell r="P1291">
            <v>43133</v>
          </cell>
          <cell r="Q1291" t="str">
            <v>AYUDA TEMPORAL A LAS FAMILIAS DE VARIAS LOCALIDADES, PARA RELOCALIZACIÓN DE HOGARES LOCALIZADOS EN ZONAS DE ALTO RIESGO NO MITIGABLE ID:2011-4-12637, LOCALIDAD:04 SAN CRISTÓBAL, UPZ:32 SAN BLAS</v>
          </cell>
          <cell r="R1291">
            <v>2667402</v>
          </cell>
          <cell r="S1291">
            <v>444567</v>
          </cell>
          <cell r="T1291">
            <v>0</v>
          </cell>
          <cell r="U1291">
            <v>2222835</v>
          </cell>
          <cell r="V1291">
            <v>2222835</v>
          </cell>
        </row>
        <row r="1292">
          <cell r="J1292">
            <v>644</v>
          </cell>
          <cell r="K1292">
            <v>43133</v>
          </cell>
          <cell r="L1292" t="str">
            <v>MARIA WFELMIDA ANZOLA GALINDO</v>
          </cell>
          <cell r="M1292">
            <v>31</v>
          </cell>
          <cell r="N1292" t="str">
            <v>RESOLUCION</v>
          </cell>
          <cell r="O1292">
            <v>110</v>
          </cell>
          <cell r="P1292">
            <v>43133</v>
          </cell>
          <cell r="Q1292" t="str">
            <v>AYUDA TEMPORAL A LAS FAMILIAS DE VARIAS LOCALIDADES, PARA RELOCALIZACIÓN DE HOGARES LOCALIZADOS EN ZONAS DE ALTO RIESGO NO MITIGABLE ID:2012-19-14192, LOCALIDAD:19 CIUDAD BOLÍVAR, UPZ:68 EL TESORO, SECTOR:QUEBRADA TROMPETA</v>
          </cell>
          <cell r="R1292">
            <v>2213148</v>
          </cell>
          <cell r="S1292">
            <v>368858</v>
          </cell>
          <cell r="T1292">
            <v>0</v>
          </cell>
          <cell r="U1292">
            <v>1844290</v>
          </cell>
          <cell r="V1292">
            <v>1844290</v>
          </cell>
        </row>
        <row r="1293">
          <cell r="J1293">
            <v>645</v>
          </cell>
          <cell r="K1293">
            <v>43133</v>
          </cell>
          <cell r="L1293" t="str">
            <v>MAYURI  RODRIGUEZ RAMIREZ</v>
          </cell>
          <cell r="M1293">
            <v>31</v>
          </cell>
          <cell r="N1293" t="str">
            <v>RESOLUCION</v>
          </cell>
          <cell r="O1293">
            <v>111</v>
          </cell>
          <cell r="P1293">
            <v>43133</v>
          </cell>
          <cell r="Q1293" t="str">
            <v>AYUDA TEMPORAL A LAS FAMILIAS DE VARIAS LOCALIDADES, PARA RELOCALIZACIÓN DE HOGARES LOCALIZADOS EN ZONAS DE ALTO RIESGO NO MITIGABLE ID:2017-04-14930, LOCALIDAD:04 SAN CRISTÓBAL, UPZ:32 SAN BLAS, SECTOR:TRIANGULO ALTO</v>
          </cell>
          <cell r="R1293">
            <v>2434464</v>
          </cell>
          <cell r="S1293">
            <v>405744</v>
          </cell>
          <cell r="T1293">
            <v>0</v>
          </cell>
          <cell r="U1293">
            <v>2028720</v>
          </cell>
          <cell r="V1293">
            <v>2028720</v>
          </cell>
        </row>
        <row r="1294">
          <cell r="J1294">
            <v>646</v>
          </cell>
          <cell r="K1294">
            <v>43133</v>
          </cell>
          <cell r="L1294" t="str">
            <v>BLANCA LUCILA BELTRAN</v>
          </cell>
          <cell r="M1294">
            <v>31</v>
          </cell>
          <cell r="N1294" t="str">
            <v>RESOLUCION</v>
          </cell>
          <cell r="O1294">
            <v>112</v>
          </cell>
          <cell r="P1294">
            <v>43133</v>
          </cell>
          <cell r="Q1294" t="str">
            <v>AYUDA TEMPORAL A LAS FAMILIAS DE VARIAS LOCALIDADES, PARA RELOCALIZACIÓN DE HOGARES LOCALIZADOS EN ZONAS DE ALTO RIESGO NO MITIGABLE ID:2011-4-12656, LOCALIDAD:04 SAN CRISTÓBAL, UPZ:32 SAN BLAS</v>
          </cell>
          <cell r="R1294">
            <v>2655780</v>
          </cell>
          <cell r="S1294">
            <v>442630</v>
          </cell>
          <cell r="T1294">
            <v>0</v>
          </cell>
          <cell r="U1294">
            <v>2213150</v>
          </cell>
          <cell r="V1294">
            <v>2213150</v>
          </cell>
        </row>
        <row r="1295">
          <cell r="J1295">
            <v>647</v>
          </cell>
          <cell r="K1295">
            <v>43133</v>
          </cell>
          <cell r="L1295" t="str">
            <v>LILIA INES DUARTE RUBIANO</v>
          </cell>
          <cell r="M1295">
            <v>31</v>
          </cell>
          <cell r="N1295" t="str">
            <v>RESOLUCION</v>
          </cell>
          <cell r="O1295">
            <v>113</v>
          </cell>
          <cell r="P1295">
            <v>43133</v>
          </cell>
          <cell r="Q1295" t="str">
            <v>AYUDA TEMPORAL A LAS FAMILIAS DE VARIAS LOCALIDADES, PARA RELOCALIZACIÓN DE HOGARES LOCALIZADOS EN ZONAS DE ALTO RIESGO NO MITIGABLE ID:2010-5-11557, LOCALIDAD:05 USME, UPZ:57 GRAN YOMASA, SECTOR:OLA INVERNAL 2010 FOPAE</v>
          </cell>
          <cell r="R1295">
            <v>2678000</v>
          </cell>
          <cell r="S1295">
            <v>2678000</v>
          </cell>
          <cell r="T1295">
            <v>0</v>
          </cell>
          <cell r="U1295">
            <v>0</v>
          </cell>
          <cell r="V1295">
            <v>0</v>
          </cell>
        </row>
        <row r="1296">
          <cell r="J1296">
            <v>648</v>
          </cell>
          <cell r="K1296">
            <v>43133</v>
          </cell>
          <cell r="L1296" t="str">
            <v>LILIA INES DUARTE RUBIANO</v>
          </cell>
          <cell r="M1296">
            <v>31</v>
          </cell>
          <cell r="N1296" t="str">
            <v>RESOLUCION</v>
          </cell>
          <cell r="O1296">
            <v>113</v>
          </cell>
          <cell r="P1296">
            <v>43133</v>
          </cell>
          <cell r="Q1296" t="str">
            <v>AYUDA TEMPORAL A LAS FAMILIAS DE VARIAS LOCALIDADES, PARA RELOCALIZACIÓN DE HOGARES LOCALIZADOS EN ZONAS DE ALTO RIESGO NO MITIGABLE ID:2010-5-11557, LOCALIDAD:05 USME, UPZ:57 GRAN YOMASA, SECTOR:OLA INVERNAL 2010 FOPAE</v>
          </cell>
          <cell r="R1296">
            <v>3213600</v>
          </cell>
          <cell r="S1296">
            <v>535600</v>
          </cell>
          <cell r="T1296">
            <v>0</v>
          </cell>
          <cell r="U1296">
            <v>2678000</v>
          </cell>
          <cell r="V1296">
            <v>2678000</v>
          </cell>
        </row>
        <row r="1297">
          <cell r="J1297">
            <v>651</v>
          </cell>
          <cell r="K1297">
            <v>43133</v>
          </cell>
          <cell r="L1297" t="str">
            <v>JOSE FLORINDO BARAJAS</v>
          </cell>
          <cell r="M1297">
            <v>31</v>
          </cell>
          <cell r="N1297" t="str">
            <v>RESOLUCION</v>
          </cell>
          <cell r="O1297">
            <v>114</v>
          </cell>
          <cell r="P1297">
            <v>43133</v>
          </cell>
          <cell r="Q1297" t="str">
            <v>AYUDA TEMPORAL A LAS FAMILIAS DE VARIAS LOCALIDADES, PARA RELOCALIZACIÓN DE HOGARES LOCALIZADOS EN ZONAS DE ALTO RIESGO NO MITIGABLE ID:2015-D227-00045, LOCALIDAD:04 SAN CRISTÓBAL, UPZ:51 LOS LIBERTADORES, SECTOR:SANTA TERESITA</v>
          </cell>
          <cell r="R1297">
            <v>2976996</v>
          </cell>
          <cell r="S1297">
            <v>496166</v>
          </cell>
          <cell r="T1297">
            <v>0</v>
          </cell>
          <cell r="U1297">
            <v>2480830</v>
          </cell>
          <cell r="V1297">
            <v>2480830</v>
          </cell>
        </row>
        <row r="1298">
          <cell r="J1298">
            <v>652</v>
          </cell>
          <cell r="K1298">
            <v>43133</v>
          </cell>
          <cell r="L1298" t="str">
            <v>PEDRO ANTONIO RODRIGUEZ CIFUENTES</v>
          </cell>
          <cell r="M1298">
            <v>31</v>
          </cell>
          <cell r="N1298" t="str">
            <v>RESOLUCION</v>
          </cell>
          <cell r="O1298">
            <v>115</v>
          </cell>
          <cell r="P1298">
            <v>43133</v>
          </cell>
          <cell r="Q1298" t="str">
            <v>AYUDA TEMPORAL A LAS FAMILIAS DE VARIAS LOCALIDADES, PARA RELOCALIZACIÓN DE HOGARES LOCALIZADOS EN ZONAS DE ALTO RIESGO NO MITIGABLE ID:2012-19-13964, LOCALIDAD:19 CIUDAD BOLÍVAR, UPZ:67 LUCERO, SECTOR:ZANJÓN DE LA ESTRELLA</v>
          </cell>
          <cell r="R1298">
            <v>2586000</v>
          </cell>
          <cell r="S1298">
            <v>431000</v>
          </cell>
          <cell r="T1298">
            <v>0</v>
          </cell>
          <cell r="U1298">
            <v>2155000</v>
          </cell>
          <cell r="V1298">
            <v>2155000</v>
          </cell>
        </row>
        <row r="1299">
          <cell r="J1299">
            <v>654</v>
          </cell>
          <cell r="K1299">
            <v>43136</v>
          </cell>
          <cell r="L1299" t="str">
            <v>ALONSO  HERRERA CARPIO</v>
          </cell>
          <cell r="M1299">
            <v>31</v>
          </cell>
          <cell r="N1299" t="str">
            <v>RESOLUCION</v>
          </cell>
          <cell r="O1299">
            <v>116</v>
          </cell>
          <cell r="P1299">
            <v>43136</v>
          </cell>
          <cell r="Q1299" t="str">
            <v>AYUDA TEMPORAL A LAS FAMILIAS DE VARIAS LOCALIDADES, PARA RELOCALIZACIÓN DE HOGARES LOCALIZADOS EN ZONAS DE ALTO RIESGO NO MITIGABLE ID:2011-4-12695, LOCALIDAD:04 SAN CRISTÓBAL, UPZ:32 SAN BLAS</v>
          </cell>
          <cell r="R1299">
            <v>2301678</v>
          </cell>
          <cell r="S1299">
            <v>383613</v>
          </cell>
          <cell r="T1299">
            <v>0</v>
          </cell>
          <cell r="U1299">
            <v>1918065</v>
          </cell>
          <cell r="V1299">
            <v>1918065</v>
          </cell>
        </row>
        <row r="1300">
          <cell r="J1300">
            <v>655</v>
          </cell>
          <cell r="K1300">
            <v>43136</v>
          </cell>
          <cell r="L1300" t="str">
            <v>NUBIA XIMENA CAMACHO PUENTES</v>
          </cell>
          <cell r="M1300">
            <v>31</v>
          </cell>
          <cell r="N1300" t="str">
            <v>RESOLUCION</v>
          </cell>
          <cell r="O1300">
            <v>117</v>
          </cell>
          <cell r="P1300">
            <v>43136</v>
          </cell>
          <cell r="Q1300" t="str">
            <v>AYUDA TEMPORAL A LAS FAMILIAS DE VARIAS LOCALIDADES, PARA RELOCALIZACIÓN DE HOGARES LOCALIZADOS EN ZONAS DE ALTO RIESGO NO MITIGABLE ID:2012-T314-02, LOCALIDAD:04 SAN CRISTÓBAL, UPZ:50 LA GLORIA</v>
          </cell>
          <cell r="R1300">
            <v>2474634</v>
          </cell>
          <cell r="S1300">
            <v>412439</v>
          </cell>
          <cell r="T1300">
            <v>0</v>
          </cell>
          <cell r="U1300">
            <v>2062195</v>
          </cell>
          <cell r="V1300">
            <v>2062195</v>
          </cell>
        </row>
        <row r="1301">
          <cell r="J1301">
            <v>656</v>
          </cell>
          <cell r="K1301">
            <v>43136</v>
          </cell>
          <cell r="L1301" t="str">
            <v>LUZ AMANDA CASTRO</v>
          </cell>
          <cell r="M1301">
            <v>31</v>
          </cell>
          <cell r="N1301" t="str">
            <v>RESOLUCION</v>
          </cell>
          <cell r="O1301">
            <v>118</v>
          </cell>
          <cell r="P1301">
            <v>43136</v>
          </cell>
          <cell r="Q1301" t="str">
            <v>AYUDA TEMPORAL A LAS FAMILIAS DE VARIAS LOCALIDADES, PARA RELOCALIZACIÓN DE HOGARES LOCALIZADOS EN ZONAS DE ALTO RIESGO NO MITIGABLE ID:2014-LC-00811, LOCALIDAD:19 CIUDAD BOLÍVAR, UPZ:69 ISMAEL PERDOMO</v>
          </cell>
          <cell r="R1301">
            <v>2436000</v>
          </cell>
          <cell r="S1301">
            <v>406000</v>
          </cell>
          <cell r="T1301">
            <v>0</v>
          </cell>
          <cell r="U1301">
            <v>2030000</v>
          </cell>
          <cell r="V1301">
            <v>2030000</v>
          </cell>
        </row>
        <row r="1302">
          <cell r="J1302">
            <v>657</v>
          </cell>
          <cell r="K1302">
            <v>43136</v>
          </cell>
          <cell r="L1302" t="str">
            <v>LUZ STELLA CRIOLLO</v>
          </cell>
          <cell r="M1302">
            <v>31</v>
          </cell>
          <cell r="N1302" t="str">
            <v>RESOLUCION</v>
          </cell>
          <cell r="O1302">
            <v>119</v>
          </cell>
          <cell r="P1302">
            <v>43136</v>
          </cell>
          <cell r="Q1302" t="str">
            <v>AYUDA TEMPORAL A LAS FAMILIAS DE VARIAS LOCALIDADES, PARA RELOCALIZACIÓN DE HOGARES LOCALIZADOS EN ZONAS DE ALTO RIESGO NO MITIGABLE ID:2014-Q03-00991, LOCALIDAD:19 CIUDAD BOLÍVAR, UPZ:66 SAN FRANCISCO, SECTOR:LIMAS</v>
          </cell>
          <cell r="R1302">
            <v>2586000</v>
          </cell>
          <cell r="S1302">
            <v>431000</v>
          </cell>
          <cell r="T1302">
            <v>0</v>
          </cell>
          <cell r="U1302">
            <v>2155000</v>
          </cell>
          <cell r="V1302">
            <v>2155000</v>
          </cell>
        </row>
        <row r="1303">
          <cell r="J1303">
            <v>658</v>
          </cell>
          <cell r="K1303">
            <v>43136</v>
          </cell>
          <cell r="L1303" t="str">
            <v>ROSMIRA  ASPRILLA MOSQUERA</v>
          </cell>
          <cell r="M1303">
            <v>31</v>
          </cell>
          <cell r="N1303" t="str">
            <v>RESOLUCION</v>
          </cell>
          <cell r="O1303">
            <v>120</v>
          </cell>
          <cell r="P1303">
            <v>43136</v>
          </cell>
          <cell r="Q1303" t="str">
            <v>AYUDA TEMPORAL A LAS FAMILIAS DE VARIAS LOCALIDADES, PARA RELOCALIZACIÓN DE HOGARES LOCALIZADOS EN ZONAS DE ALTO RIESGO NO MITIGABLE ID:2011-4-12712, LOCALIDAD:04 SAN CRISTÓBAL, UPZ:32 SAN BLAS</v>
          </cell>
          <cell r="R1303">
            <v>2213148</v>
          </cell>
          <cell r="S1303">
            <v>368858</v>
          </cell>
          <cell r="T1303">
            <v>0</v>
          </cell>
          <cell r="U1303">
            <v>1844290</v>
          </cell>
          <cell r="V1303">
            <v>1844290</v>
          </cell>
        </row>
        <row r="1304">
          <cell r="J1304">
            <v>659</v>
          </cell>
          <cell r="K1304">
            <v>43136</v>
          </cell>
          <cell r="L1304" t="str">
            <v>LADY JOHANNA BENAVIDES RIVERA</v>
          </cell>
          <cell r="M1304">
            <v>31</v>
          </cell>
          <cell r="N1304" t="str">
            <v>RESOLUCION</v>
          </cell>
          <cell r="O1304">
            <v>121</v>
          </cell>
          <cell r="P1304">
            <v>43136</v>
          </cell>
          <cell r="Q1304" t="str">
            <v>AYUDA TEMPORAL A LAS FAMILIAS DE VARIAS LOCALIDADES, PARA RELOCALIZACIÓN DE HOGARES LOCALIZADOS EN ZONAS DE ALTO RIESGO NO MITIGABLE ID:2016-08-14867, LOCALIDAD:08 KENNEDY, UPZ:82 PATIO BONITO, SECTOR:PALMITAS</v>
          </cell>
          <cell r="R1304">
            <v>5556993</v>
          </cell>
          <cell r="S1304">
            <v>0</v>
          </cell>
          <cell r="T1304">
            <v>0</v>
          </cell>
          <cell r="U1304">
            <v>5556993</v>
          </cell>
          <cell r="V1304">
            <v>3419688</v>
          </cell>
        </row>
        <row r="1305">
          <cell r="J1305">
            <v>660</v>
          </cell>
          <cell r="K1305">
            <v>43136</v>
          </cell>
          <cell r="L1305" t="str">
            <v>LUIS EDUARDO SANCHEZ VERA</v>
          </cell>
          <cell r="M1305">
            <v>31</v>
          </cell>
          <cell r="N1305" t="str">
            <v>RESOLUCION</v>
          </cell>
          <cell r="O1305">
            <v>122</v>
          </cell>
          <cell r="P1305">
            <v>43136</v>
          </cell>
          <cell r="Q1305" t="str">
            <v>AYUDA TEMPORAL A LAS FAMILIAS DE VARIAS LOCALIDADES, PARA RELOCALIZACIÓN DE HOGARES LOCALIZADOS EN ZONAS DE ALTO RIESGO NO MITIGABLE ID:2013-Q10-00522, LOCALIDAD:04 SAN CRISTÓBAL, UPZ:51 LOS LIBERTADORES, SECTOR:QUEBRADA VEREJONES</v>
          </cell>
          <cell r="R1305">
            <v>5361421</v>
          </cell>
          <cell r="S1305">
            <v>0</v>
          </cell>
          <cell r="T1305">
            <v>0</v>
          </cell>
          <cell r="U1305">
            <v>5361421</v>
          </cell>
          <cell r="V1305">
            <v>3299336</v>
          </cell>
        </row>
        <row r="1306">
          <cell r="J1306">
            <v>661</v>
          </cell>
          <cell r="K1306">
            <v>43136</v>
          </cell>
          <cell r="L1306" t="str">
            <v>FRANCISCO LUIS LOPEZ OROZCO</v>
          </cell>
          <cell r="M1306">
            <v>31</v>
          </cell>
          <cell r="N1306" t="str">
            <v>RESOLUCION</v>
          </cell>
          <cell r="O1306">
            <v>123</v>
          </cell>
          <cell r="P1306">
            <v>43136</v>
          </cell>
          <cell r="Q1306" t="str">
            <v>AYUDA TEMPORAL A LAS FAMILIAS DE VARIAS LOCALIDADES, PARA RELOCALIZACIÓN DE HOGARES LOCALIZADOS EN ZONAS DE ALTO RIESGO NO MITIGABLE ID:2011-19-12882, LOCALIDAD:19 CIUDAD BOLÍVAR, UPZ:67 LUCERO</v>
          </cell>
          <cell r="R1306">
            <v>2788562</v>
          </cell>
          <cell r="S1306">
            <v>398366</v>
          </cell>
          <cell r="T1306">
            <v>0</v>
          </cell>
          <cell r="U1306">
            <v>2390196</v>
          </cell>
          <cell r="V1306">
            <v>2390196</v>
          </cell>
        </row>
        <row r="1307">
          <cell r="J1307">
            <v>662</v>
          </cell>
          <cell r="K1307">
            <v>43136</v>
          </cell>
          <cell r="L1307" t="str">
            <v>BERNEY  VIUCHE SIERRA</v>
          </cell>
          <cell r="M1307">
            <v>31</v>
          </cell>
          <cell r="N1307" t="str">
            <v>RESOLUCION</v>
          </cell>
          <cell r="O1307">
            <v>124</v>
          </cell>
          <cell r="P1307">
            <v>43136</v>
          </cell>
          <cell r="Q1307" t="str">
            <v>AYUDA TEMPORAL A LAS FAMILIAS DE VARIAS LOCALIDADES, PARA RELOCALIZACIÓN DE HOGARES LOCALIZADOS EN ZONAS DE ALTO RIESGO NO MITIGABLE ID:2015-Q03-01487, LOCALIDAD:19 CIUDAD BOLÍVAR, UPZ:66 SAN FRANCISCO, SECTOR:LIMAS</v>
          </cell>
          <cell r="R1307">
            <v>2685291</v>
          </cell>
          <cell r="S1307">
            <v>383613</v>
          </cell>
          <cell r="T1307">
            <v>0</v>
          </cell>
          <cell r="U1307">
            <v>2301678</v>
          </cell>
          <cell r="V1307">
            <v>2301678</v>
          </cell>
        </row>
        <row r="1308">
          <cell r="J1308">
            <v>663</v>
          </cell>
          <cell r="K1308">
            <v>43136</v>
          </cell>
          <cell r="L1308" t="str">
            <v>GUILLERMO  DIAZ PEREA</v>
          </cell>
          <cell r="M1308">
            <v>31</v>
          </cell>
          <cell r="N1308" t="str">
            <v>RESOLUCION</v>
          </cell>
          <cell r="O1308">
            <v>125</v>
          </cell>
          <cell r="P1308">
            <v>43136</v>
          </cell>
          <cell r="Q1308" t="str">
            <v>AYUDA TEMPORAL A LAS FAMILIAS DE VARIAS LOCALIDADES, PARA RELOCALIZACIÓN DE HOGARES LOCALIZADOS EN ZONAS DE ALTO RIESGO NO MITIGABLE ID:2011-4-12693, LOCALIDAD:04 SAN CRISTÓBAL, UPZ:32 SAN BLAS</v>
          </cell>
          <cell r="R1308">
            <v>2886919</v>
          </cell>
          <cell r="S1308">
            <v>412417</v>
          </cell>
          <cell r="T1308">
            <v>0</v>
          </cell>
          <cell r="U1308">
            <v>2474502</v>
          </cell>
          <cell r="V1308">
            <v>2474502</v>
          </cell>
        </row>
        <row r="1309">
          <cell r="J1309">
            <v>664</v>
          </cell>
          <cell r="K1309">
            <v>43136</v>
          </cell>
          <cell r="L1309" t="str">
            <v>GUSTAVO  PARRA CORTES</v>
          </cell>
          <cell r="M1309">
            <v>31</v>
          </cell>
          <cell r="N1309" t="str">
            <v>RESOLUCION</v>
          </cell>
          <cell r="O1309">
            <v>126</v>
          </cell>
          <cell r="P1309">
            <v>43136</v>
          </cell>
          <cell r="Q1309" t="str">
            <v>AYUDA TEMPORAL A LAS FAMILIAS DE VARIAS LOCALIDADES, PARA RELOCALIZACIÓN DE HOGARES LOCALIZADOS EN ZONAS DE ALTO RIESGO NO MITIGABLE ID:2013-Q09-00082, LOCALIDAD:19 CIUDAD BOLÍVAR, UPZ:67 LUCERO, SECTOR:QUEBRADA HONDA</v>
          </cell>
          <cell r="R1309">
            <v>3098410</v>
          </cell>
          <cell r="S1309">
            <v>442630</v>
          </cell>
          <cell r="T1309">
            <v>0</v>
          </cell>
          <cell r="U1309">
            <v>2655780</v>
          </cell>
          <cell r="V1309">
            <v>2655780</v>
          </cell>
        </row>
        <row r="1310">
          <cell r="J1310">
            <v>665</v>
          </cell>
          <cell r="K1310">
            <v>43136</v>
          </cell>
          <cell r="L1310" t="str">
            <v>GUSTAVO  RODRIGUEZ CANCELADO</v>
          </cell>
          <cell r="M1310">
            <v>31</v>
          </cell>
          <cell r="N1310" t="str">
            <v>RESOLUCION</v>
          </cell>
          <cell r="O1310">
            <v>127</v>
          </cell>
          <cell r="P1310">
            <v>43136</v>
          </cell>
          <cell r="Q1310" t="str">
            <v>AYUDA TEMPORAL A LAS FAMILIAS DE VARIAS LOCALIDADES, PARA RELOCALIZACIÓN DE HOGARES LOCALIZADOS EN ZONAS DE ALTO RIESGO NO MITIGABLE ID:2015-Q03-03364, LOCALIDAD:19 CIUDAD BOLÍVAR, UPZ:67 LUCERO, SECTOR:LIMAS</v>
          </cell>
          <cell r="R1310">
            <v>5863585</v>
          </cell>
          <cell r="S1310">
            <v>0</v>
          </cell>
          <cell r="T1310">
            <v>0</v>
          </cell>
          <cell r="U1310">
            <v>5863585</v>
          </cell>
          <cell r="V1310">
            <v>3608360</v>
          </cell>
        </row>
        <row r="1311">
          <cell r="J1311">
            <v>666</v>
          </cell>
          <cell r="K1311">
            <v>43136</v>
          </cell>
          <cell r="L1311" t="str">
            <v>JAIME ENRIQUE GUERRERO</v>
          </cell>
          <cell r="M1311">
            <v>31</v>
          </cell>
          <cell r="N1311" t="str">
            <v>RESOLUCION</v>
          </cell>
          <cell r="O1311">
            <v>128</v>
          </cell>
          <cell r="P1311">
            <v>43136</v>
          </cell>
          <cell r="Q1311" t="str">
            <v>AYUDA TEMPORAL A LAS FAMILIAS DE VARIAS LOCALIDADES, PARA RELOCALIZACIÓN DE HOGARES LOCALIZADOS EN ZONAS DE ALTO RIESGO NO MITIGABLE ID:2016-08-14797, LOCALIDAD:08 KENNEDY, UPZ:82 PATIO BONITO, SECTOR:PALMITAS</v>
          </cell>
          <cell r="R1311">
            <v>7000929</v>
          </cell>
          <cell r="S1311">
            <v>0</v>
          </cell>
          <cell r="T1311">
            <v>0</v>
          </cell>
          <cell r="U1311">
            <v>7000929</v>
          </cell>
          <cell r="V1311">
            <v>4308264</v>
          </cell>
        </row>
        <row r="1312">
          <cell r="J1312">
            <v>667</v>
          </cell>
          <cell r="K1312">
            <v>43136</v>
          </cell>
          <cell r="L1312" t="str">
            <v>EPIFANIO  TOVAR CUAMA</v>
          </cell>
          <cell r="M1312">
            <v>31</v>
          </cell>
          <cell r="N1312" t="str">
            <v>RESOLUCION</v>
          </cell>
          <cell r="O1312">
            <v>129</v>
          </cell>
          <cell r="P1312">
            <v>43136</v>
          </cell>
          <cell r="Q1312" t="str">
            <v>AYUDA TEMPORAL A LAS FAMILIAS DE VARIAS LOCALIDADES, PARA RELOCALIZACIÓN DE HOGARES LOCALIZADOS EN ZONAS DE ALTO RIESGO NO MITIGABLE ID:2015-W166-532, LOCALIDAD:04 SAN CRISTÓBAL, UPZ:34 20 DE JULIO, SECTOR:EPERARA</v>
          </cell>
          <cell r="R1312">
            <v>6868797</v>
          </cell>
          <cell r="S1312">
            <v>0</v>
          </cell>
          <cell r="T1312">
            <v>0</v>
          </cell>
          <cell r="U1312">
            <v>6868797</v>
          </cell>
          <cell r="V1312">
            <v>4226952</v>
          </cell>
        </row>
        <row r="1313">
          <cell r="J1313">
            <v>668</v>
          </cell>
          <cell r="K1313">
            <v>43136</v>
          </cell>
          <cell r="L1313" t="str">
            <v>MARIA ELVIRA TOVAR</v>
          </cell>
          <cell r="M1313">
            <v>31</v>
          </cell>
          <cell r="N1313" t="str">
            <v>RESOLUCION</v>
          </cell>
          <cell r="O1313">
            <v>130</v>
          </cell>
          <cell r="P1313">
            <v>43136</v>
          </cell>
          <cell r="Q1313" t="str">
            <v>AYUDA TEMPORAL A LAS FAMILIAS DE VARIAS LOCALIDADES, PARA RELOCALIZACIÓN DE HOGARES LOCALIZADOS EN ZONAS DE ALTO RIESGO NO MITIGABLE ID:2013000328, LOCALIDAD:19 CIUDAD BOLÍVAR, UPZ:67 LUCERO, SECTOR:PEÑA COLORADA</v>
          </cell>
          <cell r="R1313">
            <v>3157315</v>
          </cell>
          <cell r="S1313">
            <v>451045</v>
          </cell>
          <cell r="T1313">
            <v>0</v>
          </cell>
          <cell r="U1313">
            <v>2706270</v>
          </cell>
          <cell r="V1313">
            <v>2706270</v>
          </cell>
        </row>
        <row r="1314">
          <cell r="J1314">
            <v>669</v>
          </cell>
          <cell r="K1314">
            <v>43136</v>
          </cell>
          <cell r="L1314" t="str">
            <v>LUZ DARY MEZA MEDINA</v>
          </cell>
          <cell r="M1314">
            <v>31</v>
          </cell>
          <cell r="N1314" t="str">
            <v>RESOLUCION</v>
          </cell>
          <cell r="O1314">
            <v>131</v>
          </cell>
          <cell r="P1314">
            <v>43136</v>
          </cell>
          <cell r="Q1314" t="str">
            <v>AYUDA TEMPORAL A LAS FAMILIAS DE VARIAS LOCALIDADES, PARA RELOCALIZACIÓN DE HOGARES LOCALIZADOS EN ZONAS DE ALTO RIESGO NO MITIGABLE ID:2011-4-12677, LOCALIDAD:04 SAN CRISTÓBAL, UPZ:32 SAN BLAS</v>
          </cell>
          <cell r="R1314">
            <v>3098410</v>
          </cell>
          <cell r="S1314">
            <v>442630</v>
          </cell>
          <cell r="T1314">
            <v>0</v>
          </cell>
          <cell r="U1314">
            <v>2655780</v>
          </cell>
          <cell r="V1314">
            <v>2655780</v>
          </cell>
        </row>
        <row r="1315">
          <cell r="J1315">
            <v>670</v>
          </cell>
          <cell r="K1315">
            <v>43136</v>
          </cell>
          <cell r="L1315" t="str">
            <v>JOSE ISMAEL BABATIVA BARRETO</v>
          </cell>
          <cell r="M1315">
            <v>31</v>
          </cell>
          <cell r="N1315" t="str">
            <v>RESOLUCION</v>
          </cell>
          <cell r="O1315">
            <v>132</v>
          </cell>
          <cell r="P1315">
            <v>43136</v>
          </cell>
          <cell r="Q1315" t="str">
            <v>AYUDA TEMPORAL A LAS FAMILIAS DE VARIAS LOCALIDADES, PARA RELOCALIZACIÓN DE HOGARES LOCALIZADOS EN ZONAS DE ALTO RIESGO NO MITIGABLE ID:2012-4-14278, LOCALIDAD:04 SAN CRISTÓBAL, UPZ:32 SAN BLAS</v>
          </cell>
          <cell r="R1315">
            <v>4862286</v>
          </cell>
          <cell r="S1315">
            <v>0</v>
          </cell>
          <cell r="T1315">
            <v>0</v>
          </cell>
          <cell r="U1315">
            <v>4862286</v>
          </cell>
          <cell r="V1315">
            <v>2992176</v>
          </cell>
        </row>
        <row r="1316">
          <cell r="J1316">
            <v>671</v>
          </cell>
          <cell r="K1316">
            <v>43136</v>
          </cell>
          <cell r="L1316" t="str">
            <v>LAURA PATRICIA AREVALO</v>
          </cell>
          <cell r="M1316">
            <v>31</v>
          </cell>
          <cell r="N1316" t="str">
            <v>RESOLUCION</v>
          </cell>
          <cell r="O1316">
            <v>133</v>
          </cell>
          <cell r="P1316">
            <v>43136</v>
          </cell>
          <cell r="Q1316" t="str">
            <v>AYUDA TEMPORAL A LAS FAMILIAS DE VARIAS LOCALIDADES, PARA RELOCALIZACIÓN DE HOGARES LOCALIZADOS EN ZONAS DE ALTO RIESGO NO MITIGABLE ID:2012-ALES-284, LOCALIDAD:19 CIUDAD BOLÍVAR, UPZ:69 ISMAEL PERDOMO</v>
          </cell>
          <cell r="R1316">
            <v>3769731</v>
          </cell>
          <cell r="S1316">
            <v>2064132</v>
          </cell>
          <cell r="T1316">
            <v>0</v>
          </cell>
          <cell r="U1316">
            <v>1705599</v>
          </cell>
          <cell r="V1316">
            <v>1705599</v>
          </cell>
        </row>
        <row r="1317">
          <cell r="J1317">
            <v>672</v>
          </cell>
          <cell r="K1317">
            <v>43136</v>
          </cell>
          <cell r="L1317" t="str">
            <v>MANUELA  DURA VALENCIA</v>
          </cell>
          <cell r="M1317">
            <v>31</v>
          </cell>
          <cell r="N1317" t="str">
            <v>RESOLUCION</v>
          </cell>
          <cell r="O1317">
            <v>134</v>
          </cell>
          <cell r="P1317">
            <v>43136</v>
          </cell>
          <cell r="Q1317" t="str">
            <v>AYUDA TEMPORAL A LAS FAMILIAS DE VARIAS LOCALIDADES, PARA RELOCALIZACIÓN DE HOGARES LOCALIZADOS EN ZONAS DE ALTO RIESGO NO MITIGABLE ID:2015-W166-206, LOCALIDAD:04 SAN CRISTÓBAL, UPZ:33 SOSIEGO, SECTOR:EPERARA</v>
          </cell>
          <cell r="R1317">
            <v>5525975</v>
          </cell>
          <cell r="S1317">
            <v>0</v>
          </cell>
          <cell r="T1317">
            <v>0</v>
          </cell>
          <cell r="U1317">
            <v>5525975</v>
          </cell>
          <cell r="V1317">
            <v>3400600</v>
          </cell>
        </row>
        <row r="1318">
          <cell r="J1318">
            <v>673</v>
          </cell>
          <cell r="K1318">
            <v>43136</v>
          </cell>
          <cell r="L1318" t="str">
            <v>LUZ AIDA CHIRIMIA DURA</v>
          </cell>
          <cell r="M1318">
            <v>31</v>
          </cell>
          <cell r="N1318" t="str">
            <v>RESOLUCION</v>
          </cell>
          <cell r="O1318">
            <v>135</v>
          </cell>
          <cell r="P1318">
            <v>43136</v>
          </cell>
          <cell r="Q1318" t="str">
            <v>AYUDA TEMPORAL A LAS FAMILIAS DE VARIAS LOCALIDADES, PARA RELOCALIZACIÓN DE HOGARES LOCALIZADOS EN ZONAS DE ALTO RIESGO NO MITIGABLE ID:2015-W166-217, LOCALIDAD:04 SAN CRISTÓBAL, UPZ:33 SOSIEGO, SECTOR:EPERARA</v>
          </cell>
          <cell r="R1318">
            <v>5525975</v>
          </cell>
          <cell r="S1318">
            <v>0</v>
          </cell>
          <cell r="T1318">
            <v>0</v>
          </cell>
          <cell r="U1318">
            <v>5525975</v>
          </cell>
          <cell r="V1318">
            <v>3400600</v>
          </cell>
        </row>
        <row r="1319">
          <cell r="J1319">
            <v>674</v>
          </cell>
          <cell r="K1319">
            <v>43136</v>
          </cell>
          <cell r="L1319" t="str">
            <v>ALBA RUBI TORRES FORERO</v>
          </cell>
          <cell r="M1319">
            <v>31</v>
          </cell>
          <cell r="N1319" t="str">
            <v>RESOLUCION</v>
          </cell>
          <cell r="O1319">
            <v>136</v>
          </cell>
          <cell r="P1319">
            <v>43136</v>
          </cell>
          <cell r="Q1319" t="str">
            <v>AYUDA TEMPORAL A LAS FAMILIAS DE VARIAS LOCALIDADES, PARA RELOCALIZACIÓN DE HOGARES LOCALIZADOS EN ZONAS DE ALTO RIESGO NO MITIGABLE ID:2014-5-14734, LOCALIDAD:05 USME, UPZ:57 GRAN YOMASA</v>
          </cell>
          <cell r="R1319">
            <v>3038112</v>
          </cell>
          <cell r="S1319">
            <v>434016</v>
          </cell>
          <cell r="T1319">
            <v>0</v>
          </cell>
          <cell r="U1319">
            <v>2604096</v>
          </cell>
          <cell r="V1319">
            <v>2604096</v>
          </cell>
        </row>
        <row r="1320">
          <cell r="J1320">
            <v>675</v>
          </cell>
          <cell r="K1320">
            <v>43136</v>
          </cell>
          <cell r="L1320" t="str">
            <v>ALDEMAR  BERMEO</v>
          </cell>
          <cell r="M1320">
            <v>31</v>
          </cell>
          <cell r="N1320" t="str">
            <v>RESOLUCION</v>
          </cell>
          <cell r="O1320">
            <v>137</v>
          </cell>
          <cell r="P1320">
            <v>43136</v>
          </cell>
          <cell r="Q1320" t="str">
            <v>AYUDA TEMPORAL A LAS FAMILIAS DE VARIAS LOCALIDADES, PARA RELOCALIZACIÓN DE HOGARES LOCALIZADOS EN ZONAS DE ALTO RIESGO NO MITIGABLE ID:2016-08-14842, LOCALIDAD:08 KENNEDY, UPZ:82 PATIO BONITO, SECTOR:PALMITAS</v>
          </cell>
          <cell r="R1320">
            <v>5274672</v>
          </cell>
          <cell r="S1320">
            <v>0</v>
          </cell>
          <cell r="T1320">
            <v>0</v>
          </cell>
          <cell r="U1320">
            <v>5274672</v>
          </cell>
          <cell r="V1320">
            <v>3245952</v>
          </cell>
        </row>
        <row r="1321">
          <cell r="J1321">
            <v>676</v>
          </cell>
          <cell r="K1321">
            <v>43136</v>
          </cell>
          <cell r="L1321" t="str">
            <v>MARCELA  CHACON GAONA</v>
          </cell>
          <cell r="M1321">
            <v>31</v>
          </cell>
          <cell r="N1321" t="str">
            <v>RESOLUCION</v>
          </cell>
          <cell r="O1321">
            <v>138</v>
          </cell>
          <cell r="P1321">
            <v>43136</v>
          </cell>
          <cell r="Q1321" t="str">
            <v>AYUDA TEMPORAL A LAS FAMILIAS DE VARIAS LOCALIDADES, PARA RELOCALIZACIÓN DE HOGARES LOCALIZADOS EN ZONAS DE ALTO RIESGO NO MITIGABLE ID:2014-Q04-01188, LOCALIDAD:19 CIUDAD BOLÍVAR, UPZ:67 LUCERO, SECTOR:PEÑA COLORADA</v>
          </cell>
          <cell r="R1321">
            <v>3157315</v>
          </cell>
          <cell r="S1321">
            <v>0</v>
          </cell>
          <cell r="T1321">
            <v>0</v>
          </cell>
          <cell r="U1321">
            <v>3157315</v>
          </cell>
          <cell r="V1321">
            <v>2255225</v>
          </cell>
        </row>
        <row r="1322">
          <cell r="J1322">
            <v>677</v>
          </cell>
          <cell r="K1322">
            <v>43136</v>
          </cell>
          <cell r="L1322" t="str">
            <v>PATRICIA  D ORTA CAMACHO</v>
          </cell>
          <cell r="M1322">
            <v>31</v>
          </cell>
          <cell r="N1322" t="str">
            <v>RESOLUCION</v>
          </cell>
          <cell r="O1322">
            <v>139</v>
          </cell>
          <cell r="P1322">
            <v>43136</v>
          </cell>
          <cell r="Q1322" t="str">
            <v>AYUDA TEMPORAL A LAS FAMILIAS DE VARIAS LOCALIDADES, PARA RELOCALIZACIÓN DE HOGARES LOCALIZADOS EN ZONAS DE ALTO RIESGO NO MITIGABLE ID:2012-4-14531, LOCALIDAD:04 SAN CRISTÓBAL, UPZ:32 SAN BLAS</v>
          </cell>
          <cell r="R1322">
            <v>6367530</v>
          </cell>
          <cell r="S1322">
            <v>0</v>
          </cell>
          <cell r="T1322">
            <v>0</v>
          </cell>
          <cell r="U1322">
            <v>6367530</v>
          </cell>
          <cell r="V1322">
            <v>3918480</v>
          </cell>
        </row>
        <row r="1323">
          <cell r="J1323">
            <v>678</v>
          </cell>
          <cell r="K1323">
            <v>43136</v>
          </cell>
          <cell r="L1323" t="str">
            <v>EUDORO  HERNANDEZ TORRES</v>
          </cell>
          <cell r="M1323">
            <v>31</v>
          </cell>
          <cell r="N1323" t="str">
            <v>RESOLUCION</v>
          </cell>
          <cell r="O1323">
            <v>140</v>
          </cell>
          <cell r="P1323">
            <v>43136</v>
          </cell>
          <cell r="Q1323" t="str">
            <v>AYUDA TEMPORAL A LAS FAMILIAS DE VARIAS LOCALIDADES, PARA RELOCALIZACIÓN DE HOGARES LOCALIZADOS EN ZONAS DE ALTO RIESGO NO MITIGABLE ID:2015-ALES-537, LOCALIDAD:19 CIUDAD BOLÍVAR, UPZ:69 ISMAEL PERDOMO, SECTOR:ALTOS DE LA ESTANCIA</v>
          </cell>
          <cell r="R1323">
            <v>3718092</v>
          </cell>
          <cell r="S1323">
            <v>531156</v>
          </cell>
          <cell r="T1323">
            <v>0</v>
          </cell>
          <cell r="U1323">
            <v>3186936</v>
          </cell>
          <cell r="V1323">
            <v>3186936</v>
          </cell>
        </row>
        <row r="1324">
          <cell r="J1324">
            <v>679</v>
          </cell>
          <cell r="K1324">
            <v>43136</v>
          </cell>
          <cell r="L1324" t="str">
            <v>NIDIA  RODRIGUEZ ALONSO</v>
          </cell>
          <cell r="M1324">
            <v>31</v>
          </cell>
          <cell r="N1324" t="str">
            <v>RESOLUCION</v>
          </cell>
          <cell r="O1324">
            <v>141</v>
          </cell>
          <cell r="P1324">
            <v>43136</v>
          </cell>
          <cell r="Q1324" t="str">
            <v>AYUDA TEMPORAL A LAS FAMILIAS DE VARIAS LOCALIDADES, PARA RELOCALIZACIÓN DE HOGARES LOCALIZADOS EN ZONAS DE ALTO RIESGO NO MITIGABLE ID:2010-4-11938, LOCALIDAD:04 SAN CRISTÓBAL, UPZ:32 SAN BLAS, SECTOR:OLA INVERNAL 2010 FOPAE</v>
          </cell>
          <cell r="R1324">
            <v>2788569</v>
          </cell>
          <cell r="S1324">
            <v>398367</v>
          </cell>
          <cell r="T1324">
            <v>0</v>
          </cell>
          <cell r="U1324">
            <v>2390202</v>
          </cell>
          <cell r="V1324">
            <v>2390202</v>
          </cell>
        </row>
        <row r="1325">
          <cell r="J1325">
            <v>680</v>
          </cell>
          <cell r="K1325">
            <v>43136</v>
          </cell>
          <cell r="L1325" t="str">
            <v>MARIA DEL CARMEN MANCILLA LADINO</v>
          </cell>
          <cell r="M1325">
            <v>31</v>
          </cell>
          <cell r="N1325" t="str">
            <v>RESOLUCION</v>
          </cell>
          <cell r="O1325">
            <v>142</v>
          </cell>
          <cell r="P1325">
            <v>43136</v>
          </cell>
          <cell r="Q1325" t="str">
            <v>AYUDA TEMPORAL A LAS FAMILIAS DE VARIAS LOCALIDADES, PARA RELOCALIZACIÓN DE HOGARES LOCALIZADOS EN ZONAS DE ALTO RIESGO NO MITIGABLE ID:2013-Q04-00299, LOCALIDAD:19 CIUDAD BOLÍVAR, UPZ:67 LUCERO, SECTOR:PEÑA COLORADA</v>
          </cell>
          <cell r="R1325">
            <v>3017000</v>
          </cell>
          <cell r="S1325">
            <v>431000</v>
          </cell>
          <cell r="T1325">
            <v>0</v>
          </cell>
          <cell r="U1325">
            <v>2586000</v>
          </cell>
          <cell r="V1325">
            <v>2586000</v>
          </cell>
        </row>
        <row r="1326">
          <cell r="J1326">
            <v>681</v>
          </cell>
          <cell r="K1326">
            <v>43136</v>
          </cell>
          <cell r="L1326" t="str">
            <v>JOSE ANTONIO BAÑOL</v>
          </cell>
          <cell r="M1326">
            <v>31</v>
          </cell>
          <cell r="N1326" t="str">
            <v>RESOLUCION</v>
          </cell>
          <cell r="O1326">
            <v>143</v>
          </cell>
          <cell r="P1326">
            <v>43136</v>
          </cell>
          <cell r="Q1326" t="str">
            <v>AYUDA TEMPORAL A LAS FAMILIAS DE VARIAS LOCALIDADES, PARA RELOCALIZACIÓN DE HOGARES LOCALIZADOS EN ZONAS DE ALTO RIESGO NO MITIGABLE ID:2016-08-14839, LOCALIDAD:08 KENNEDY, UPZ:82 PATIO BONITO, SECTOR:PALMITAS</v>
          </cell>
          <cell r="R1326">
            <v>6722183</v>
          </cell>
          <cell r="S1326">
            <v>0</v>
          </cell>
          <cell r="T1326">
            <v>0</v>
          </cell>
          <cell r="U1326">
            <v>6722183</v>
          </cell>
          <cell r="V1326">
            <v>4136728</v>
          </cell>
        </row>
        <row r="1327">
          <cell r="J1327">
            <v>682</v>
          </cell>
          <cell r="K1327">
            <v>43136</v>
          </cell>
          <cell r="L1327" t="str">
            <v>LEIDY YISELA REYES SANHABRIA</v>
          </cell>
          <cell r="M1327">
            <v>31</v>
          </cell>
          <cell r="N1327" t="str">
            <v>RESOLUCION</v>
          </cell>
          <cell r="O1327">
            <v>144</v>
          </cell>
          <cell r="P1327">
            <v>43136</v>
          </cell>
          <cell r="Q1327" t="str">
            <v>AYUDA TEMPORAL A LAS FAMILIAS DE VARIAS LOCALIDADES, PARA RELOCALIZACIÓN DE HOGARES LOCALIZADOS EN ZONAS DE ALTO RIESGO NO MITIGABLE ID:2014-OTR-00959, LOCALIDAD:19 CIUDAD BOLÍVAR, UPZ:67 LUCERO, SECTOR:TABOR ALTALOMA</v>
          </cell>
          <cell r="R1327">
            <v>3017000</v>
          </cell>
          <cell r="S1327">
            <v>0</v>
          </cell>
          <cell r="T1327">
            <v>0</v>
          </cell>
          <cell r="U1327">
            <v>3017000</v>
          </cell>
          <cell r="V1327">
            <v>1724000</v>
          </cell>
        </row>
        <row r="1328">
          <cell r="J1328">
            <v>683</v>
          </cell>
          <cell r="K1328">
            <v>43136</v>
          </cell>
          <cell r="L1328" t="str">
            <v>OLGA LUCIA VARGAS ARCHILA</v>
          </cell>
          <cell r="M1328">
            <v>31</v>
          </cell>
          <cell r="N1328" t="str">
            <v>RESOLUCION</v>
          </cell>
          <cell r="O1328">
            <v>145</v>
          </cell>
          <cell r="P1328">
            <v>43136</v>
          </cell>
          <cell r="Q1328" t="str">
            <v>AYUDA TEMPORAL A LAS FAMILIAS DE VARIAS LOCALIDADES, PARA RELOCALIZACIÓN DE HOGARES LOCALIZADOS EN ZONAS DE ALTO RIESGO NO MITIGABLE ID:2014-4-14714, LOCALIDAD:04 SAN CRISTÓBAL, UPZ:50 LA GLORIA</v>
          </cell>
          <cell r="R1328">
            <v>3022327</v>
          </cell>
          <cell r="S1328">
            <v>0</v>
          </cell>
          <cell r="T1328">
            <v>0</v>
          </cell>
          <cell r="U1328">
            <v>3022327</v>
          </cell>
          <cell r="V1328">
            <v>1727044</v>
          </cell>
        </row>
        <row r="1329">
          <cell r="J1329">
            <v>684</v>
          </cell>
          <cell r="K1329">
            <v>43136</v>
          </cell>
          <cell r="L1329" t="str">
            <v>JENNY CAROLINA ADAMES TAUTA</v>
          </cell>
          <cell r="M1329">
            <v>31</v>
          </cell>
          <cell r="N1329" t="str">
            <v>RESOLUCION</v>
          </cell>
          <cell r="O1329">
            <v>146</v>
          </cell>
          <cell r="P1329">
            <v>43136</v>
          </cell>
          <cell r="Q1329" t="str">
            <v>AYUDA TEMPORAL A LAS FAMILIAS DE VARIAS LOCALIDADES, PARA RELOCALIZACIÓN DE HOGARES LOCALIZADOS EN ZONAS DE ALTO RIESGO NO MITIGABLE ID:2016-08-14853, LOCALIDAD:08 KENNEDY, UPZ:82 PATIO BONITO, SECTOR:PALMITAS</v>
          </cell>
          <cell r="R1329">
            <v>6905028</v>
          </cell>
          <cell r="S1329">
            <v>0</v>
          </cell>
          <cell r="T1329">
            <v>0</v>
          </cell>
          <cell r="U1329">
            <v>6905028</v>
          </cell>
          <cell r="V1329">
            <v>4249248</v>
          </cell>
        </row>
        <row r="1330">
          <cell r="J1330">
            <v>685</v>
          </cell>
          <cell r="K1330">
            <v>43136</v>
          </cell>
          <cell r="L1330" t="str">
            <v>MARIA ISLANDA LOPEZ GRACIA</v>
          </cell>
          <cell r="M1330">
            <v>31</v>
          </cell>
          <cell r="N1330" t="str">
            <v>RESOLUCION</v>
          </cell>
          <cell r="O1330">
            <v>147</v>
          </cell>
          <cell r="P1330">
            <v>43136</v>
          </cell>
          <cell r="Q1330" t="str">
            <v>AYUDA TEMPORAL A LAS FAMILIAS DE VARIAS LOCALIDADES, PARA RELOCALIZACIÓN DE HOGARES LOCALIZADOS EN ZONAS DE ALTO RIESGO NO MITIGABLE ID:2003-19-5161, LOCALIDAD:19 CIUDAD BOLÍVAR, UPZ:69 ISMAEL PERDOMO, SECTOR:ALTOS DE LA ESTANCIA</v>
          </cell>
          <cell r="R1330">
            <v>3374280</v>
          </cell>
          <cell r="S1330">
            <v>2410200</v>
          </cell>
          <cell r="T1330">
            <v>0</v>
          </cell>
          <cell r="U1330">
            <v>964080</v>
          </cell>
          <cell r="V1330">
            <v>964080</v>
          </cell>
        </row>
        <row r="1331">
          <cell r="J1331">
            <v>686</v>
          </cell>
          <cell r="K1331">
            <v>43136</v>
          </cell>
          <cell r="L1331" t="str">
            <v>JOSE AUGUSTO MARTINEZ BAENA</v>
          </cell>
          <cell r="M1331">
            <v>31</v>
          </cell>
          <cell r="N1331" t="str">
            <v>RESOLUCION</v>
          </cell>
          <cell r="O1331">
            <v>148</v>
          </cell>
          <cell r="P1331">
            <v>43136</v>
          </cell>
          <cell r="Q1331" t="str">
            <v>AYUDA TEMPORAL A LAS FAMILIAS DE VARIAS LOCALIDADES, PARA RELOCALIZACIÓN DE HOGARES LOCALIZADOS EN ZONAS DE ALTO RIESGO NO MITIGABLE ID:2015-D227-00007, LOCALIDAD:04 SAN CRISTÓBAL, UPZ:51 LOS LIBERTADORES, SECTOR:SANTA TERESITA</v>
          </cell>
          <cell r="R1331">
            <v>6617325</v>
          </cell>
          <cell r="S1331">
            <v>0</v>
          </cell>
          <cell r="T1331">
            <v>0</v>
          </cell>
          <cell r="U1331">
            <v>6617325</v>
          </cell>
          <cell r="V1331">
            <v>4072200</v>
          </cell>
        </row>
        <row r="1332">
          <cell r="J1332">
            <v>687</v>
          </cell>
          <cell r="K1332">
            <v>43136</v>
          </cell>
          <cell r="L1332" t="str">
            <v>JOSE ALBERTO REINA SICUA</v>
          </cell>
          <cell r="M1332">
            <v>31</v>
          </cell>
          <cell r="N1332" t="str">
            <v>RESOLUCION</v>
          </cell>
          <cell r="O1332">
            <v>149</v>
          </cell>
          <cell r="P1332">
            <v>43136</v>
          </cell>
          <cell r="Q1332" t="str">
            <v>AYUDA TEMPORAL A LAS FAMILIAS DE VARIAS LOCALIDADES, PARA RELOCALIZACIÓN DE HOGARES LOCALIZADOS EN ZONAS DE ALTO RIESGO NO MITIGABLE ID:2013000376, LOCALIDAD:19 CIUDAD BOLÍVAR, UPZ:67 LUCERO, SECTOR:PEÑA COLORADA</v>
          </cell>
          <cell r="R1332">
            <v>3017000</v>
          </cell>
          <cell r="S1332">
            <v>431000</v>
          </cell>
          <cell r="T1332">
            <v>0</v>
          </cell>
          <cell r="U1332">
            <v>2586000</v>
          </cell>
          <cell r="V1332">
            <v>2586000</v>
          </cell>
        </row>
        <row r="1333">
          <cell r="J1333">
            <v>688</v>
          </cell>
          <cell r="K1333">
            <v>43136</v>
          </cell>
          <cell r="L1333" t="str">
            <v>MARIA ADELIA LOPEZ QUINTERO</v>
          </cell>
          <cell r="M1333">
            <v>31</v>
          </cell>
          <cell r="N1333" t="str">
            <v>RESOLUCION</v>
          </cell>
          <cell r="O1333">
            <v>150</v>
          </cell>
          <cell r="P1333">
            <v>43136</v>
          </cell>
          <cell r="Q1333" t="str">
            <v>AYUDA TEMPORAL A LAS FAMILIAS DE VARIAS LOCALIDADES, PARA RELOCALIZACIÓN DE HOGARES LOCALIZADOS EN ZONAS DE ALTO RIESGO NO MITIGABLE ID:2012-19-13791, LOCALIDAD:19 CIUDAD BOLÍVAR, UPZ:67 LUCERO</v>
          </cell>
          <cell r="R1333">
            <v>2924376</v>
          </cell>
          <cell r="S1333">
            <v>417768</v>
          </cell>
          <cell r="T1333">
            <v>0</v>
          </cell>
          <cell r="U1333">
            <v>2506608</v>
          </cell>
          <cell r="V1333">
            <v>2506608</v>
          </cell>
        </row>
        <row r="1334">
          <cell r="J1334">
            <v>689</v>
          </cell>
          <cell r="K1334">
            <v>43136</v>
          </cell>
          <cell r="L1334" t="str">
            <v>GRECIA VERONICA PACHON GUTIERREZ</v>
          </cell>
          <cell r="M1334">
            <v>31</v>
          </cell>
          <cell r="N1334" t="str">
            <v>RESOLUCION</v>
          </cell>
          <cell r="O1334">
            <v>151</v>
          </cell>
          <cell r="P1334">
            <v>43136</v>
          </cell>
          <cell r="Q1334" t="str">
            <v>AYUDA TEMPORAL A LAS FAMILIAS DE VARIAS LOCALIDADES, PARA RELOCALIZACIÓN DE HOGARES LOCALIZADOS EN ZONAS DE ALTO RIESGO NO MITIGABLE ID:2014-OTR-00968, LOCALIDAD:19 CIUDAD BOLÍVAR, UPZ:67 LUCERO, SECTOR:TABOR ALTALOMA</v>
          </cell>
          <cell r="R1334">
            <v>3614814</v>
          </cell>
          <cell r="S1334">
            <v>0</v>
          </cell>
          <cell r="T1334">
            <v>0</v>
          </cell>
          <cell r="U1334">
            <v>3614814</v>
          </cell>
          <cell r="V1334">
            <v>1549206</v>
          </cell>
        </row>
        <row r="1335">
          <cell r="J1335">
            <v>690</v>
          </cell>
          <cell r="K1335">
            <v>43136</v>
          </cell>
          <cell r="L1335" t="str">
            <v>JOSE HERMINSO MENDOZA GUISA</v>
          </cell>
          <cell r="M1335">
            <v>31</v>
          </cell>
          <cell r="N1335" t="str">
            <v>RESOLUCION</v>
          </cell>
          <cell r="O1335">
            <v>152</v>
          </cell>
          <cell r="P1335">
            <v>43136</v>
          </cell>
          <cell r="Q1335" t="str">
            <v>AYUDA TEMPORAL A LAS FAMILIAS DE VARIAS LOCALIDADES, PARA RELOCALIZACIÓN DE HOGARES LOCALIZADOS EN ZONAS DE ALTO RIESGO NO MITIGABLE ID:2007-4-10150, LOCALIDAD:04 SAN CRISTÓBAL, UPZ:32 SAN BLAS</v>
          </cell>
          <cell r="R1335">
            <v>2788569</v>
          </cell>
          <cell r="S1335">
            <v>398367</v>
          </cell>
          <cell r="T1335">
            <v>0</v>
          </cell>
          <cell r="U1335">
            <v>2390202</v>
          </cell>
          <cell r="V1335">
            <v>2390202</v>
          </cell>
        </row>
        <row r="1336">
          <cell r="J1336">
            <v>691</v>
          </cell>
          <cell r="K1336">
            <v>43136</v>
          </cell>
          <cell r="L1336" t="str">
            <v>JOSE GREGORIO MARTINEZ ACOSTA</v>
          </cell>
          <cell r="M1336">
            <v>31</v>
          </cell>
          <cell r="N1336" t="str">
            <v>RESOLUCION</v>
          </cell>
          <cell r="O1336">
            <v>153</v>
          </cell>
          <cell r="P1336">
            <v>43136</v>
          </cell>
          <cell r="Q1336" t="str">
            <v>AYUDA TEMPORAL A LAS FAMILIAS DE VARIAS LOCALIDADES, PARA RELOCALIZACIÓN DE HOGARES LOCALIZADOS EN ZONAS DE ALTO RIESGO NO MITIGABLE ID:2016-08-14808, LOCALIDAD:08 KENNEDY, UPZ:82 PATIO BONITO, SECTOR:PALMITAS</v>
          </cell>
          <cell r="R1336">
            <v>2992227</v>
          </cell>
          <cell r="S1336">
            <v>2137305</v>
          </cell>
          <cell r="T1336">
            <v>0</v>
          </cell>
          <cell r="U1336">
            <v>854922</v>
          </cell>
          <cell r="V1336">
            <v>854922</v>
          </cell>
        </row>
        <row r="1337">
          <cell r="J1337">
            <v>692</v>
          </cell>
          <cell r="K1337">
            <v>43136</v>
          </cell>
          <cell r="L1337" t="str">
            <v>SANDRA PATRICIA CARILLO VILLOTA</v>
          </cell>
          <cell r="M1337">
            <v>31</v>
          </cell>
          <cell r="N1337" t="str">
            <v>RESOLUCION</v>
          </cell>
          <cell r="O1337">
            <v>154</v>
          </cell>
          <cell r="P1337">
            <v>43136</v>
          </cell>
          <cell r="Q1337" t="str">
            <v>AYUDA TEMPORAL A LAS FAMILIAS DE VARIAS LOCALIDADES, PARA RELOCALIZACIÓN DE HOGARES LOCALIZADOS EN ZONAS DE ALTO RIESGO NO MITIGABLE ID:2014-Q04-01105, LOCALIDAD:19 CIUDAD BOLÍVAR, UPZ:67 LUCERO, SECTOR:PEÑA COLORADA</v>
          </cell>
          <cell r="R1337">
            <v>3157315</v>
          </cell>
          <cell r="S1337">
            <v>451045</v>
          </cell>
          <cell r="T1337">
            <v>0</v>
          </cell>
          <cell r="U1337">
            <v>2706270</v>
          </cell>
          <cell r="V1337">
            <v>2706270</v>
          </cell>
        </row>
        <row r="1338">
          <cell r="J1338">
            <v>693</v>
          </cell>
          <cell r="K1338">
            <v>43136</v>
          </cell>
          <cell r="L1338" t="str">
            <v>LUZ ANGELA GARCIA</v>
          </cell>
          <cell r="M1338">
            <v>31</v>
          </cell>
          <cell r="N1338" t="str">
            <v>RESOLUCION</v>
          </cell>
          <cell r="O1338">
            <v>155</v>
          </cell>
          <cell r="P1338">
            <v>43136</v>
          </cell>
          <cell r="Q1338" t="str">
            <v>AYUDA TEMPORAL A LAS FAMILIAS DE VARIAS LOCALIDADES, PARA RELOCALIZACIÓN DE HOGARES LOCALIZADOS EN ZONAS DE ALTO RIESGO NO MITIGABLE ID:2010-19-11755, LOCALIDAD:19 CIUDAD BOLÍVAR, UPZ:69 ISMAEL PERDOMO, SECTOR:ALTOS DE LA ESTANCIA - OLA INVERNAL 2010 FOPAE</v>
          </cell>
          <cell r="R1338">
            <v>5430984</v>
          </cell>
          <cell r="S1338">
            <v>0</v>
          </cell>
          <cell r="T1338">
            <v>0</v>
          </cell>
          <cell r="U1338">
            <v>5430984</v>
          </cell>
          <cell r="V1338">
            <v>3342144</v>
          </cell>
        </row>
        <row r="1339">
          <cell r="J1339">
            <v>694</v>
          </cell>
          <cell r="K1339">
            <v>43136</v>
          </cell>
          <cell r="L1339" t="str">
            <v>LIGIA MARYELY SANHABRIA ZAPATA</v>
          </cell>
          <cell r="M1339">
            <v>31</v>
          </cell>
          <cell r="N1339" t="str">
            <v>RESOLUCION</v>
          </cell>
          <cell r="O1339">
            <v>156</v>
          </cell>
          <cell r="P1339">
            <v>43136</v>
          </cell>
          <cell r="Q1339" t="str">
            <v>AYUDA TEMPORAL A LAS FAMILIAS DE VARIAS LOCALIDADES, PARA RELOCALIZACIÓN DE HOGARES LOCALIZADOS EN ZONAS DE ALTO RIESGO NO MITIGABLE ID:2015-OTR-01295, LOCALIDAD:19 CIUDAD BOLÍVAR, UPZ:67 LUCERO, SECTOR:TABOR ALTALOMA</v>
          </cell>
          <cell r="R1339">
            <v>3157315</v>
          </cell>
          <cell r="S1339">
            <v>0</v>
          </cell>
          <cell r="T1339">
            <v>0</v>
          </cell>
          <cell r="U1339">
            <v>3157315</v>
          </cell>
          <cell r="V1339">
            <v>1804180</v>
          </cell>
        </row>
        <row r="1340">
          <cell r="J1340">
            <v>695</v>
          </cell>
          <cell r="K1340">
            <v>43136</v>
          </cell>
          <cell r="L1340" t="str">
            <v>MARIA ISABEL VELASQUEZ GARCIA</v>
          </cell>
          <cell r="M1340">
            <v>31</v>
          </cell>
          <cell r="N1340" t="str">
            <v>RESOLUCION</v>
          </cell>
          <cell r="O1340">
            <v>332</v>
          </cell>
          <cell r="P1340">
            <v>43136</v>
          </cell>
          <cell r="Q1340" t="str">
            <v>AYUDA TEMPORAL A LAS FAMILIAS DE VARIAS LOCALIDADES, PARA RELOCALIZACIÓN DE HOGARES LOCALIZADOS EN ZONAS DE ALTO RIESGO NO MITIGABLE ID:2014-OTR-00977, LOCALIDAD:19 CIUDAD BOLÍVAR, UPZ:67 LUCERO, SECTOR:TABOR ALTALOMA</v>
          </cell>
          <cell r="R1340">
            <v>4986969</v>
          </cell>
          <cell r="S1340">
            <v>0</v>
          </cell>
          <cell r="T1340">
            <v>0</v>
          </cell>
          <cell r="U1340">
            <v>4986969</v>
          </cell>
          <cell r="V1340">
            <v>3068904</v>
          </cell>
        </row>
        <row r="1341">
          <cell r="J1341">
            <v>696</v>
          </cell>
          <cell r="K1341">
            <v>43136</v>
          </cell>
          <cell r="L1341" t="str">
            <v>ROSA YOHANA DELGADO LOPEZ</v>
          </cell>
          <cell r="M1341">
            <v>31</v>
          </cell>
          <cell r="N1341" t="str">
            <v>RESOLUCION</v>
          </cell>
          <cell r="O1341">
            <v>325</v>
          </cell>
          <cell r="P1341">
            <v>43136</v>
          </cell>
          <cell r="Q1341" t="str">
            <v>AYUDA TEMPORAL A LAS FAMILIAS DE VARIAS LOCALIDADES, PARA RELOCALIZACIÓN DE HOGARES LOCALIZADOS EN ZONAS DE ALTO RIESGO NO MITIGABLE ID:2014-OTR-00881, LOCALIDAD:03 SANTA FE, UPZ:96 LOURDES, SECTOR:CASA 2</v>
          </cell>
          <cell r="R1341">
            <v>2551518</v>
          </cell>
          <cell r="S1341">
            <v>425253</v>
          </cell>
          <cell r="T1341">
            <v>0</v>
          </cell>
          <cell r="U1341">
            <v>2126265</v>
          </cell>
          <cell r="V1341">
            <v>2126265</v>
          </cell>
        </row>
        <row r="1342">
          <cell r="J1342">
            <v>697</v>
          </cell>
          <cell r="K1342">
            <v>43136</v>
          </cell>
          <cell r="L1342" t="str">
            <v>ROSA AIDE OSORIO SOTO</v>
          </cell>
          <cell r="M1342">
            <v>31</v>
          </cell>
          <cell r="N1342" t="str">
            <v>RESOLUCION</v>
          </cell>
          <cell r="O1342">
            <v>326</v>
          </cell>
          <cell r="P1342">
            <v>43136</v>
          </cell>
          <cell r="Q1342" t="str">
            <v>AYUDA TEMPORAL A LAS FAMILIAS DE VARIAS LOCALIDADES, PARA RELOCALIZACIÓN DE HOGARES LOCALIZADOS EN ZONAS DE ALTO RIESGO NO MITIGABLE ID:2011-4-12638, LOCALIDAD:04 SAN CRISTÓBAL, UPZ:32 SAN BLAS</v>
          </cell>
          <cell r="R1342">
            <v>2213148</v>
          </cell>
          <cell r="S1342">
            <v>368858</v>
          </cell>
          <cell r="T1342">
            <v>0</v>
          </cell>
          <cell r="U1342">
            <v>1844290</v>
          </cell>
          <cell r="V1342">
            <v>1844290</v>
          </cell>
        </row>
        <row r="1343">
          <cell r="J1343">
            <v>698</v>
          </cell>
          <cell r="K1343">
            <v>43136</v>
          </cell>
          <cell r="L1343" t="str">
            <v>OSCAR ALEXANDER BARRERA GROSSO</v>
          </cell>
          <cell r="M1343">
            <v>31</v>
          </cell>
          <cell r="N1343" t="str">
            <v>RESOLUCION</v>
          </cell>
          <cell r="O1343">
            <v>273</v>
          </cell>
          <cell r="P1343">
            <v>43136</v>
          </cell>
          <cell r="Q1343" t="str">
            <v>AYUDA TEMPORAL A LAS FAMILIAS DE VARIAS LOCALIDADES, PARA RELOCALIZACIÓN DE HOGARES LOCALIZADOS EN ZONAS DE ALTO RIESGO NO MITIGABLE ID:2013-3-14686, LOCALIDAD:03 SANTA FE, UPZ:94 LA CANDELARIA</v>
          </cell>
          <cell r="R1343">
            <v>2845920</v>
          </cell>
          <cell r="S1343">
            <v>0</v>
          </cell>
          <cell r="T1343">
            <v>0</v>
          </cell>
          <cell r="U1343">
            <v>2845920</v>
          </cell>
          <cell r="V1343">
            <v>1219680</v>
          </cell>
        </row>
        <row r="1344">
          <cell r="J1344">
            <v>699</v>
          </cell>
          <cell r="K1344">
            <v>43136</v>
          </cell>
          <cell r="L1344" t="str">
            <v>INGRIT PAOLA PARADA RUEDA</v>
          </cell>
          <cell r="M1344">
            <v>31</v>
          </cell>
          <cell r="N1344" t="str">
            <v>RESOLUCION</v>
          </cell>
          <cell r="O1344">
            <v>274</v>
          </cell>
          <cell r="P1344">
            <v>43136</v>
          </cell>
          <cell r="Q1344" t="str">
            <v>AYUDA TEMPORAL A LAS FAMILIAS DE VARIAS LOCALIDADES, PARA RELOCALIZACIÓN DE HOGARES LOCALIZADOS EN ZONAS DE ALTO RIESGO NO MITIGABLE ID:2014-OTR-01246, LOCALIDAD:11 SUBA, UPZ:71 TIBABUYES, SECTOR:GAVILANES</v>
          </cell>
          <cell r="R1344">
            <v>7672262</v>
          </cell>
          <cell r="S1344">
            <v>0</v>
          </cell>
          <cell r="T1344">
            <v>0</v>
          </cell>
          <cell r="U1344">
            <v>7672262</v>
          </cell>
          <cell r="V1344">
            <v>4721392</v>
          </cell>
        </row>
        <row r="1345">
          <cell r="J1345">
            <v>700</v>
          </cell>
          <cell r="K1345">
            <v>43136</v>
          </cell>
          <cell r="L1345" t="str">
            <v>GLADYS  MUÑOZ SANTUARIO</v>
          </cell>
          <cell r="M1345">
            <v>31</v>
          </cell>
          <cell r="N1345" t="str">
            <v>RESOLUCION</v>
          </cell>
          <cell r="O1345">
            <v>275</v>
          </cell>
          <cell r="P1345">
            <v>43136</v>
          </cell>
          <cell r="Q1345" t="str">
            <v>AYUDA TEMPORAL A LAS FAMILIAS DE VARIAS LOCALIDADES, PARA LA RELOCALIZACIÓN DE HOGARES LOCALIZADOS EN ZONAS DE ALTO RIESGO NO MITIGABLE</v>
          </cell>
          <cell r="R1345">
            <v>3112599</v>
          </cell>
          <cell r="S1345">
            <v>3112599</v>
          </cell>
          <cell r="T1345">
            <v>0</v>
          </cell>
          <cell r="U1345">
            <v>0</v>
          </cell>
          <cell r="V1345">
            <v>0</v>
          </cell>
        </row>
        <row r="1346">
          <cell r="J1346">
            <v>701</v>
          </cell>
          <cell r="K1346">
            <v>43136</v>
          </cell>
          <cell r="L1346" t="str">
            <v>DIEGO  CABEZON MERCAZA</v>
          </cell>
          <cell r="M1346">
            <v>31</v>
          </cell>
          <cell r="N1346" t="str">
            <v>RESOLUCION</v>
          </cell>
          <cell r="O1346">
            <v>276</v>
          </cell>
          <cell r="P1346">
            <v>43136</v>
          </cell>
          <cell r="Q1346" t="str">
            <v>AYUDA TEMPORAL A LAS FAMILIAS DE VARIAS LOCALIDADES, PARA RELOCALIZACIÓN DE HOGARES LOCALIZADOS EN ZONAS DE ALTO RIESGO NO MITIGABLE ID:2014-W166-041, LOCALIDAD:19 CIUDAD BOLÍVAR, UPZ:68 EL TESORO, SECTOR:WOUNAAN</v>
          </cell>
          <cell r="R1346">
            <v>5285280</v>
          </cell>
          <cell r="S1346">
            <v>0</v>
          </cell>
          <cell r="T1346">
            <v>0</v>
          </cell>
          <cell r="U1346">
            <v>5285280</v>
          </cell>
          <cell r="V1346">
            <v>3252480</v>
          </cell>
        </row>
        <row r="1347">
          <cell r="J1347">
            <v>702</v>
          </cell>
          <cell r="K1347">
            <v>43136</v>
          </cell>
          <cell r="L1347" t="str">
            <v>RAUL DARIO AREVALO SALINAS</v>
          </cell>
          <cell r="M1347">
            <v>31</v>
          </cell>
          <cell r="N1347" t="str">
            <v>RESOLUCION</v>
          </cell>
          <cell r="O1347">
            <v>277</v>
          </cell>
          <cell r="P1347">
            <v>43136</v>
          </cell>
          <cell r="Q1347" t="str">
            <v>AYUDA TEMPORAL A LAS FAMILIAS DE VARIAS LOCALIDADES, PARA RELOCALIZACIÓN DE HOGARES LOCALIZADOS EN ZONAS DE ALTO RIESGO NO MITIGABLE ID:2012-4-14198, LOCALIDAD:04 SAN CRISTÓBAL, UPZ:32 SAN BLAS</v>
          </cell>
          <cell r="R1347">
            <v>6483048</v>
          </cell>
          <cell r="S1347">
            <v>0</v>
          </cell>
          <cell r="T1347">
            <v>0</v>
          </cell>
          <cell r="U1347">
            <v>6483048</v>
          </cell>
          <cell r="V1347">
            <v>3989568</v>
          </cell>
        </row>
        <row r="1348">
          <cell r="J1348">
            <v>703</v>
          </cell>
          <cell r="K1348">
            <v>43136</v>
          </cell>
          <cell r="L1348" t="str">
            <v>CANDIDA GLORIA BERNAL DE RICO</v>
          </cell>
          <cell r="M1348">
            <v>31</v>
          </cell>
          <cell r="N1348" t="str">
            <v>RESOLUCION</v>
          </cell>
          <cell r="O1348">
            <v>278</v>
          </cell>
          <cell r="P1348">
            <v>43136</v>
          </cell>
          <cell r="Q1348" t="str">
            <v>AYUDA TEMPORAL A LAS FAMILIAS DE VARIAS LOCALIDADES, PARA RELOCALIZACIÓN DE HOGARES LOCALIZADOS EN ZONAS DE ALTO RIESGO NO MITIGABLE ID:2012-4-14202, LOCALIDAD:04 SAN CRISTÓBAL, UPZ:32 SAN BLAS</v>
          </cell>
          <cell r="R1348">
            <v>5746338</v>
          </cell>
          <cell r="S1348">
            <v>0</v>
          </cell>
          <cell r="T1348">
            <v>0</v>
          </cell>
          <cell r="U1348">
            <v>5746338</v>
          </cell>
          <cell r="V1348">
            <v>3094182</v>
          </cell>
        </row>
        <row r="1349">
          <cell r="J1349">
            <v>704</v>
          </cell>
          <cell r="K1349">
            <v>43136</v>
          </cell>
          <cell r="L1349" t="str">
            <v>GLORIA INES ESPINOSA DE OCAMPO</v>
          </cell>
          <cell r="M1349">
            <v>31</v>
          </cell>
          <cell r="N1349" t="str">
            <v>RESOLUCION</v>
          </cell>
          <cell r="O1349">
            <v>279</v>
          </cell>
          <cell r="P1349">
            <v>43136</v>
          </cell>
          <cell r="Q1349" t="str">
            <v>AYUDA TEMPORAL A LAS FAMILIAS DE VARIAS LOCALIDADES, PARA RELOCALIZACIÓN DE HOGARES LOCALIZADOS EN ZONAS DE ALTO RIESGO NO MITIGABLE ID:2013000562, LOCALIDAD:05 USME, UPZ:56 DANUBIO, SECTOR:HOYA DEL RAMO</v>
          </cell>
          <cell r="R1349">
            <v>3201695</v>
          </cell>
          <cell r="S1349">
            <v>457385</v>
          </cell>
          <cell r="T1349">
            <v>0</v>
          </cell>
          <cell r="U1349">
            <v>2744310</v>
          </cell>
          <cell r="V1349">
            <v>2744310</v>
          </cell>
        </row>
        <row r="1350">
          <cell r="J1350">
            <v>705</v>
          </cell>
          <cell r="K1350">
            <v>43136</v>
          </cell>
          <cell r="L1350" t="str">
            <v>LIBIA YANETH VARELA ROJAS</v>
          </cell>
          <cell r="M1350">
            <v>31</v>
          </cell>
          <cell r="N1350" t="str">
            <v>RESOLUCION</v>
          </cell>
          <cell r="O1350">
            <v>280</v>
          </cell>
          <cell r="P1350">
            <v>43136</v>
          </cell>
          <cell r="Q1350" t="str">
            <v>AYUDA TEMPORAL A LAS FAMILIAS DE VARIAS LOCALIDADES, PARA RELOCALIZACIÓN DE HOGARES LOCALIZADOS EN ZONAS DE ALTO RIESGO NO MITIGABLE ID:2010-4-11976, LOCALIDAD:04 SAN CRISTÓBAL, UPZ:32 SAN BLAS, SECTOR:OLA INVERNAL 2010 FOPAE</v>
          </cell>
          <cell r="R1350">
            <v>5754190</v>
          </cell>
          <cell r="S1350">
            <v>0</v>
          </cell>
          <cell r="T1350">
            <v>0</v>
          </cell>
          <cell r="U1350">
            <v>5754190</v>
          </cell>
          <cell r="V1350">
            <v>3541040</v>
          </cell>
        </row>
        <row r="1351">
          <cell r="J1351">
            <v>706</v>
          </cell>
          <cell r="K1351">
            <v>43136</v>
          </cell>
          <cell r="L1351" t="str">
            <v>LEIDY SUSANA OSORIO QUINTERO</v>
          </cell>
          <cell r="M1351">
            <v>31</v>
          </cell>
          <cell r="N1351" t="str">
            <v>RESOLUCION</v>
          </cell>
          <cell r="O1351">
            <v>281</v>
          </cell>
          <cell r="P1351">
            <v>43136</v>
          </cell>
          <cell r="Q1351" t="str">
            <v>AYUDA TEMPORAL A LAS FAMILIAS DE VARIAS LOCALIDADES, PARA RELOCALIZACIÓN DE HOGARES LOCALIZADOS EN ZONAS DE ALTO RIESGO NO MITIGABLE ID:2016-08-14780, LOCALIDAD:08 KENNEDY, UPZ:82 PATIO BONITO, SECTOR:PALMITAS</v>
          </cell>
          <cell r="R1351">
            <v>5946005</v>
          </cell>
          <cell r="S1351">
            <v>0</v>
          </cell>
          <cell r="T1351">
            <v>0</v>
          </cell>
          <cell r="U1351">
            <v>5946005</v>
          </cell>
          <cell r="V1351">
            <v>3659080</v>
          </cell>
        </row>
        <row r="1352">
          <cell r="J1352">
            <v>707</v>
          </cell>
          <cell r="K1352">
            <v>43136</v>
          </cell>
          <cell r="L1352" t="str">
            <v>BLANCA INES REINA PRIETO</v>
          </cell>
          <cell r="M1352">
            <v>31</v>
          </cell>
          <cell r="N1352" t="str">
            <v>RESOLUCION</v>
          </cell>
          <cell r="O1352">
            <v>282</v>
          </cell>
          <cell r="P1352">
            <v>43136</v>
          </cell>
          <cell r="Q1352" t="str">
            <v>AYUDA TEMPORAL A LAS FAMILIAS DE VARIAS LOCALIDADES, PARA RELOCALIZACIÓN DE HOGARES LOCALIZADOS EN ZONAS DE ALTO RIESGO NO MITIGABLE ID:2013-4-14607, LOCALIDAD:04 SAN CRISTÓBAL, UPZ:32 SAN BLAS</v>
          </cell>
          <cell r="R1352">
            <v>4795154</v>
          </cell>
          <cell r="S1352">
            <v>0</v>
          </cell>
          <cell r="T1352">
            <v>0</v>
          </cell>
          <cell r="U1352">
            <v>4795154</v>
          </cell>
          <cell r="V1352">
            <v>2950864</v>
          </cell>
        </row>
        <row r="1353">
          <cell r="J1353">
            <v>708</v>
          </cell>
          <cell r="K1353">
            <v>43136</v>
          </cell>
          <cell r="L1353" t="str">
            <v>MARCO TULIO PRIAS VILLABON</v>
          </cell>
          <cell r="M1353">
            <v>31</v>
          </cell>
          <cell r="N1353" t="str">
            <v>RESOLUCION</v>
          </cell>
          <cell r="O1353">
            <v>283</v>
          </cell>
          <cell r="P1353">
            <v>43136</v>
          </cell>
          <cell r="Q1353" t="str">
            <v>AYUDA TEMPORAL A LAS FAMILIAS DE VARIAS LOCALIDADES, PARA RELOCALIZACIÓN DE HOGARES LOCALIZADOS EN ZONAS DE ALTO RIESGO NO MITIGABLE ID:2014-OTR-00955, LOCALIDAD:19 CIUDAD BOLÍVAR, UPZ:67 LUCERO, SECTOR:TABOR ALTALOMA</v>
          </cell>
          <cell r="R1353">
            <v>3017000</v>
          </cell>
          <cell r="S1353">
            <v>431000</v>
          </cell>
          <cell r="T1353">
            <v>0</v>
          </cell>
          <cell r="U1353">
            <v>2586000</v>
          </cell>
          <cell r="V1353">
            <v>2586000</v>
          </cell>
        </row>
        <row r="1354">
          <cell r="J1354">
            <v>709</v>
          </cell>
          <cell r="K1354">
            <v>43136</v>
          </cell>
          <cell r="L1354" t="str">
            <v>BRANDON CAMILO VILLALOBOS HIGUERA</v>
          </cell>
          <cell r="M1354">
            <v>31</v>
          </cell>
          <cell r="N1354" t="str">
            <v>RESOLUCION</v>
          </cell>
          <cell r="O1354">
            <v>284</v>
          </cell>
          <cell r="P1354">
            <v>43136</v>
          </cell>
          <cell r="Q1354" t="str">
            <v>AYUDA TEMPORAL A LAS FAMILIAS DE VARIAS LOCALIDADES, PARA RELOCALIZACIÓN DE HOGARES LOCALIZADOS EN ZONAS DE ALTO RIESGO NO MITIGABLE ID:2016-08-14821, LOCALIDAD:08 KENNEDY, UPZ:82 PATIO BONITO, SECTOR:PALMITAS</v>
          </cell>
          <cell r="R1354">
            <v>7192744</v>
          </cell>
          <cell r="S1354">
            <v>0</v>
          </cell>
          <cell r="T1354">
            <v>0</v>
          </cell>
          <cell r="U1354">
            <v>7192744</v>
          </cell>
          <cell r="V1354">
            <v>4426304</v>
          </cell>
        </row>
        <row r="1355">
          <cell r="J1355">
            <v>710</v>
          </cell>
          <cell r="K1355">
            <v>43136</v>
          </cell>
          <cell r="L1355" t="str">
            <v>NORBERTO  GARCIA VILLEGAS</v>
          </cell>
          <cell r="M1355">
            <v>31</v>
          </cell>
          <cell r="N1355" t="str">
            <v>RESOLUCION</v>
          </cell>
          <cell r="O1355">
            <v>285</v>
          </cell>
          <cell r="P1355">
            <v>43136</v>
          </cell>
          <cell r="Q1355" t="str">
            <v>AYUDA TEMPORAL A LAS FAMILIAS DE VARIAS LOCALIDADES, PARA RELOCALIZACIÓN DE HOGARES LOCALIZADOS EN ZONAS DE ALTO RIESGO NO MITIGABLE ID:2003-19-4838, LOCALIDAD:19 CIUDAD BOLÍVAR, UPZ:69 ISMAEL PERDOMO, SECTOR:ALTOS DE LA ESTANCIA</v>
          </cell>
          <cell r="R1355">
            <v>4795154</v>
          </cell>
          <cell r="S1355">
            <v>0</v>
          </cell>
          <cell r="T1355">
            <v>0</v>
          </cell>
          <cell r="U1355">
            <v>4795154</v>
          </cell>
          <cell r="V1355">
            <v>2950864</v>
          </cell>
        </row>
        <row r="1356">
          <cell r="J1356">
            <v>711</v>
          </cell>
          <cell r="K1356">
            <v>43136</v>
          </cell>
          <cell r="L1356" t="str">
            <v>LEIDY JOHANA GUTIERREZ ABELLO</v>
          </cell>
          <cell r="M1356">
            <v>31</v>
          </cell>
          <cell r="N1356" t="str">
            <v>RESOLUCION</v>
          </cell>
          <cell r="O1356">
            <v>286</v>
          </cell>
          <cell r="P1356">
            <v>43136</v>
          </cell>
          <cell r="Q1356" t="str">
            <v>AYUDA TEMPORAL A LAS FAMILIAS DE VARIAS LOCALIDADES, PARA RELOCALIZACIÓN DE HOGARES LOCALIZADOS EN ZONAS DE ALTO RIESGO NO MITIGABLE ID:2010-19-11937, LOCALIDAD:19 CIUDAD BOLÍVAR, UPZ:67 LUCERO, SECTOR:LIMAS</v>
          </cell>
          <cell r="R1356">
            <v>2845920</v>
          </cell>
          <cell r="S1356">
            <v>406560</v>
          </cell>
          <cell r="T1356">
            <v>0</v>
          </cell>
          <cell r="U1356">
            <v>2439360</v>
          </cell>
          <cell r="V1356">
            <v>2439360</v>
          </cell>
        </row>
        <row r="1357">
          <cell r="J1357">
            <v>712</v>
          </cell>
          <cell r="K1357">
            <v>43136</v>
          </cell>
          <cell r="L1357" t="str">
            <v>JOSE ALIRIO CHIRIMIA ISMARY</v>
          </cell>
          <cell r="M1357">
            <v>31</v>
          </cell>
          <cell r="N1357" t="str">
            <v>RESOLUCION</v>
          </cell>
          <cell r="O1357">
            <v>287</v>
          </cell>
          <cell r="P1357">
            <v>43136</v>
          </cell>
          <cell r="Q1357" t="str">
            <v>AYUDA TEMPORAL A LAS FAMILIAS DE VARIAS LOCALIDADES, PARA RELOCALIZACIÓN DE HOGARES LOCALIZADOS EN ZONAS DE ALTO RIESGO NO MITIGABLE ID:2015-W166-215, LOCALIDAD:04 SAN CRISTÓBAL, UPZ:33 SOSIEGO, SECTOR:EPERARA</v>
          </cell>
          <cell r="R1357">
            <v>5525975</v>
          </cell>
          <cell r="S1357">
            <v>0</v>
          </cell>
          <cell r="T1357">
            <v>0</v>
          </cell>
          <cell r="U1357">
            <v>5525975</v>
          </cell>
          <cell r="V1357">
            <v>3400600</v>
          </cell>
        </row>
        <row r="1358">
          <cell r="J1358">
            <v>713</v>
          </cell>
          <cell r="K1358">
            <v>43136</v>
          </cell>
          <cell r="L1358" t="str">
            <v>MARIA ESMERALDA MARTINEZ</v>
          </cell>
          <cell r="M1358">
            <v>31</v>
          </cell>
          <cell r="N1358" t="str">
            <v>RESOLUCION</v>
          </cell>
          <cell r="O1358">
            <v>288</v>
          </cell>
          <cell r="P1358">
            <v>43136</v>
          </cell>
          <cell r="Q1358" t="str">
            <v>AYUDA TEMPORAL A LAS FAMILIAS DE VARIAS LOCALIDADES, PARA RELOCALIZACIÓN DE HOGARES LOCALIZADOS EN ZONAS DE ALTO RIESGO NO MITIGABLE ID:2013-Q10-00306, LOCALIDAD:19 CIUDAD BOLÍVAR, UPZ:67 LUCERO, SECTOR:PEÑA COLORADA</v>
          </cell>
          <cell r="R1358">
            <v>5361707</v>
          </cell>
          <cell r="S1358">
            <v>0</v>
          </cell>
          <cell r="T1358">
            <v>0</v>
          </cell>
          <cell r="U1358">
            <v>5361707</v>
          </cell>
          <cell r="V1358">
            <v>2474634</v>
          </cell>
        </row>
        <row r="1359">
          <cell r="J1359">
            <v>714</v>
          </cell>
          <cell r="K1359">
            <v>43136</v>
          </cell>
          <cell r="L1359" t="str">
            <v>ALBEIRO  OSORIO SARCO</v>
          </cell>
          <cell r="M1359">
            <v>31</v>
          </cell>
          <cell r="N1359" t="str">
            <v>RESOLUCION</v>
          </cell>
          <cell r="O1359">
            <v>289</v>
          </cell>
          <cell r="P1359">
            <v>43136</v>
          </cell>
          <cell r="Q1359" t="str">
            <v>AYUDA TEMPORAL A LAS FAMILIAS DE VARIAS LOCALIDADES, PARA RELOCALIZACIÓN DE HOGARES LOCALIZADOS EN ZONAS DE ALTO RIESGO NO MITIGABLE ID:2014-W166-009, LOCALIDAD:19 CIUDAD BOLÍVAR, UPZ:67 LUCERO, SECTOR:WOUNAAN</v>
          </cell>
          <cell r="R1359">
            <v>6274034</v>
          </cell>
          <cell r="S1359">
            <v>0</v>
          </cell>
          <cell r="T1359">
            <v>0</v>
          </cell>
          <cell r="U1359">
            <v>6274034</v>
          </cell>
          <cell r="V1359">
            <v>3860944</v>
          </cell>
        </row>
        <row r="1360">
          <cell r="J1360">
            <v>715</v>
          </cell>
          <cell r="K1360">
            <v>43136</v>
          </cell>
          <cell r="L1360" t="str">
            <v>JHON JAIRO MOYA PIRAZA</v>
          </cell>
          <cell r="M1360">
            <v>31</v>
          </cell>
          <cell r="N1360" t="str">
            <v>RESOLUCION</v>
          </cell>
          <cell r="O1360">
            <v>290</v>
          </cell>
          <cell r="P1360">
            <v>43136</v>
          </cell>
          <cell r="Q1360" t="str">
            <v>AYUDA TEMPORAL A LAS FAMILIAS DE VARIAS LOCALIDADES, PARA RELOCALIZACIÓN DE HOGARES LOCALIZADOS EN ZONAS DE ALTO RIESGO NO MITIGABLE ID:2014-W166-068, LOCALIDAD:19 CIUDAD BOLÍVAR, UPZ:68 EL TESORO, SECTOR:WOUNAAN</v>
          </cell>
          <cell r="R1360">
            <v>6274034</v>
          </cell>
          <cell r="S1360">
            <v>0</v>
          </cell>
          <cell r="T1360">
            <v>0</v>
          </cell>
          <cell r="U1360">
            <v>6274034</v>
          </cell>
          <cell r="V1360">
            <v>3860944</v>
          </cell>
        </row>
        <row r="1361">
          <cell r="J1361">
            <v>716</v>
          </cell>
          <cell r="K1361">
            <v>43136</v>
          </cell>
          <cell r="L1361" t="str">
            <v>MARIA NILSA GRUESO DURA</v>
          </cell>
          <cell r="M1361">
            <v>31</v>
          </cell>
          <cell r="N1361" t="str">
            <v>RESOLUCION</v>
          </cell>
          <cell r="O1361">
            <v>291</v>
          </cell>
          <cell r="P1361">
            <v>43136</v>
          </cell>
          <cell r="Q1361" t="str">
            <v>AYUDA TEMPORAL A LAS FAMILIAS DE VARIAS LOCALIDADES, PARA RELOCALIZACIÓN DE HOGARES LOCALIZADOS EN ZONAS DE ALTO RIESGO NO MITIGABLE ID:2015-W166-214, LOCALIDAD:04 SAN CRISTÓBAL, UPZ:33 SOSIEGO, SECTOR:EPERARA</v>
          </cell>
          <cell r="R1361">
            <v>5825885</v>
          </cell>
          <cell r="S1361">
            <v>0</v>
          </cell>
          <cell r="T1361">
            <v>0</v>
          </cell>
          <cell r="U1361">
            <v>5825885</v>
          </cell>
          <cell r="V1361">
            <v>3585160</v>
          </cell>
        </row>
        <row r="1362">
          <cell r="J1362">
            <v>717</v>
          </cell>
          <cell r="K1362">
            <v>43136</v>
          </cell>
          <cell r="L1362" t="str">
            <v>LIDIA RUTH DAZA BUSTOS</v>
          </cell>
          <cell r="M1362">
            <v>31</v>
          </cell>
          <cell r="N1362" t="str">
            <v>RESOLUCION</v>
          </cell>
          <cell r="O1362">
            <v>292</v>
          </cell>
          <cell r="P1362">
            <v>43136</v>
          </cell>
          <cell r="Q1362" t="str">
            <v>AYUDA TEMPORAL A LAS FAMILIAS DE VARIAS LOCALIDADES, PARA RELOCALIZACIÓN DE HOGARES LOCALIZADOS EN ZONAS DE ALTO RIESGO NO MITIGABLE ID:2014-Q04-00915, LOCALIDAD:19 CIUDAD BOLÍVAR, UPZ:67 LUCERO, SECTOR:PEÑA COLORADA</v>
          </cell>
          <cell r="R1362">
            <v>3098403</v>
          </cell>
          <cell r="S1362">
            <v>442629</v>
          </cell>
          <cell r="T1362">
            <v>0</v>
          </cell>
          <cell r="U1362">
            <v>2655774</v>
          </cell>
          <cell r="V1362">
            <v>2655774</v>
          </cell>
        </row>
        <row r="1363">
          <cell r="J1363">
            <v>718</v>
          </cell>
          <cell r="K1363">
            <v>43136</v>
          </cell>
          <cell r="L1363" t="str">
            <v>DAVID  MOÑA ISMARE</v>
          </cell>
          <cell r="M1363">
            <v>31</v>
          </cell>
          <cell r="N1363" t="str">
            <v>RESOLUCION</v>
          </cell>
          <cell r="O1363">
            <v>293</v>
          </cell>
          <cell r="P1363">
            <v>43136</v>
          </cell>
          <cell r="Q1363" t="str">
            <v>AYUDA TEMPORAL A LAS FAMILIAS DE VARIAS LOCALIDADES, PARA RELOCALIZACIÓN DE HOGARES LOCALIZADOS EN ZONAS DE ALTO RIESGO NO MITIGABLE ID:2015-W166-512, LOCALIDAD:19 CIUDAD BOLÍVAR, UPZ:67 LUCERO, SECTOR:WOUNAAN</v>
          </cell>
          <cell r="R1363">
            <v>6868797</v>
          </cell>
          <cell r="S1363">
            <v>0</v>
          </cell>
          <cell r="T1363">
            <v>0</v>
          </cell>
          <cell r="U1363">
            <v>6868797</v>
          </cell>
          <cell r="V1363">
            <v>4226952</v>
          </cell>
        </row>
        <row r="1364">
          <cell r="J1364">
            <v>719</v>
          </cell>
          <cell r="K1364">
            <v>43136</v>
          </cell>
          <cell r="L1364" t="str">
            <v>GLADYS  MUÑOZ SANTUARIO</v>
          </cell>
          <cell r="M1364">
            <v>31</v>
          </cell>
          <cell r="N1364" t="str">
            <v>RESOLUCION</v>
          </cell>
          <cell r="O1364">
            <v>275</v>
          </cell>
          <cell r="P1364">
            <v>43136</v>
          </cell>
          <cell r="Q1364" t="str">
            <v>AYUDA TEMPORAL A LAS FAMILIAS DE VARIAS LOCALIDADES, PARA RELOCALIZACIÓN DE HOGARES LOCALIZADOS EN ZONAS DE ALTO RIESGO NO MITIGABLE ID:2012-19-13937, LOCALIDAD:19 CIUDAD BOLÍVAR, UPZ:67 LUCERO</v>
          </cell>
          <cell r="R1364">
            <v>3112599</v>
          </cell>
          <cell r="S1364">
            <v>444657</v>
          </cell>
          <cell r="T1364">
            <v>0</v>
          </cell>
          <cell r="U1364">
            <v>2667942</v>
          </cell>
          <cell r="V1364">
            <v>2667942</v>
          </cell>
        </row>
        <row r="1365">
          <cell r="J1365">
            <v>720</v>
          </cell>
          <cell r="K1365">
            <v>43136</v>
          </cell>
          <cell r="L1365" t="str">
            <v>MILENA ESTELA CETINA CADENA</v>
          </cell>
          <cell r="M1365">
            <v>31</v>
          </cell>
          <cell r="N1365" t="str">
            <v>RESOLUCION</v>
          </cell>
          <cell r="O1365">
            <v>294</v>
          </cell>
          <cell r="P1365">
            <v>43136</v>
          </cell>
          <cell r="Q1365" t="str">
            <v>AYUDA TEMPORAL A LAS FAMILIAS DE VARIAS LOCALIDADES, PARA RELOCALIZACIÓN DE HOGARES LOCALIZADOS EN ZONAS DE ALTO RIESGO NO MITIGABLE ID:2013-Q09-00178, LOCALIDAD:19 CIUDAD BOLÍVAR, UPZ:67 LUCERO, SECTOR:QUEBRADA TROMPETA</v>
          </cell>
          <cell r="R1365">
            <v>5603000</v>
          </cell>
          <cell r="S1365">
            <v>4310000</v>
          </cell>
          <cell r="T1365">
            <v>0</v>
          </cell>
          <cell r="U1365">
            <v>1293000</v>
          </cell>
          <cell r="V1365">
            <v>1293000</v>
          </cell>
        </row>
        <row r="1366">
          <cell r="J1366">
            <v>721</v>
          </cell>
          <cell r="K1366">
            <v>43136</v>
          </cell>
          <cell r="L1366" t="str">
            <v>GONZALO  ROCHA</v>
          </cell>
          <cell r="M1366">
            <v>31</v>
          </cell>
          <cell r="N1366" t="str">
            <v>RESOLUCION</v>
          </cell>
          <cell r="O1366">
            <v>295</v>
          </cell>
          <cell r="P1366">
            <v>43136</v>
          </cell>
          <cell r="Q1366" t="str">
            <v>AYUDA TEMPORAL A LAS FAMILIAS DE VARIAS LOCALIDADES, PARA RELOCALIZACIÓN DE HOGARES LOCALIZADOS EN ZONAS DE ALTO RIESGO NO MITIGABLE ID:2011-18-13554, LOCALIDAD:18 RAFAEL URIBE URIBE, UPZ:54 MARRUECOS</v>
          </cell>
          <cell r="R1366">
            <v>4795154</v>
          </cell>
          <cell r="S1366">
            <v>0</v>
          </cell>
          <cell r="T1366">
            <v>0</v>
          </cell>
          <cell r="U1366">
            <v>4795154</v>
          </cell>
          <cell r="V1366">
            <v>2950864</v>
          </cell>
        </row>
        <row r="1367">
          <cell r="J1367">
            <v>722</v>
          </cell>
          <cell r="K1367">
            <v>43136</v>
          </cell>
          <cell r="L1367" t="str">
            <v>MARIA ADELA LESMES PALACIOS</v>
          </cell>
          <cell r="M1367">
            <v>31</v>
          </cell>
          <cell r="N1367" t="str">
            <v>RESOLUCION</v>
          </cell>
          <cell r="O1367">
            <v>296</v>
          </cell>
          <cell r="P1367">
            <v>43136</v>
          </cell>
          <cell r="Q1367" t="str">
            <v>AYUDA TEMPORAL A LAS FAMILIAS DE VARIAS LOCALIDADES, PARA RELOCALIZACIÓN DE HOGARES LOCALIZADOS EN ZONAS DE ALTO RIESGO NO MITIGABLE ID:2011-18-13660, LOCALIDAD:18 RAFAEL URIBE URIBE, UPZ:54 MARRUECOS</v>
          </cell>
          <cell r="R1367">
            <v>3299296</v>
          </cell>
          <cell r="S1367">
            <v>0</v>
          </cell>
          <cell r="T1367">
            <v>0</v>
          </cell>
          <cell r="U1367">
            <v>3299296</v>
          </cell>
          <cell r="V1367">
            <v>942656</v>
          </cell>
        </row>
        <row r="1368">
          <cell r="J1368">
            <v>724</v>
          </cell>
          <cell r="K1368">
            <v>43136</v>
          </cell>
          <cell r="L1368" t="str">
            <v>YUDY MARCELA CIFUENTES RODRIGUEZ</v>
          </cell>
          <cell r="M1368">
            <v>31</v>
          </cell>
          <cell r="N1368" t="str">
            <v>RESOLUCION</v>
          </cell>
          <cell r="O1368">
            <v>297</v>
          </cell>
          <cell r="P1368">
            <v>43136</v>
          </cell>
          <cell r="Q1368" t="str">
            <v>AYUDA TEMPORAL A LAS FAMILIAS DE VARIAS LOCALIDADES, PARA RELOCALIZACIÓN DE HOGARES LOCALIZADOS EN ZONAS DE ALTO RIESGO NO MITIGABLE ID:2016-08-14879, LOCALIDAD:08 KENNEDY, UPZ:82 PATIO BONITO, SECTOR:PALMITAS</v>
          </cell>
          <cell r="R1368">
            <v>5946005</v>
          </cell>
          <cell r="S1368">
            <v>3201695</v>
          </cell>
          <cell r="T1368">
            <v>0</v>
          </cell>
          <cell r="U1368">
            <v>2744310</v>
          </cell>
          <cell r="V1368">
            <v>2744310</v>
          </cell>
        </row>
        <row r="1369">
          <cell r="J1369">
            <v>725</v>
          </cell>
          <cell r="K1369">
            <v>43136</v>
          </cell>
          <cell r="L1369" t="str">
            <v>LAURY  CAICEDO MEJIA</v>
          </cell>
          <cell r="M1369">
            <v>31</v>
          </cell>
          <cell r="N1369" t="str">
            <v>RESOLUCION</v>
          </cell>
          <cell r="O1369">
            <v>298</v>
          </cell>
          <cell r="P1369">
            <v>43136</v>
          </cell>
          <cell r="Q1369" t="str">
            <v>AYUDA TEMPORAL A LAS FAMILIAS DE VARIAS LOCALIDADES, PARA RELOCALIZACIÓN DE HOGARES LOCALIZADOS EN ZONAS DE ALTO RIESGO NO MITIGABLE ID:2015-W166-523, LOCALIDAD:03 SANTA FE, UPZ:95 LAS CRUCES, SECTOR:UITOTO</v>
          </cell>
          <cell r="R1369">
            <v>7287618</v>
          </cell>
          <cell r="S1369">
            <v>0</v>
          </cell>
          <cell r="T1369">
            <v>0</v>
          </cell>
          <cell r="U1369">
            <v>7287618</v>
          </cell>
          <cell r="V1369">
            <v>4484688</v>
          </cell>
        </row>
        <row r="1370">
          <cell r="J1370">
            <v>726</v>
          </cell>
          <cell r="K1370">
            <v>43136</v>
          </cell>
          <cell r="L1370" t="str">
            <v>JAIME ALBERTO FANDIÑO FORERO</v>
          </cell>
          <cell r="M1370">
            <v>31</v>
          </cell>
          <cell r="N1370" t="str">
            <v>RESOLUCION</v>
          </cell>
          <cell r="O1370">
            <v>299</v>
          </cell>
          <cell r="P1370">
            <v>43136</v>
          </cell>
          <cell r="Q1370" t="str">
            <v>AYUDA TEMPORAL A LAS FAMILIAS DE VARIAS LOCALIDADES, PARA RELOCALIZACIÓN DE HOGARES LOCALIZADOS EN ZONAS DE ALTO RIESGO NO MITIGABLE ID:2007-4-9372, LOCALIDAD:04 SAN CRISTÓBAL, UPZ:32 SAN BLAS</v>
          </cell>
          <cell r="R1370">
            <v>5658289</v>
          </cell>
          <cell r="S1370">
            <v>0</v>
          </cell>
          <cell r="T1370">
            <v>0</v>
          </cell>
          <cell r="U1370">
            <v>5658289</v>
          </cell>
          <cell r="V1370">
            <v>3482024</v>
          </cell>
        </row>
        <row r="1371">
          <cell r="J1371">
            <v>727</v>
          </cell>
          <cell r="K1371">
            <v>43136</v>
          </cell>
          <cell r="L1371" t="str">
            <v>DIANA CAROLINA CACERES PEÑALOZA</v>
          </cell>
          <cell r="M1371">
            <v>31</v>
          </cell>
          <cell r="N1371" t="str">
            <v>RESOLUCION</v>
          </cell>
          <cell r="O1371">
            <v>300</v>
          </cell>
          <cell r="P1371">
            <v>43136</v>
          </cell>
          <cell r="Q1371" t="str">
            <v>AYUDA TEMPORAL A LAS FAMILIAS DE VARIAS LOCALIDADES, PARA RELOCALIZACIÓN DE HOGARES LOCALIZADOS EN ZONAS DE ALTO RIESGO NO MITIGABLE ID:2016-08-14788, LOCALIDAD:08 KENNEDY, UPZ:82 PATIO BONITO, SECTOR:PALMITAS</v>
          </cell>
          <cell r="R1371">
            <v>7672262</v>
          </cell>
          <cell r="S1371">
            <v>0</v>
          </cell>
          <cell r="T1371">
            <v>0</v>
          </cell>
          <cell r="U1371">
            <v>7672262</v>
          </cell>
          <cell r="V1371">
            <v>4721392</v>
          </cell>
        </row>
        <row r="1372">
          <cell r="J1372">
            <v>728</v>
          </cell>
          <cell r="K1372">
            <v>43136</v>
          </cell>
          <cell r="L1372" t="str">
            <v>BLANCA CECILIA BENAVIDES</v>
          </cell>
          <cell r="M1372">
            <v>31</v>
          </cell>
          <cell r="N1372" t="str">
            <v>RESOLUCION</v>
          </cell>
          <cell r="O1372">
            <v>301</v>
          </cell>
          <cell r="P1372">
            <v>43136</v>
          </cell>
          <cell r="Q1372" t="str">
            <v>AYUDA TEMPORAL A LAS FAMILIAS DE VARIAS LOCALIDADES, PARA RELOCALIZACIÓN DE HOGARES LOCALIZADOS EN ZONAS DE ALTO RIESGO NO MITIGABLE ID:2011-4-12708, LOCALIDAD:04 SAN CRISTÓBAL, UPZ:32 SAN BLAS</v>
          </cell>
          <cell r="R1372">
            <v>2213148</v>
          </cell>
          <cell r="S1372">
            <v>368858</v>
          </cell>
          <cell r="T1372">
            <v>0</v>
          </cell>
          <cell r="U1372">
            <v>1844290</v>
          </cell>
          <cell r="V1372">
            <v>1844290</v>
          </cell>
        </row>
        <row r="1373">
          <cell r="J1373">
            <v>729</v>
          </cell>
          <cell r="K1373">
            <v>43136</v>
          </cell>
          <cell r="L1373" t="str">
            <v>LUIS  CRUZ DELGADO</v>
          </cell>
          <cell r="M1373">
            <v>31</v>
          </cell>
          <cell r="N1373" t="str">
            <v>RESOLUCION</v>
          </cell>
          <cell r="O1373">
            <v>302</v>
          </cell>
          <cell r="P1373">
            <v>43136</v>
          </cell>
          <cell r="Q1373" t="str">
            <v>AYUDA TEMPORAL A LAS FAMILIAS DE VARIAS LOCALIDADES, PARA RELOCALIZACIÓN DE HOGARES LOCALIZADOS EN ZONAS DE ALTO RIESGO NO MITIGABLE ID:2003-19-5136, LOCALIDAD:19 CIUDAD BOLÍVAR, UPZ:69 ISMAEL PERDOMO, SECTOR:ALTOS DE LA ESTANCIA</v>
          </cell>
          <cell r="R1373">
            <v>3098412</v>
          </cell>
          <cell r="S1373">
            <v>516402</v>
          </cell>
          <cell r="T1373">
            <v>0</v>
          </cell>
          <cell r="U1373">
            <v>2582010</v>
          </cell>
          <cell r="V1373">
            <v>2582010</v>
          </cell>
        </row>
        <row r="1374">
          <cell r="J1374">
            <v>730</v>
          </cell>
          <cell r="K1374">
            <v>43136</v>
          </cell>
          <cell r="L1374" t="str">
            <v>GLORIA  SANCHEZ DE SANCHEZ</v>
          </cell>
          <cell r="M1374">
            <v>31</v>
          </cell>
          <cell r="N1374" t="str">
            <v>RESOLUCION</v>
          </cell>
          <cell r="O1374">
            <v>303</v>
          </cell>
          <cell r="P1374">
            <v>43136</v>
          </cell>
          <cell r="Q1374" t="str">
            <v>AYUDA TEMPORAL A LAS FAMILIAS DE VARIAS LOCALIDADES, PARA RELOCALIZACIÓN DE HOGARES LOCALIZADOS EN ZONAS DE ALTO RIESGO NO MITIGABLE ID:2011-4-12684, LOCALIDAD:04 SAN CRISTÓBAL, UPZ:32 SAN BLAS</v>
          </cell>
          <cell r="R1374">
            <v>2706492</v>
          </cell>
          <cell r="S1374">
            <v>451082</v>
          </cell>
          <cell r="T1374">
            <v>0</v>
          </cell>
          <cell r="U1374">
            <v>2255410</v>
          </cell>
          <cell r="V1374">
            <v>2255410</v>
          </cell>
        </row>
        <row r="1375">
          <cell r="J1375">
            <v>731</v>
          </cell>
          <cell r="K1375">
            <v>43136</v>
          </cell>
          <cell r="L1375" t="str">
            <v>ANA MILENA JIMENEZ VARGAS</v>
          </cell>
          <cell r="M1375">
            <v>31</v>
          </cell>
          <cell r="N1375" t="str">
            <v>RESOLUCION</v>
          </cell>
          <cell r="O1375">
            <v>304</v>
          </cell>
          <cell r="P1375">
            <v>43136</v>
          </cell>
          <cell r="Q1375" t="str">
            <v>AYUDA TEMPORAL A LAS FAMILIAS DE VARIAS LOCALIDADES, PARA RELOCALIZACIÓN DE HOGARES LOCALIZADOS EN ZONAS DE ALTO RIESGO NO MITIGABLE ID:2014-OTR-00867, LOCALIDAD:03 SANTA FE, UPZ:96 LOURDES, SECTOR:CASA 1</v>
          </cell>
          <cell r="R1375">
            <v>2550450</v>
          </cell>
          <cell r="S1375">
            <v>425075</v>
          </cell>
          <cell r="T1375">
            <v>0</v>
          </cell>
          <cell r="U1375">
            <v>2125375</v>
          </cell>
          <cell r="V1375">
            <v>2125375</v>
          </cell>
        </row>
        <row r="1376">
          <cell r="J1376">
            <v>732</v>
          </cell>
          <cell r="K1376">
            <v>43136</v>
          </cell>
          <cell r="L1376" t="str">
            <v>MARTHA LILIANA SANCHEZ SANCHEZ</v>
          </cell>
          <cell r="M1376">
            <v>31</v>
          </cell>
          <cell r="N1376" t="str">
            <v>RESOLUCION</v>
          </cell>
          <cell r="O1376">
            <v>305</v>
          </cell>
          <cell r="P1376">
            <v>43136</v>
          </cell>
          <cell r="Q1376" t="str">
            <v>AYUDA TEMPORAL A LAS FAMILIAS DE VARIAS LOCALIDADES, PARA RELOCALIZACIÓN DE HOGARES LOCALIZADOS EN ZONAS DE ALTO RIESGO NO MITIGABLE ID:2011-4-12673, LOCALIDAD:04 SAN CRISTÓBAL, UPZ:32 SAN BLAS</v>
          </cell>
          <cell r="R1376">
            <v>2397348</v>
          </cell>
          <cell r="S1376">
            <v>399558</v>
          </cell>
          <cell r="T1376">
            <v>0</v>
          </cell>
          <cell r="U1376">
            <v>1997790</v>
          </cell>
          <cell r="V1376">
            <v>1997790</v>
          </cell>
        </row>
        <row r="1377">
          <cell r="J1377">
            <v>733</v>
          </cell>
          <cell r="K1377">
            <v>43136</v>
          </cell>
          <cell r="L1377" t="str">
            <v>KAREN NATHALIA RODRIGUEZ MORALES</v>
          </cell>
          <cell r="M1377">
            <v>31</v>
          </cell>
          <cell r="N1377" t="str">
            <v>RESOLUCION</v>
          </cell>
          <cell r="O1377">
            <v>514</v>
          </cell>
          <cell r="P1377">
            <v>43136</v>
          </cell>
          <cell r="Q1377" t="str">
            <v>Asignacion del instrumento financiero a las familias ocupantes del predio que hayan superado la fase de verificacion dentro  del marco del Decreto 457 de 2017. LOCALIDAD: KENNEDY; BARRIO: VEREDITAS; ID: 2017-8-383893</v>
          </cell>
          <cell r="R1377">
            <v>54686940</v>
          </cell>
          <cell r="S1377">
            <v>0</v>
          </cell>
          <cell r="T1377">
            <v>0</v>
          </cell>
          <cell r="U1377">
            <v>54686940</v>
          </cell>
          <cell r="V1377">
            <v>0</v>
          </cell>
        </row>
        <row r="1378">
          <cell r="J1378">
            <v>734</v>
          </cell>
          <cell r="K1378">
            <v>43137</v>
          </cell>
          <cell r="L1378" t="str">
            <v>ORLANDO  COTRINA COTRINA</v>
          </cell>
          <cell r="M1378">
            <v>31</v>
          </cell>
          <cell r="N1378" t="str">
            <v>RESOLUCION</v>
          </cell>
          <cell r="O1378">
            <v>306</v>
          </cell>
          <cell r="P1378">
            <v>43137</v>
          </cell>
          <cell r="Q1378" t="str">
            <v>AYUDA TEMPORAL A LAS FAMILIAS DE VARIAS LOCALIDADES, PARA RELOCALIZACIÓN DE HOGARES LOCALIZADOS EN ZONAS DE ALTO RIESGO NO MITIGABLE ID:2015-Q03-03408, LOCALIDAD:19 CIUDAD BOLÍVAR, UPZ:66 SAN FRANCISCO, SECTOR:LIMAS</v>
          </cell>
          <cell r="R1378">
            <v>2301678</v>
          </cell>
          <cell r="S1378">
            <v>383613</v>
          </cell>
          <cell r="T1378">
            <v>0</v>
          </cell>
          <cell r="U1378">
            <v>1918065</v>
          </cell>
          <cell r="V1378">
            <v>1918065</v>
          </cell>
        </row>
        <row r="1379">
          <cell r="J1379">
            <v>735</v>
          </cell>
          <cell r="K1379">
            <v>43137</v>
          </cell>
          <cell r="L1379" t="str">
            <v>SANDRA PATRICIA ADAN</v>
          </cell>
          <cell r="M1379">
            <v>31</v>
          </cell>
          <cell r="N1379" t="str">
            <v>RESOLUCION</v>
          </cell>
          <cell r="O1379">
            <v>307</v>
          </cell>
          <cell r="P1379">
            <v>43137</v>
          </cell>
          <cell r="Q1379" t="str">
            <v>AYUDA TEMPORAL A LAS FAMILIAS DE VARIAS LOCALIDADES, PARA RELOCALIZACIÓN DE HOGARES LOCALIZADOS EN ZONAS DE ALTO RIESGO NO MITIGABLE ID:2014-OTR-00870, LOCALIDAD:03 SANTA FE, UPZ:96 LOURDES, SECTOR:CASA 1</v>
          </cell>
          <cell r="R1379">
            <v>3091308</v>
          </cell>
          <cell r="S1379">
            <v>515218</v>
          </cell>
          <cell r="T1379">
            <v>0</v>
          </cell>
          <cell r="U1379">
            <v>2576090</v>
          </cell>
          <cell r="V1379">
            <v>2576090</v>
          </cell>
        </row>
        <row r="1380">
          <cell r="J1380">
            <v>736</v>
          </cell>
          <cell r="K1380">
            <v>43137</v>
          </cell>
          <cell r="L1380" t="str">
            <v>DAINA JASMIN NAVARRETE</v>
          </cell>
          <cell r="M1380">
            <v>31</v>
          </cell>
          <cell r="N1380" t="str">
            <v>RESOLUCION</v>
          </cell>
          <cell r="O1380">
            <v>308</v>
          </cell>
          <cell r="P1380">
            <v>43137</v>
          </cell>
          <cell r="Q1380" t="str">
            <v>AYUDA TEMPORAL A LAS FAMILIAS DE VARIAS LOCALIDADES, PARA RELOCALIZACIÓN DE HOGARES LOCALIZADOS EN ZONAS DE ALTO RIESGO NO MITIGABLE ID:2014-OTR-00892, LOCALIDAD:03 SANTA FE, UPZ:96 LOURDES, SECTOR:CASA 3</v>
          </cell>
          <cell r="R1380">
            <v>2550450</v>
          </cell>
          <cell r="S1380">
            <v>425075</v>
          </cell>
          <cell r="T1380">
            <v>0</v>
          </cell>
          <cell r="U1380">
            <v>2125375</v>
          </cell>
          <cell r="V1380">
            <v>2125375</v>
          </cell>
        </row>
        <row r="1381">
          <cell r="J1381">
            <v>737</v>
          </cell>
          <cell r="K1381">
            <v>43137</v>
          </cell>
          <cell r="L1381" t="str">
            <v>DORYS MIREYA CAMARGO BUITRAGO</v>
          </cell>
          <cell r="M1381">
            <v>31</v>
          </cell>
          <cell r="N1381" t="str">
            <v>RESOLUCION</v>
          </cell>
          <cell r="O1381">
            <v>309</v>
          </cell>
          <cell r="P1381">
            <v>43137</v>
          </cell>
          <cell r="Q1381" t="str">
            <v>AYUDA TEMPORAL A LAS FAMILIAS DE VARIAS LOCALIDADES, PARA RELOCALIZACIÓN DE HOGARES LOCALIZADOS EN ZONAS DE ALTO RIESGO NO MITIGABLE ID:2011-4-12630, LOCALIDAD:04 SAN CRISTÓBAL, UPZ:32 SAN BLAS</v>
          </cell>
          <cell r="R1381">
            <v>2213148</v>
          </cell>
          <cell r="S1381">
            <v>368858</v>
          </cell>
          <cell r="T1381">
            <v>0</v>
          </cell>
          <cell r="U1381">
            <v>1844290</v>
          </cell>
          <cell r="V1381">
            <v>1844290</v>
          </cell>
        </row>
        <row r="1382">
          <cell r="J1382">
            <v>738</v>
          </cell>
          <cell r="K1382">
            <v>43137</v>
          </cell>
          <cell r="L1382" t="str">
            <v>ANGEL IGNACIO GARZON HERNANDEZ</v>
          </cell>
          <cell r="M1382">
            <v>31</v>
          </cell>
          <cell r="N1382" t="str">
            <v>RESOLUCION</v>
          </cell>
          <cell r="O1382">
            <v>310</v>
          </cell>
          <cell r="P1382">
            <v>43137</v>
          </cell>
          <cell r="Q1382" t="str">
            <v>AYUDA TEMPORAL A LAS FAMILIAS DE VARIAS LOCALIDADES, PARA RELOCALIZACIÓN DE HOGARES LOCALIZADOS EN ZONAS DE ALTO RIESGO NO MITIGABLE ID:2011-4-12704, LOCALIDAD:04 SAN CRISTÓBAL, UPZ:32 SAN BLAS</v>
          </cell>
          <cell r="R1382">
            <v>2213148</v>
          </cell>
          <cell r="S1382">
            <v>368858</v>
          </cell>
          <cell r="T1382">
            <v>0</v>
          </cell>
          <cell r="U1382">
            <v>1844290</v>
          </cell>
          <cell r="V1382">
            <v>1844290</v>
          </cell>
        </row>
        <row r="1383">
          <cell r="J1383">
            <v>739</v>
          </cell>
          <cell r="K1383">
            <v>43137</v>
          </cell>
          <cell r="L1383" t="str">
            <v>MABEL YADIRA ABRIL</v>
          </cell>
          <cell r="M1383">
            <v>31</v>
          </cell>
          <cell r="N1383" t="str">
            <v>RESOLUCION</v>
          </cell>
          <cell r="O1383">
            <v>311</v>
          </cell>
          <cell r="P1383">
            <v>43137</v>
          </cell>
          <cell r="Q1383" t="str">
            <v>AYUDA TEMPORAL A LAS FAMILIAS DE VARIAS LOCALIDADES, PARA RELOCALIZACIÓN DE HOGARES LOCALIZADOS EN ZONAS DE ALTO RIESGO NO MITIGABLE ID:2015-OTR-01307, LOCALIDAD:19 CIUDAD BOLÍVAR, UPZ:68 EL TESORO, SECTOR:QUEBRADA TROMPETA</v>
          </cell>
          <cell r="R1383">
            <v>2975382</v>
          </cell>
          <cell r="S1383">
            <v>495897</v>
          </cell>
          <cell r="T1383">
            <v>0</v>
          </cell>
          <cell r="U1383">
            <v>2479485</v>
          </cell>
          <cell r="V1383">
            <v>2479485</v>
          </cell>
        </row>
        <row r="1384">
          <cell r="J1384">
            <v>740</v>
          </cell>
          <cell r="K1384">
            <v>43137</v>
          </cell>
          <cell r="L1384" t="str">
            <v>YURI ALEJANDRA VISCAYA COPAJITA</v>
          </cell>
          <cell r="M1384">
            <v>31</v>
          </cell>
          <cell r="N1384" t="str">
            <v>RESOLUCION</v>
          </cell>
          <cell r="O1384">
            <v>312</v>
          </cell>
          <cell r="P1384">
            <v>43137</v>
          </cell>
          <cell r="Q1384" t="str">
            <v>AYUDA TEMPORAL A LAS FAMILIAS DE VARIAS LOCALIDADES, PARA RELOCALIZACIÓN DE HOGARES LOCALIZADOS EN ZONAS DE ALTO RIESGO NO MITIGABLE ID:2014-OTR-01214, LOCALIDAD:11 SUBA, UPZ:71 TIBABUYES, SECTOR:GAVILANES</v>
          </cell>
          <cell r="R1384">
            <v>2550450</v>
          </cell>
          <cell r="S1384">
            <v>425075</v>
          </cell>
          <cell r="T1384">
            <v>0</v>
          </cell>
          <cell r="U1384">
            <v>2125375</v>
          </cell>
          <cell r="V1384">
            <v>2125375</v>
          </cell>
        </row>
        <row r="1385">
          <cell r="J1385">
            <v>741</v>
          </cell>
          <cell r="K1385">
            <v>43137</v>
          </cell>
          <cell r="L1385" t="str">
            <v>DIEGO FERNANDO TOCANCIPA CORREA</v>
          </cell>
          <cell r="M1385">
            <v>31</v>
          </cell>
          <cell r="N1385" t="str">
            <v>RESOLUCION</v>
          </cell>
          <cell r="O1385">
            <v>313</v>
          </cell>
          <cell r="P1385">
            <v>43137</v>
          </cell>
          <cell r="Q1385" t="str">
            <v>AYUDA TEMPORAL A LAS FAMILIAS DE VARIAS LOCALIDADES, PARA RELOCALIZACIÓN DE HOGARES LOCALIZADOS EN ZONAS DE ALTO RIESGO NO MITIGABLE ID:2016-4-00007, LOCALIDAD:04 SAN CRISTÓBAL, UPZ:32 SAN BLAS, SECTOR:TRIANGULO ALTO</v>
          </cell>
          <cell r="R1385">
            <v>2788572</v>
          </cell>
          <cell r="S1385">
            <v>464762</v>
          </cell>
          <cell r="T1385">
            <v>0</v>
          </cell>
          <cell r="U1385">
            <v>2323810</v>
          </cell>
          <cell r="V1385">
            <v>2323810</v>
          </cell>
        </row>
        <row r="1386">
          <cell r="J1386">
            <v>742</v>
          </cell>
          <cell r="K1386">
            <v>43137</v>
          </cell>
          <cell r="L1386" t="str">
            <v>LEONARDO FABIO ROJAS PEREZ</v>
          </cell>
          <cell r="M1386">
            <v>31</v>
          </cell>
          <cell r="N1386" t="str">
            <v>RESOLUCION</v>
          </cell>
          <cell r="O1386">
            <v>314</v>
          </cell>
          <cell r="P1386">
            <v>43137</v>
          </cell>
          <cell r="Q1386" t="str">
            <v>AYUDA TEMPORAL A LAS FAMILIAS DE VARIAS LOCALIDADES, PARA RELOCALIZACIÓN DE HOGARES LOCALIZADOS EN ZONAS DE ALTO RIESGO NO MITIGABLE ID:2014-OTR-00894, LOCALIDAD:03 SANTA FE, UPZ:96 LOURDES, SECTOR:CASA 3</v>
          </cell>
          <cell r="R1386">
            <v>3183744</v>
          </cell>
          <cell r="S1386">
            <v>530624</v>
          </cell>
          <cell r="T1386">
            <v>0</v>
          </cell>
          <cell r="U1386">
            <v>2653120</v>
          </cell>
          <cell r="V1386">
            <v>2653120</v>
          </cell>
        </row>
        <row r="1387">
          <cell r="J1387">
            <v>743</v>
          </cell>
          <cell r="K1387">
            <v>43137</v>
          </cell>
          <cell r="L1387" t="str">
            <v>CAMPO ELIAS VELASCO DUARTE</v>
          </cell>
          <cell r="M1387">
            <v>31</v>
          </cell>
          <cell r="N1387" t="str">
            <v>RESOLUCION</v>
          </cell>
          <cell r="O1387">
            <v>315</v>
          </cell>
          <cell r="P1387">
            <v>43137</v>
          </cell>
          <cell r="Q1387" t="str">
            <v>AYUDA TEMPORAL A LAS FAMILIAS DE VARIAS LOCALIDADES, PARA RELOCALIZACIÓN DE HOGARES LOCALIZADOS EN ZONAS DE ALTO RIESGO NO MITIGABLE ID:2014-OTR-01213, LOCALIDAD:11 SUBA, UPZ:71 TIBABUYES, SECTOR:GAVILANES</v>
          </cell>
          <cell r="R1387">
            <v>2586000</v>
          </cell>
          <cell r="S1387">
            <v>431000</v>
          </cell>
          <cell r="T1387">
            <v>0</v>
          </cell>
          <cell r="U1387">
            <v>2155000</v>
          </cell>
          <cell r="V1387">
            <v>2155000</v>
          </cell>
        </row>
        <row r="1388">
          <cell r="J1388">
            <v>744</v>
          </cell>
          <cell r="K1388">
            <v>43137</v>
          </cell>
          <cell r="L1388" t="str">
            <v>ROSA CECILIA LOPEZ PATARROYO</v>
          </cell>
          <cell r="M1388">
            <v>31</v>
          </cell>
          <cell r="N1388" t="str">
            <v>RESOLUCION</v>
          </cell>
          <cell r="O1388">
            <v>316</v>
          </cell>
          <cell r="P1388">
            <v>43137</v>
          </cell>
          <cell r="Q1388" t="str">
            <v>AYUDA TEMPORAL A LAS FAMILIAS DE VARIAS LOCALIDADES, PARA RELOCALIZACIÓN DE HOGARES LOCALIZADOS EN ZONAS DE ALTO RIESGO NO MITIGABLE ID:2014-OTR-00885, LOCALIDAD:03 SANTA FE, UPZ:96 LOURDES, SECTOR:CASA 2</v>
          </cell>
          <cell r="R1388">
            <v>2551518</v>
          </cell>
          <cell r="S1388">
            <v>425253</v>
          </cell>
          <cell r="T1388">
            <v>0</v>
          </cell>
          <cell r="U1388">
            <v>2126265</v>
          </cell>
          <cell r="V1388">
            <v>2126265</v>
          </cell>
        </row>
        <row r="1389">
          <cell r="J1389">
            <v>745</v>
          </cell>
          <cell r="K1389">
            <v>43137</v>
          </cell>
          <cell r="L1389" t="str">
            <v>MARTHA PATRICIA JIMENEZ</v>
          </cell>
          <cell r="M1389">
            <v>31</v>
          </cell>
          <cell r="N1389" t="str">
            <v>RESOLUCION</v>
          </cell>
          <cell r="O1389">
            <v>317</v>
          </cell>
          <cell r="P1389">
            <v>43137</v>
          </cell>
          <cell r="Q1389" t="str">
            <v>AYUDA TEMPORAL A LAS FAMILIAS DE VARIAS LOCALIDADES, PARA RELOCALIZACIÓN DE HOGARES LOCALIZADOS EN ZONAS DE ALTO RIESGO NO MITIGABLE ID:2007-2-10155, LOCALIDAD:02 CHAPINERO, UPZ:89 SAN ISIDRO PATIOS</v>
          </cell>
          <cell r="R1389">
            <v>2586000</v>
          </cell>
          <cell r="S1389">
            <v>431000</v>
          </cell>
          <cell r="T1389">
            <v>0</v>
          </cell>
          <cell r="U1389">
            <v>2155000</v>
          </cell>
          <cell r="V1389">
            <v>2155000</v>
          </cell>
        </row>
        <row r="1390">
          <cell r="J1390">
            <v>746</v>
          </cell>
          <cell r="K1390">
            <v>43137</v>
          </cell>
          <cell r="L1390" t="str">
            <v>MORELIA  CANO</v>
          </cell>
          <cell r="M1390">
            <v>31</v>
          </cell>
          <cell r="N1390" t="str">
            <v>RESOLUCION</v>
          </cell>
          <cell r="O1390">
            <v>318</v>
          </cell>
          <cell r="P1390">
            <v>43137</v>
          </cell>
          <cell r="Q1390" t="str">
            <v>AYUDA TEMPORAL A LAS FAMILIAS DE VARIAS LOCALIDADES, PARA RELOCALIZACIÓN DE HOGARES LOCALIZADOS EN ZONAS DE ALTO RIESGO NO MITIGABLE ID:2011-4-12639, LOCALIDAD:04 SAN CRISTÓBAL, UPZ:32 SAN BLAS</v>
          </cell>
          <cell r="R1390">
            <v>2213148</v>
          </cell>
          <cell r="S1390">
            <v>368858</v>
          </cell>
          <cell r="T1390">
            <v>0</v>
          </cell>
          <cell r="U1390">
            <v>1844290</v>
          </cell>
          <cell r="V1390">
            <v>1844290</v>
          </cell>
        </row>
        <row r="1391">
          <cell r="J1391">
            <v>747</v>
          </cell>
          <cell r="K1391">
            <v>43137</v>
          </cell>
          <cell r="L1391" t="str">
            <v>DORIS ALICIA MARIÑO URIBE</v>
          </cell>
          <cell r="M1391">
            <v>31</v>
          </cell>
          <cell r="N1391" t="str">
            <v>RESOLUCION</v>
          </cell>
          <cell r="O1391">
            <v>319</v>
          </cell>
          <cell r="P1391">
            <v>43137</v>
          </cell>
          <cell r="Q1391" t="str">
            <v>AYUDA TEMPORAL A LAS FAMILIAS DE VARIAS LOCALIDADES, PARA RELOCALIZACIÓN DE HOGARES LOCALIZADOS EN ZONAS DE ALTO RIESGO NO MITIGABLE ID:2005-4-6467, LOCALIDAD:04 SAN CRISTÓBAL, UPZ:51 LOS LIBERTADORES</v>
          </cell>
          <cell r="R1391">
            <v>2301678</v>
          </cell>
          <cell r="S1391">
            <v>383613</v>
          </cell>
          <cell r="T1391">
            <v>0</v>
          </cell>
          <cell r="U1391">
            <v>1918065</v>
          </cell>
          <cell r="V1391">
            <v>1918065</v>
          </cell>
        </row>
        <row r="1392">
          <cell r="J1392">
            <v>748</v>
          </cell>
          <cell r="K1392">
            <v>43137</v>
          </cell>
          <cell r="L1392" t="str">
            <v>ANGELINA  CARRILLO LASSO</v>
          </cell>
          <cell r="M1392">
            <v>31</v>
          </cell>
          <cell r="N1392" t="str">
            <v>RESOLUCION</v>
          </cell>
          <cell r="O1392">
            <v>320</v>
          </cell>
          <cell r="P1392">
            <v>43137</v>
          </cell>
          <cell r="Q1392" t="str">
            <v>AYUDA TEMPORAL A LAS FAMILIAS DE VARIAS LOCALIDADES, PARA RELOCALIZACIÓN DE HOGARES LOCALIZADOS EN ZONAS DE ALTO RIESGO NO MITIGABLE ID:2014-Q03-01007, LOCALIDAD:19 CIUDAD BOLÍVAR, UPZ:66 SAN FRANCISCO, SECTOR:LIMAS</v>
          </cell>
          <cell r="R1392">
            <v>2706270</v>
          </cell>
          <cell r="S1392">
            <v>451045</v>
          </cell>
          <cell r="T1392">
            <v>0</v>
          </cell>
          <cell r="U1392">
            <v>2255225</v>
          </cell>
          <cell r="V1392">
            <v>2255225</v>
          </cell>
        </row>
        <row r="1393">
          <cell r="J1393">
            <v>749</v>
          </cell>
          <cell r="K1393">
            <v>43137</v>
          </cell>
          <cell r="L1393" t="str">
            <v>LUIS ALFREDO RODRIGUEZ GAVILAN</v>
          </cell>
          <cell r="M1393">
            <v>31</v>
          </cell>
          <cell r="N1393" t="str">
            <v>RESOLUCION</v>
          </cell>
          <cell r="O1393">
            <v>321</v>
          </cell>
          <cell r="P1393">
            <v>43137</v>
          </cell>
          <cell r="Q1393" t="str">
            <v>AYUDA TEMPORAL A LAS FAMILIAS DE VARIAS LOCALIDADES, PARA RELOCALIZACIÓN DE HOGARES LOCALIZADOS EN ZONAS DE ALTO RIESGO NO MITIGABLE ID:2015-OTR-01446, LOCALIDAD:02 CHAPINERO, UPZ:90 PARDO RUBIO</v>
          </cell>
          <cell r="R1393">
            <v>2586000</v>
          </cell>
          <cell r="S1393">
            <v>0</v>
          </cell>
          <cell r="T1393">
            <v>0</v>
          </cell>
          <cell r="U1393">
            <v>2586000</v>
          </cell>
          <cell r="V1393">
            <v>1724000</v>
          </cell>
        </row>
        <row r="1394">
          <cell r="J1394">
            <v>750</v>
          </cell>
          <cell r="K1394">
            <v>43137</v>
          </cell>
          <cell r="L1394" t="str">
            <v>HUMBERTO  VELANDIA</v>
          </cell>
          <cell r="M1394">
            <v>31</v>
          </cell>
          <cell r="N1394" t="str">
            <v>RESOLUCION</v>
          </cell>
          <cell r="O1394">
            <v>331</v>
          </cell>
          <cell r="P1394">
            <v>43137</v>
          </cell>
          <cell r="Q1394" t="str">
            <v>AYUDA TEMPORAL A LAS FAMILIAS DE VARIAS LOCALIDADES, PARA RELOCALIZACIÓN DE HOGARES LOCALIZADOS EN ZONAS DE ALTO RIESGO NO MITIGABLE ID:2013000176, LOCALIDAD:04 SAN CRISTÓBAL, UPZ:51 LOS LIBERTADORES, SECTOR:QUEBRADA VEREJONES</v>
          </cell>
          <cell r="R1394">
            <v>3563175</v>
          </cell>
          <cell r="S1394">
            <v>0</v>
          </cell>
          <cell r="T1394">
            <v>0</v>
          </cell>
          <cell r="U1394">
            <v>3563175</v>
          </cell>
          <cell r="V1394">
            <v>2036100</v>
          </cell>
        </row>
        <row r="1395">
          <cell r="J1395">
            <v>751</v>
          </cell>
          <cell r="K1395">
            <v>43137</v>
          </cell>
          <cell r="L1395" t="str">
            <v>GLADYS  JOAQUI DIAZ</v>
          </cell>
          <cell r="M1395">
            <v>31</v>
          </cell>
          <cell r="N1395" t="str">
            <v>RESOLUCION</v>
          </cell>
          <cell r="O1395">
            <v>322</v>
          </cell>
          <cell r="P1395">
            <v>43137</v>
          </cell>
          <cell r="Q1395" t="str">
            <v>AYUDA TEMPORAL A LAS FAMILIAS DE VARIAS LOCALIDADES, PARA RELOCALIZACIÓN DE HOGARES LOCALIZADOS EN ZONAS DE ALTO RIESGO NO MITIGABLE ID:2002-4-2711, LOCALIDAD:04 SAN CRISTÓBAL, UPZ:32 SAN BLAS</v>
          </cell>
          <cell r="R1395">
            <v>2899932</v>
          </cell>
          <cell r="S1395">
            <v>483322</v>
          </cell>
          <cell r="T1395">
            <v>0</v>
          </cell>
          <cell r="U1395">
            <v>2416610</v>
          </cell>
          <cell r="V1395">
            <v>2416610</v>
          </cell>
        </row>
        <row r="1396">
          <cell r="J1396">
            <v>752</v>
          </cell>
          <cell r="K1396">
            <v>43137</v>
          </cell>
          <cell r="L1396" t="str">
            <v>JOSE IGNACIO TORRES HORTA</v>
          </cell>
          <cell r="M1396">
            <v>31</v>
          </cell>
          <cell r="N1396" t="str">
            <v>RESOLUCION</v>
          </cell>
          <cell r="O1396">
            <v>520</v>
          </cell>
          <cell r="P1396">
            <v>43137</v>
          </cell>
          <cell r="Q1396" t="str">
            <v>VUR de la actual vigencia de acuerdo con el Decreto 255 de 2013. LOCALIDAD: CIUDAD BOLIVAR; BARRIO:EL MIRADOR 3; ID: 2017-19-14976</v>
          </cell>
          <cell r="R1396">
            <v>39062100</v>
          </cell>
          <cell r="S1396">
            <v>0</v>
          </cell>
          <cell r="T1396">
            <v>0</v>
          </cell>
          <cell r="U1396">
            <v>39062100</v>
          </cell>
          <cell r="V1396">
            <v>39062100</v>
          </cell>
        </row>
        <row r="1397">
          <cell r="J1397">
            <v>759</v>
          </cell>
          <cell r="K1397">
            <v>43137</v>
          </cell>
          <cell r="L1397" t="str">
            <v>FRANKLIN HUMBERTO LEON CASTAÑEDA</v>
          </cell>
          <cell r="M1397">
            <v>31</v>
          </cell>
          <cell r="N1397" t="str">
            <v>RESOLUCION</v>
          </cell>
          <cell r="O1397">
            <v>425</v>
          </cell>
          <cell r="P1397">
            <v>43137</v>
          </cell>
          <cell r="Q1397" t="str">
            <v>AYUDA TEMPORAL A LAS FAMILIAS DE VARIAS LOCALIDADES, PARA RELOCALIZACIÓN DE HOGARES LOCALIZADOS EN ZONAS DE ALTO RIESGO NO MITIGABLE ID:2015-D227-00034, LOCALIDAD:04 SAN CRISTÓBAL, UPZ:51 LOS LIBERTADORES, SECTOR:SANTA TERESITA</v>
          </cell>
          <cell r="R1397">
            <v>4687452</v>
          </cell>
          <cell r="S1397">
            <v>0</v>
          </cell>
          <cell r="T1397">
            <v>0</v>
          </cell>
          <cell r="U1397">
            <v>4687452</v>
          </cell>
          <cell r="V1397">
            <v>2734347</v>
          </cell>
        </row>
        <row r="1398">
          <cell r="J1398">
            <v>760</v>
          </cell>
          <cell r="K1398">
            <v>43137</v>
          </cell>
          <cell r="L1398" t="str">
            <v>MARIA EUGENIA BELTRAN HERNANDEZ</v>
          </cell>
          <cell r="M1398">
            <v>31</v>
          </cell>
          <cell r="N1398" t="str">
            <v>RESOLUCION</v>
          </cell>
          <cell r="O1398">
            <v>426</v>
          </cell>
          <cell r="P1398">
            <v>43137</v>
          </cell>
          <cell r="Q1398" t="str">
            <v>AYUDA TEMPORAL A LAS FAMILIAS DE VARIAS LOCALIDADES, PARA RELOCALIZACIÓN DE HOGARES LOCALIZADOS EN ZONAS DE ALTO RIESGO NO MITIGABLE ID:2011-4-12654, LOCALIDAD:04 SAN CRISTÓBAL, UPZ:32 SAN BLAS</v>
          </cell>
          <cell r="R1398">
            <v>3233538</v>
          </cell>
          <cell r="S1398">
            <v>461934</v>
          </cell>
          <cell r="T1398">
            <v>0</v>
          </cell>
          <cell r="U1398">
            <v>2771604</v>
          </cell>
          <cell r="V1398">
            <v>2771604</v>
          </cell>
        </row>
        <row r="1399">
          <cell r="J1399">
            <v>761</v>
          </cell>
          <cell r="K1399">
            <v>43137</v>
          </cell>
          <cell r="L1399" t="str">
            <v>JEISSON EDUARDO ESPITIA SAGANOME</v>
          </cell>
          <cell r="M1399">
            <v>31</v>
          </cell>
          <cell r="N1399" t="str">
            <v>RESOLUCION</v>
          </cell>
          <cell r="O1399">
            <v>427</v>
          </cell>
          <cell r="P1399">
            <v>43137</v>
          </cell>
          <cell r="Q1399" t="str">
            <v>AYUDA TEMPORAL A LAS FAMILIAS DE VARIAS LOCALIDADES, PARA RELOCALIZACIÓN DE HOGARES LOCALIZADOS EN ZONAS DE ALTO RIESGO NO MITIGABLE ID:2014-OTR-01132, LOCALIDAD:11 SUBA, UPZ:71 TIBABUYES, SECTOR:GAVILANES</v>
          </cell>
          <cell r="R1399">
            <v>2582006</v>
          </cell>
          <cell r="S1399">
            <v>0</v>
          </cell>
          <cell r="T1399">
            <v>0</v>
          </cell>
          <cell r="U1399">
            <v>2582006</v>
          </cell>
          <cell r="V1399">
            <v>1106574</v>
          </cell>
        </row>
        <row r="1400">
          <cell r="J1400">
            <v>762</v>
          </cell>
          <cell r="K1400">
            <v>43137</v>
          </cell>
          <cell r="L1400" t="str">
            <v>RUBELIA  JARAMILLO ATEHORTUA</v>
          </cell>
          <cell r="M1400">
            <v>31</v>
          </cell>
          <cell r="N1400" t="str">
            <v>RESOLUCION</v>
          </cell>
          <cell r="O1400">
            <v>428</v>
          </cell>
          <cell r="P1400">
            <v>43137</v>
          </cell>
          <cell r="Q1400" t="str">
            <v>AYUDA TEMPORAL A LAS FAMILIAS DE VARIAS LOCALIDADES, PARA RELOCALIZACIÓN DE HOGARES LOCALIZADOS EN ZONAS DE ALTO RIESGO NO MITIGABLE ID:2014-C01-00687, LOCALIDAD:19 CIUDAD BOLÍVAR, UPZ:68 EL TESORO</v>
          </cell>
          <cell r="R1400">
            <v>2846046</v>
          </cell>
          <cell r="S1400">
            <v>406578</v>
          </cell>
          <cell r="T1400">
            <v>0</v>
          </cell>
          <cell r="U1400">
            <v>2439468</v>
          </cell>
          <cell r="V1400">
            <v>2439468</v>
          </cell>
        </row>
        <row r="1401">
          <cell r="J1401">
            <v>763</v>
          </cell>
          <cell r="K1401">
            <v>43137</v>
          </cell>
          <cell r="L1401" t="str">
            <v>EDWAR DAVID CANDUCHO TAPIERO</v>
          </cell>
          <cell r="M1401">
            <v>31</v>
          </cell>
          <cell r="N1401" t="str">
            <v>RESOLUCION</v>
          </cell>
          <cell r="O1401">
            <v>429</v>
          </cell>
          <cell r="P1401">
            <v>43137</v>
          </cell>
          <cell r="Q1401" t="str">
            <v>AYUDA TEMPORAL A LAS FAMILIAS DE VARIAS LOCALIDADES, PARA RELOCALIZACIÓN DE HOGARES LOCALIZADOS EN ZONAS DE ALTO RIESGO NO MITIGABLE ID:2006-19-8409, LOCALIDAD:19 CIUDAD BOLÍVAR, UPZ:67 LUCERO</v>
          </cell>
          <cell r="R1401">
            <v>6032013</v>
          </cell>
          <cell r="S1401">
            <v>0</v>
          </cell>
          <cell r="T1401">
            <v>0</v>
          </cell>
          <cell r="U1401">
            <v>6032013</v>
          </cell>
          <cell r="V1401">
            <v>3712008</v>
          </cell>
        </row>
        <row r="1402">
          <cell r="J1402">
            <v>764</v>
          </cell>
          <cell r="K1402">
            <v>43137</v>
          </cell>
          <cell r="L1402" t="str">
            <v>SANDRA JAKELINE FORERO</v>
          </cell>
          <cell r="M1402">
            <v>31</v>
          </cell>
          <cell r="N1402" t="str">
            <v>RESOLUCION</v>
          </cell>
          <cell r="O1402">
            <v>372</v>
          </cell>
          <cell r="P1402">
            <v>43137</v>
          </cell>
          <cell r="Q1402" t="str">
            <v>AYUDA TEMPORAL A LAS FAMILIAS DE VARIAS LOCALIDADES, PARA RELOCALIZACIÓN DE HOGARES LOCALIZADOS EN ZONAS DE ALTO RIESGO NO MITIGABLE ID:2016-08-14822, LOCALIDAD:08 KENNEDY, UPZ:82 PATIO BONITO, SECTOR:PALMITAS</v>
          </cell>
          <cell r="R1402">
            <v>6086168</v>
          </cell>
          <cell r="S1402">
            <v>0</v>
          </cell>
          <cell r="T1402">
            <v>0</v>
          </cell>
          <cell r="U1402">
            <v>6086168</v>
          </cell>
          <cell r="V1402">
            <v>3873016</v>
          </cell>
        </row>
        <row r="1403">
          <cell r="J1403">
            <v>765</v>
          </cell>
          <cell r="K1403">
            <v>43137</v>
          </cell>
          <cell r="L1403" t="str">
            <v>PASTOR  ALBARRACIN ALBARRACIN</v>
          </cell>
          <cell r="M1403">
            <v>31</v>
          </cell>
          <cell r="N1403" t="str">
            <v>RESOLUCION</v>
          </cell>
          <cell r="O1403">
            <v>373</v>
          </cell>
          <cell r="P1403">
            <v>43137</v>
          </cell>
          <cell r="Q1403" t="str">
            <v>AYUDA TEMPORAL A LAS FAMILIAS DE VARIAS LOCALIDADES, PARA RELOCALIZACIÓN DE HOGARES LOCALIZADOS EN ZONAS DE ALTO RIESGO NO MITIGABLE ID:2011-19-13698, LOCALIDAD:19 CIUDAD BOLÍVAR, UPZ:67 LUCERO</v>
          </cell>
          <cell r="R1403">
            <v>5108857</v>
          </cell>
          <cell r="S1403">
            <v>0</v>
          </cell>
          <cell r="T1403">
            <v>0</v>
          </cell>
          <cell r="U1403">
            <v>5108857</v>
          </cell>
          <cell r="V1403">
            <v>3143912</v>
          </cell>
        </row>
        <row r="1404">
          <cell r="J1404">
            <v>766</v>
          </cell>
          <cell r="K1404">
            <v>43137</v>
          </cell>
          <cell r="L1404" t="str">
            <v>FLOR MYRIAM CORREA CORREA</v>
          </cell>
          <cell r="M1404">
            <v>31</v>
          </cell>
          <cell r="N1404" t="str">
            <v>RESOLUCION</v>
          </cell>
          <cell r="O1404">
            <v>374</v>
          </cell>
          <cell r="P1404">
            <v>43137</v>
          </cell>
          <cell r="Q1404" t="str">
            <v>AYUDA TEMPORAL A LAS FAMILIAS DE VARIAS LOCALIDADES, PARA RELOCALIZACIÓN DE HOGARES LOCALIZADOS EN ZONAS DE ALTO RIESGO NO MITIGABLE ID:2013-Q04-00757, LOCALIDAD:19 CIUDAD BOLÍVAR, UPZ:67 LUCERO, SECTOR:PEÑA COLORADA</v>
          </cell>
          <cell r="R1404">
            <v>3619000</v>
          </cell>
          <cell r="S1404">
            <v>517000</v>
          </cell>
          <cell r="T1404">
            <v>0</v>
          </cell>
          <cell r="U1404">
            <v>3102000</v>
          </cell>
          <cell r="V1404">
            <v>3102000</v>
          </cell>
        </row>
        <row r="1405">
          <cell r="J1405">
            <v>767</v>
          </cell>
          <cell r="K1405">
            <v>43137</v>
          </cell>
          <cell r="L1405" t="str">
            <v>JUAN DAVID LOPEZ</v>
          </cell>
          <cell r="M1405">
            <v>31</v>
          </cell>
          <cell r="N1405" t="str">
            <v>RESOLUCION</v>
          </cell>
          <cell r="O1405">
            <v>375</v>
          </cell>
          <cell r="P1405">
            <v>43137</v>
          </cell>
          <cell r="Q1405" t="str">
            <v>AYUDA TEMPORAL A LAS FAMILIAS DE VARIAS LOCALIDADES, PARA RELOCALIZACIÓN DE HOGARES LOCALIZADOS EN ZONAS DE ALTO RIESGO NO MITIGABLE ID:2012-19-13786, LOCALIDAD:19 CIUDAD BOLÍVAR, UPZ:67 LUCERO</v>
          </cell>
          <cell r="R1405">
            <v>2924376</v>
          </cell>
          <cell r="S1405">
            <v>417768</v>
          </cell>
          <cell r="T1405">
            <v>0</v>
          </cell>
          <cell r="U1405">
            <v>2506608</v>
          </cell>
          <cell r="V1405">
            <v>2506608</v>
          </cell>
        </row>
        <row r="1406">
          <cell r="J1406">
            <v>768</v>
          </cell>
          <cell r="K1406">
            <v>43137</v>
          </cell>
          <cell r="L1406" t="str">
            <v>ORFILIA  LEON BAQUERO</v>
          </cell>
          <cell r="M1406">
            <v>31</v>
          </cell>
          <cell r="N1406" t="str">
            <v>RESOLUCION</v>
          </cell>
          <cell r="O1406">
            <v>376</v>
          </cell>
          <cell r="P1406">
            <v>43137</v>
          </cell>
          <cell r="Q1406" t="str">
            <v>AYUDA TEMPORAL A LAS FAMILIAS DE VARIAS LOCALIDADES, PARA RELOCALIZACIÓN DE HOGARES LOCALIZADOS EN ZONAS DE ALTO RIESGO NO MITIGABLE ID:2016-08-14816, LOCALIDAD:08 KENNEDY, UPZ:82 PATIO BONITO, SECTOR:PALMITAS</v>
          </cell>
          <cell r="R1406">
            <v>2840208</v>
          </cell>
          <cell r="S1406">
            <v>405744</v>
          </cell>
          <cell r="T1406">
            <v>0</v>
          </cell>
          <cell r="U1406">
            <v>2434464</v>
          </cell>
          <cell r="V1406">
            <v>2434464</v>
          </cell>
        </row>
        <row r="1407">
          <cell r="J1407">
            <v>769</v>
          </cell>
          <cell r="K1407">
            <v>43137</v>
          </cell>
          <cell r="L1407" t="str">
            <v>ADRIANA  BARRANTES GONZALEZ</v>
          </cell>
          <cell r="M1407">
            <v>31</v>
          </cell>
          <cell r="N1407" t="str">
            <v>RESOLUCION</v>
          </cell>
          <cell r="O1407">
            <v>377</v>
          </cell>
          <cell r="P1407">
            <v>43137</v>
          </cell>
          <cell r="Q1407" t="str">
            <v>AYUDA TEMPORAL A LAS FAMILIAS DE VARIAS LOCALIDADES, PARA RELOCALIZACIÓN DE HOGARES LOCALIZADOS EN ZONAS DE ALTO RIESGO NO MITIGABLE ID:2008-4-10899, LOCALIDAD:04 SAN CRISTÓBAL, UPZ:32 SAN BLAS</v>
          </cell>
          <cell r="R1407">
            <v>6713226</v>
          </cell>
          <cell r="S1407">
            <v>0</v>
          </cell>
          <cell r="T1407">
            <v>0</v>
          </cell>
          <cell r="U1407">
            <v>6713226</v>
          </cell>
          <cell r="V1407">
            <v>4131216</v>
          </cell>
        </row>
        <row r="1408">
          <cell r="J1408">
            <v>770</v>
          </cell>
          <cell r="K1408">
            <v>43137</v>
          </cell>
          <cell r="L1408" t="str">
            <v>CLARA INES ARGUELLO CAMARGO</v>
          </cell>
          <cell r="M1408">
            <v>31</v>
          </cell>
          <cell r="N1408" t="str">
            <v>RESOLUCION</v>
          </cell>
          <cell r="O1408">
            <v>378</v>
          </cell>
          <cell r="P1408">
            <v>43137</v>
          </cell>
          <cell r="Q1408" t="str">
            <v>AYUDA TEMPORAL A LAS FAMILIAS DE VARIAS LOCALIDADES, PARA RELOCALIZACIÓN DE HOGARES LOCALIZADOS EN ZONAS DE ALTO RIESGO NO MITIGABLE ID:2015-Q09-03240, LOCALIDAD:19 CIUDAD BOLÍVAR, UPZ:68 EL TESORO, SECTOR:LA TROMPETA</v>
          </cell>
          <cell r="R1408">
            <v>4382037</v>
          </cell>
          <cell r="S1408">
            <v>0</v>
          </cell>
          <cell r="T1408">
            <v>0</v>
          </cell>
          <cell r="U1408">
            <v>4382037</v>
          </cell>
          <cell r="V1408">
            <v>3186936</v>
          </cell>
        </row>
        <row r="1409">
          <cell r="J1409">
            <v>771</v>
          </cell>
          <cell r="K1409">
            <v>43137</v>
          </cell>
          <cell r="L1409" t="str">
            <v>KATERINE  ROMERO GALLEGO</v>
          </cell>
          <cell r="M1409">
            <v>31</v>
          </cell>
          <cell r="N1409" t="str">
            <v>RESOLUCION</v>
          </cell>
          <cell r="O1409">
            <v>379</v>
          </cell>
          <cell r="P1409">
            <v>43137</v>
          </cell>
          <cell r="Q1409" t="str">
            <v>AYUDA TEMPORAL A LAS FAMILIAS DE VARIAS LOCALIDADES, PARA RELOCALIZACIÓN DE HOGARES LOCALIZADOS EN ZONAS DE ALTO RIESGO NO MITIGABLE ID:2016-08-14826, LOCALIDAD:08 KENNEDY, UPZ:82 PATIO BONITO, SECTOR:PALMITAS</v>
          </cell>
          <cell r="R1409">
            <v>3614814</v>
          </cell>
          <cell r="S1409">
            <v>516402</v>
          </cell>
          <cell r="T1409">
            <v>0</v>
          </cell>
          <cell r="U1409">
            <v>3098412</v>
          </cell>
          <cell r="V1409">
            <v>3098412</v>
          </cell>
        </row>
        <row r="1410">
          <cell r="J1410">
            <v>772</v>
          </cell>
          <cell r="K1410">
            <v>43137</v>
          </cell>
          <cell r="L1410" t="str">
            <v>MARTHA LUCIA MARTIN RESTREPO</v>
          </cell>
          <cell r="M1410">
            <v>31</v>
          </cell>
          <cell r="N1410" t="str">
            <v>RESOLUCION</v>
          </cell>
          <cell r="O1410">
            <v>380</v>
          </cell>
          <cell r="P1410">
            <v>43137</v>
          </cell>
          <cell r="Q1410" t="str">
            <v>AYUDA TEMPORAL A LAS FAMILIAS DE VARIAS LOCALIDADES, PARA RELOCALIZACIÓN DE HOGARES LOCALIZADOS EN ZONAS DE ALTO RIESGO NO MITIGABLE ID:2013000534, LOCALIDAD:19 CIUDAD BOLÍVAR, UPZ:67 LUCERO, SECTOR:QUEBRADA TROMPETA</v>
          </cell>
          <cell r="R1410">
            <v>5285280</v>
          </cell>
          <cell r="S1410">
            <v>0</v>
          </cell>
          <cell r="T1410">
            <v>0</v>
          </cell>
          <cell r="U1410">
            <v>5285280</v>
          </cell>
          <cell r="V1410">
            <v>3252480</v>
          </cell>
        </row>
        <row r="1411">
          <cell r="J1411">
            <v>773</v>
          </cell>
          <cell r="K1411">
            <v>43137</v>
          </cell>
          <cell r="L1411" t="str">
            <v>JOSE MILCIADES SALCEDO</v>
          </cell>
          <cell r="M1411">
            <v>31</v>
          </cell>
          <cell r="N1411" t="str">
            <v>RESOLUCION</v>
          </cell>
          <cell r="O1411">
            <v>381</v>
          </cell>
          <cell r="P1411">
            <v>43137</v>
          </cell>
          <cell r="Q1411" t="str">
            <v>AYUDA TEMPORAL A LAS FAMILIAS DE VARIAS LOCALIDADES, PARA RELOCALIZACIÓN DE HOGARES LOCALIZADOS EN ZONAS DE ALTO RIESGO NO MITIGABLE ID:2013000301, LOCALIDAD:19 CIUDAD BOLÍVAR, UPZ:67 LUCERO, SECTOR:QUEBRADA TROMPETA</v>
          </cell>
          <cell r="R1411">
            <v>5603000</v>
          </cell>
          <cell r="S1411">
            <v>0</v>
          </cell>
          <cell r="T1411">
            <v>0</v>
          </cell>
          <cell r="U1411">
            <v>5603000</v>
          </cell>
          <cell r="V1411">
            <v>3448000</v>
          </cell>
        </row>
        <row r="1412">
          <cell r="J1412">
            <v>774</v>
          </cell>
          <cell r="K1412">
            <v>43137</v>
          </cell>
          <cell r="L1412" t="str">
            <v>CARMENZA  GIL OLAYA</v>
          </cell>
          <cell r="M1412">
            <v>31</v>
          </cell>
          <cell r="N1412" t="str">
            <v>RESOLUCION</v>
          </cell>
          <cell r="O1412">
            <v>382</v>
          </cell>
          <cell r="P1412">
            <v>43137</v>
          </cell>
          <cell r="Q1412" t="str">
            <v>AYUDA TEMPORAL A LAS FAMILIAS DE VARIAS LOCALIDADES, PARA RELOCALIZACIÓN DE HOGARES LOCALIZADOS EN ZONAS DE ALTO RIESGO NO MITIGABLE ID:2016-08-14848, LOCALIDAD:08 KENNEDY, UPZ:82 PATIO BONITO, SECTOR:PALMITAS</v>
          </cell>
          <cell r="R1412">
            <v>7672262</v>
          </cell>
          <cell r="S1412">
            <v>0</v>
          </cell>
          <cell r="T1412">
            <v>0</v>
          </cell>
          <cell r="U1412">
            <v>7672262</v>
          </cell>
          <cell r="V1412">
            <v>4721392</v>
          </cell>
        </row>
        <row r="1413">
          <cell r="J1413">
            <v>775</v>
          </cell>
          <cell r="K1413">
            <v>43137</v>
          </cell>
          <cell r="L1413" t="str">
            <v>MARIELA  BARRAGAN</v>
          </cell>
          <cell r="M1413">
            <v>31</v>
          </cell>
          <cell r="N1413" t="str">
            <v>RESOLUCION</v>
          </cell>
          <cell r="O1413">
            <v>383</v>
          </cell>
          <cell r="P1413">
            <v>43137</v>
          </cell>
          <cell r="Q1413" t="str">
            <v>AYUDA TEMPORAL A LAS FAMILIAS DE VARIAS LOCALIDADES, PARA RELOCALIZACIÓN DE HOGARES LOCALIZADOS EN ZONAS DE ALTO RIESGO NO MITIGABLE ID:1999-2-3027, LOCALIDAD:02 CHAPINERO, UPZ:89 SAN ISIDRO PATIOS</v>
          </cell>
          <cell r="R1413">
            <v>5285280</v>
          </cell>
          <cell r="S1413">
            <v>0</v>
          </cell>
          <cell r="T1413">
            <v>0</v>
          </cell>
          <cell r="U1413">
            <v>5285280</v>
          </cell>
          <cell r="V1413">
            <v>3252480</v>
          </cell>
        </row>
        <row r="1414">
          <cell r="J1414">
            <v>776</v>
          </cell>
          <cell r="K1414">
            <v>43137</v>
          </cell>
          <cell r="L1414" t="str">
            <v>LUZ ANGELA SUAREZ MUNZA</v>
          </cell>
          <cell r="M1414">
            <v>31</v>
          </cell>
          <cell r="N1414" t="str">
            <v>RESOLUCION</v>
          </cell>
          <cell r="O1414">
            <v>384</v>
          </cell>
          <cell r="P1414">
            <v>43137</v>
          </cell>
          <cell r="Q1414" t="str">
            <v>AYUDA TEMPORAL A LAS FAMILIAS DE VARIAS LOCALIDADES, PARA RELOCALIZACIÓN DE HOGARES LOCALIZADOS EN ZONAS DE ALTO RIESGO NO MITIGABLE ID:2016-08-14895, LOCALIDAD:08 KENNEDY, UPZ:82 PATIO BONITO, SECTOR:PALMITAS</v>
          </cell>
          <cell r="R1414">
            <v>9110803</v>
          </cell>
          <cell r="S1414">
            <v>0</v>
          </cell>
          <cell r="T1414">
            <v>0</v>
          </cell>
          <cell r="U1414">
            <v>9110803</v>
          </cell>
          <cell r="V1414">
            <v>5606648</v>
          </cell>
        </row>
        <row r="1415">
          <cell r="J1415">
            <v>777</v>
          </cell>
          <cell r="K1415">
            <v>43137</v>
          </cell>
          <cell r="L1415" t="str">
            <v>LUZ ALBA PLATA MARTINEZ</v>
          </cell>
          <cell r="M1415">
            <v>31</v>
          </cell>
          <cell r="N1415" t="str">
            <v>RESOLUCION</v>
          </cell>
          <cell r="O1415">
            <v>385</v>
          </cell>
          <cell r="P1415">
            <v>43137</v>
          </cell>
          <cell r="Q1415" t="str">
            <v>AYUDA TEMPORAL A LAS FAMILIAS DE VARIAS LOCALIDADES, PARA RELOCALIZACIÓN DE HOGARES LOCALIZADOS EN ZONAS DE ALTO RIESGO NO MITIGABLE ID:2003-19-5342, LOCALIDAD:19 CIUDAD BOLÍVAR, UPZ:69 ISMAEL PERDOMO, SECTOR:ALTOS DE LA ESTANCIA</v>
          </cell>
          <cell r="R1415">
            <v>6701825</v>
          </cell>
          <cell r="S1415">
            <v>0</v>
          </cell>
          <cell r="T1415">
            <v>0</v>
          </cell>
          <cell r="U1415">
            <v>6701825</v>
          </cell>
          <cell r="V1415">
            <v>4124200</v>
          </cell>
        </row>
        <row r="1416">
          <cell r="J1416">
            <v>778</v>
          </cell>
          <cell r="K1416">
            <v>43138</v>
          </cell>
          <cell r="L1416" t="str">
            <v>ORLANDO  ESTRADA VALENCIA</v>
          </cell>
          <cell r="M1416">
            <v>31</v>
          </cell>
          <cell r="N1416" t="str">
            <v>RESOLUCION</v>
          </cell>
          <cell r="O1416">
            <v>386</v>
          </cell>
          <cell r="P1416">
            <v>43138</v>
          </cell>
          <cell r="Q1416" t="str">
            <v>AYUDA TEMPORAL A LAS FAMILIAS DE VARIAS LOCALIDADES, PARA RELOCALIZACIÓN DE HOGARES LOCALIZADOS EN ZONAS DE ALTO RIESGO NO MITIGABLE ID:2012-ALES-445, LOCALIDAD:19 CIUDAD BOLÍVAR, UPZ:69 ISMAEL PERDOMO, SECTOR:ALTOS DE LA ESTANCIA</v>
          </cell>
          <cell r="R1416">
            <v>6721000</v>
          </cell>
          <cell r="S1416">
            <v>0</v>
          </cell>
          <cell r="T1416">
            <v>0</v>
          </cell>
          <cell r="U1416">
            <v>6721000</v>
          </cell>
          <cell r="V1416">
            <v>4136000</v>
          </cell>
        </row>
        <row r="1417">
          <cell r="J1417">
            <v>779</v>
          </cell>
          <cell r="K1417">
            <v>43138</v>
          </cell>
          <cell r="L1417" t="str">
            <v>ALEXANDER  MERCASA BARCORIZO</v>
          </cell>
          <cell r="M1417">
            <v>31</v>
          </cell>
          <cell r="N1417" t="str">
            <v>RESOLUCION</v>
          </cell>
          <cell r="O1417">
            <v>387</v>
          </cell>
          <cell r="P1417">
            <v>43138</v>
          </cell>
          <cell r="Q1417" t="str">
            <v>AYUDA TEMPORAL A LAS FAMILIAS DE VARIAS LOCALIDADES, PARA RELOCALIZACIÓN DE HOGARES LOCALIZADOS EN ZONAS DE ALTO RIESGO NO MITIGABLE ID:2014-W166-019, LOCALIDAD:19 CIUDAD BOLÍVAR, UPZ:68 EL TESORO, SECTOR:WOUNAAN</v>
          </cell>
          <cell r="R1417">
            <v>7207200</v>
          </cell>
          <cell r="S1417">
            <v>0</v>
          </cell>
          <cell r="T1417">
            <v>0</v>
          </cell>
          <cell r="U1417">
            <v>7207200</v>
          </cell>
          <cell r="V1417">
            <v>4435200</v>
          </cell>
        </row>
        <row r="1418">
          <cell r="J1418">
            <v>780</v>
          </cell>
          <cell r="K1418">
            <v>43138</v>
          </cell>
          <cell r="L1418" t="str">
            <v>ENCARNACION  PEREZ SEGRERA</v>
          </cell>
          <cell r="M1418">
            <v>31</v>
          </cell>
          <cell r="N1418" t="str">
            <v>RESOLUCION</v>
          </cell>
          <cell r="O1418">
            <v>388</v>
          </cell>
          <cell r="P1418">
            <v>43138</v>
          </cell>
          <cell r="Q1418" t="str">
            <v>AYUDA TEMPORAL A LAS FAMILIAS DE VARIAS LOCALIDADES, PARA RELOCALIZACIÓN DE HOGARES LOCALIZADOS EN ZONAS DE ALTO RIESGO NO MITIGABLE ID:2012-19-13839, LOCALIDAD:19 CIUDAD BOLÍVAR, UPZ:67 LUCERO</v>
          </cell>
          <cell r="R1418">
            <v>4942301</v>
          </cell>
          <cell r="S1418">
            <v>0</v>
          </cell>
          <cell r="T1418">
            <v>0</v>
          </cell>
          <cell r="U1418">
            <v>4942301</v>
          </cell>
          <cell r="V1418">
            <v>3041416</v>
          </cell>
        </row>
        <row r="1419">
          <cell r="J1419">
            <v>781</v>
          </cell>
          <cell r="K1419">
            <v>43138</v>
          </cell>
          <cell r="L1419" t="str">
            <v>CLAUDIA MILENA RINCON RICO</v>
          </cell>
          <cell r="M1419">
            <v>31</v>
          </cell>
          <cell r="N1419" t="str">
            <v>RESOLUCION</v>
          </cell>
          <cell r="O1419">
            <v>389</v>
          </cell>
          <cell r="P1419">
            <v>43138</v>
          </cell>
          <cell r="Q1419" t="str">
            <v>AYUDA TEMPORAL A LAS FAMILIAS DE VARIAS LOCALIDADES, PARA RELOCALIZACIÓN DE HOGARES LOCALIZADOS EN ZONAS DE ALTO RIESGO NO MITIGABLE ID:2012-4-14206, LOCALIDAD:04 SAN CRISTÓBAL, UPZ:32 SAN BLAS</v>
          </cell>
          <cell r="R1419">
            <v>4523467</v>
          </cell>
          <cell r="S1419">
            <v>0</v>
          </cell>
          <cell r="T1419">
            <v>0</v>
          </cell>
          <cell r="U1419">
            <v>4523467</v>
          </cell>
          <cell r="V1419">
            <v>2783672</v>
          </cell>
        </row>
        <row r="1420">
          <cell r="J1420">
            <v>782</v>
          </cell>
          <cell r="K1420">
            <v>43138</v>
          </cell>
          <cell r="L1420" t="str">
            <v>LUIS ELIZARDO QUIROGA PEÑA</v>
          </cell>
          <cell r="M1420">
            <v>31</v>
          </cell>
          <cell r="N1420" t="str">
            <v>RESOLUCION</v>
          </cell>
          <cell r="O1420">
            <v>390</v>
          </cell>
          <cell r="P1420">
            <v>43138</v>
          </cell>
          <cell r="Q1420" t="str">
            <v>AYUDA TEMPORAL A LAS FAMILIAS DE VARIAS LOCALIDADES, PARA RELOCALIZACIÓN DE HOGARES LOCALIZADOS EN ZONAS DE ALTO RIESGO NO MITIGABLE ID:2012-18-14355, LOCALIDAD:18 RAFAEL URIBE URIBE, UPZ:55 DIANA TURBAY</v>
          </cell>
          <cell r="R1420">
            <v>2618154</v>
          </cell>
          <cell r="S1420">
            <v>374022</v>
          </cell>
          <cell r="T1420">
            <v>0</v>
          </cell>
          <cell r="U1420">
            <v>2244132</v>
          </cell>
          <cell r="V1420">
            <v>2244132</v>
          </cell>
        </row>
        <row r="1421">
          <cell r="J1421">
            <v>783</v>
          </cell>
          <cell r="K1421">
            <v>43138</v>
          </cell>
          <cell r="L1421" t="str">
            <v>ESTHER JULIA SALAZAR RAMOS</v>
          </cell>
          <cell r="M1421">
            <v>31</v>
          </cell>
          <cell r="N1421" t="str">
            <v>RESOLUCION</v>
          </cell>
          <cell r="O1421">
            <v>391</v>
          </cell>
          <cell r="P1421">
            <v>43138</v>
          </cell>
          <cell r="Q1421" t="str">
            <v>AYUDA TEMPORAL A LAS FAMILIAS DE VARIAS LOCALIDADES, PARA RELOCALIZACIÓN DE HOGARES LOCALIZADOS EN ZONAS DE ALTO RIESGO NO MITIGABLE ID:2011-19-12418, LOCALIDAD:19 CIUDAD BOLÍVAR, UPZ:68 EL TESORO</v>
          </cell>
          <cell r="R1421">
            <v>2919000</v>
          </cell>
          <cell r="S1421">
            <v>417000</v>
          </cell>
          <cell r="T1421">
            <v>0</v>
          </cell>
          <cell r="U1421">
            <v>2502000</v>
          </cell>
          <cell r="V1421">
            <v>2502000</v>
          </cell>
        </row>
        <row r="1422">
          <cell r="J1422">
            <v>784</v>
          </cell>
          <cell r="K1422">
            <v>43138</v>
          </cell>
          <cell r="L1422" t="str">
            <v>NELSON JAVIER REINA DURAN</v>
          </cell>
          <cell r="M1422">
            <v>31</v>
          </cell>
          <cell r="N1422" t="str">
            <v>RESOLUCION</v>
          </cell>
          <cell r="O1422">
            <v>392</v>
          </cell>
          <cell r="P1422">
            <v>43138</v>
          </cell>
          <cell r="Q1422" t="str">
            <v>AYUDA TEMPORAL A LAS FAMILIAS DE VARIAS LOCALIDADES, PARA RELOCALIZACIÓN DE HOGARES LOCALIZADOS EN ZONAS DE ALTO RIESGO NO MITIGABLE ID:2013000325, LOCALIDAD:19 CIUDAD BOLÍVAR, UPZ:67 LUCERO, SECTOR:PEÑA COLORADA</v>
          </cell>
          <cell r="R1422">
            <v>2846046</v>
          </cell>
          <cell r="S1422">
            <v>406578</v>
          </cell>
          <cell r="T1422">
            <v>0</v>
          </cell>
          <cell r="U1422">
            <v>2439468</v>
          </cell>
          <cell r="V1422">
            <v>2439468</v>
          </cell>
        </row>
        <row r="1423">
          <cell r="J1423">
            <v>785</v>
          </cell>
          <cell r="K1423">
            <v>43138</v>
          </cell>
          <cell r="L1423" t="str">
            <v>DILCIA  VALDERRAMA BALLEN</v>
          </cell>
          <cell r="M1423">
            <v>31</v>
          </cell>
          <cell r="N1423" t="str">
            <v>RESOLUCION</v>
          </cell>
          <cell r="O1423">
            <v>393</v>
          </cell>
          <cell r="P1423">
            <v>43138</v>
          </cell>
          <cell r="Q1423" t="str">
            <v>AYUDA TEMPORAL A LAS FAMILIAS DE VARIAS LOCALIDADES, PARA RELOCALIZACIÓN DE HOGARES LOCALIZADOS EN ZONAS DE ALTO RIESGO NO MITIGABLE ID:2007-19-9544, LOCALIDAD:19 CIUDAD BOLÍVAR, UPZ:69 ISMAEL PERDOMO</v>
          </cell>
          <cell r="R1423">
            <v>2845920</v>
          </cell>
          <cell r="S1423">
            <v>406560</v>
          </cell>
          <cell r="T1423">
            <v>0</v>
          </cell>
          <cell r="U1423">
            <v>2439360</v>
          </cell>
          <cell r="V1423">
            <v>2439360</v>
          </cell>
        </row>
        <row r="1424">
          <cell r="J1424">
            <v>786</v>
          </cell>
          <cell r="K1424">
            <v>43138</v>
          </cell>
          <cell r="L1424" t="str">
            <v>SILVIA  GUZMAN PINEDA</v>
          </cell>
          <cell r="M1424">
            <v>31</v>
          </cell>
          <cell r="N1424" t="str">
            <v>RESOLUCION</v>
          </cell>
          <cell r="O1424">
            <v>394</v>
          </cell>
          <cell r="P1424">
            <v>43138</v>
          </cell>
          <cell r="Q1424" t="str">
            <v>AYUDA TEMPORAL A LAS FAMILIAS DE VARIAS LOCALIDADES, PARA RELOCALIZACIÓN DE HOGARES LOCALIZADOS EN ZONAS DE ALTO RIESGO NO MITIGABLE ID:2012-18-14354, LOCALIDAD:18 RAFAEL URIBE URIBE, UPZ:55 DIANA TURBAY</v>
          </cell>
          <cell r="R1424">
            <v>3094182</v>
          </cell>
          <cell r="S1424">
            <v>0</v>
          </cell>
          <cell r="T1424">
            <v>0</v>
          </cell>
          <cell r="U1424">
            <v>3094182</v>
          </cell>
          <cell r="V1424">
            <v>1768104</v>
          </cell>
        </row>
        <row r="1425">
          <cell r="J1425">
            <v>787</v>
          </cell>
          <cell r="K1425">
            <v>43138</v>
          </cell>
          <cell r="L1425" t="str">
            <v>OMAR EDUARDO AREVALO SALINAS</v>
          </cell>
          <cell r="M1425">
            <v>31</v>
          </cell>
          <cell r="N1425" t="str">
            <v>RESOLUCION</v>
          </cell>
          <cell r="O1425">
            <v>395</v>
          </cell>
          <cell r="P1425">
            <v>43138</v>
          </cell>
          <cell r="Q1425" t="str">
            <v>AYUDA TEMPORAL A LAS FAMILIAS DE VARIAS LOCALIDADES, PARA RELOCALIZACIÓN DE HOGARES LOCALIZADOS EN ZONAS DE ALTO RIESGO NO MITIGABLE ID:2012-4-14200, LOCALIDAD:04 SAN CRISTÓBAL, UPZ:32 SAN BLAS</v>
          </cell>
          <cell r="R1425">
            <v>3452517</v>
          </cell>
          <cell r="S1425">
            <v>0</v>
          </cell>
          <cell r="T1425">
            <v>0</v>
          </cell>
          <cell r="U1425">
            <v>3452517</v>
          </cell>
          <cell r="V1425">
            <v>3068904</v>
          </cell>
        </row>
        <row r="1426">
          <cell r="J1426">
            <v>788</v>
          </cell>
          <cell r="K1426">
            <v>43138</v>
          </cell>
          <cell r="L1426" t="str">
            <v>RAFAEL  AREVALO NIÑO</v>
          </cell>
          <cell r="M1426">
            <v>31</v>
          </cell>
          <cell r="N1426" t="str">
            <v>RESOLUCION</v>
          </cell>
          <cell r="O1426">
            <v>396</v>
          </cell>
          <cell r="P1426">
            <v>43138</v>
          </cell>
          <cell r="Q1426" t="str">
            <v>AYUDA TEMPORAL A LAS FAMILIAS DE VARIAS LOCALIDADES, PARA RELOCALIZACIÓN DE HOGARES LOCALIZADOS EN ZONAS DE ALTO RIESGO NO MITIGABLE ID:2011-4-13289, LOCALIDAD:04 SAN CRISTÓBAL, UPZ:32 SAN BLAS</v>
          </cell>
          <cell r="R1426">
            <v>4182858</v>
          </cell>
          <cell r="S1426">
            <v>0</v>
          </cell>
          <cell r="T1426">
            <v>0</v>
          </cell>
          <cell r="U1426">
            <v>4182858</v>
          </cell>
          <cell r="V1426">
            <v>3718096</v>
          </cell>
        </row>
        <row r="1427">
          <cell r="J1427">
            <v>789</v>
          </cell>
          <cell r="K1427">
            <v>43138</v>
          </cell>
          <cell r="L1427" t="str">
            <v>SANDRA PAOLA AREVALO SALINAS</v>
          </cell>
          <cell r="M1427">
            <v>31</v>
          </cell>
          <cell r="N1427" t="str">
            <v>RESOLUCION</v>
          </cell>
          <cell r="O1427">
            <v>397</v>
          </cell>
          <cell r="P1427">
            <v>43138</v>
          </cell>
          <cell r="Q1427" t="str">
            <v>AYUDA TEMPORAL A LAS FAMILIAS DE VARIAS LOCALIDADES, PARA RELOCALIZACIÓN DE HOGARES LOCALIZADOS EN ZONAS DE ALTO RIESGO NO MITIGABLE ID:2012-4-14207, LOCALIDAD:04 SAN CRISTÓBAL, UPZ:32 SAN BLAS</v>
          </cell>
          <cell r="R1427">
            <v>4488264</v>
          </cell>
          <cell r="S1427">
            <v>0</v>
          </cell>
          <cell r="T1427">
            <v>0</v>
          </cell>
          <cell r="U1427">
            <v>4488264</v>
          </cell>
          <cell r="V1427">
            <v>3989568</v>
          </cell>
        </row>
        <row r="1428">
          <cell r="J1428">
            <v>790</v>
          </cell>
          <cell r="K1428">
            <v>43138</v>
          </cell>
          <cell r="L1428" t="str">
            <v>BLANCA LIBIA VANEGAS MARTINEZ</v>
          </cell>
          <cell r="M1428">
            <v>31</v>
          </cell>
          <cell r="N1428" t="str">
            <v>RESOLUCION</v>
          </cell>
          <cell r="O1428">
            <v>398</v>
          </cell>
          <cell r="P1428">
            <v>43138</v>
          </cell>
          <cell r="Q1428" t="str">
            <v>AYUDA TEMPORAL A LAS FAMILIAS DE VARIAS LOCALIDADES, PARA RELOCALIZACIÓN DE HOGARES LOCALIZADOS EN ZONAS DE ALTO RIESGO NO MITIGABLE ID:2013000185, LOCALIDAD:04 SAN CRISTÓBAL, UPZ:51 LOS LIBERTADORES, SECTOR:QUEBRADA VEREJONES</v>
          </cell>
          <cell r="R1428">
            <v>4324320</v>
          </cell>
          <cell r="S1428">
            <v>0</v>
          </cell>
          <cell r="T1428">
            <v>0</v>
          </cell>
          <cell r="U1428">
            <v>4324320</v>
          </cell>
          <cell r="V1428">
            <v>3843840</v>
          </cell>
        </row>
        <row r="1429">
          <cell r="J1429">
            <v>791</v>
          </cell>
          <cell r="K1429">
            <v>43138</v>
          </cell>
          <cell r="L1429" t="str">
            <v>MARIA DEISSY CRUZ VARON</v>
          </cell>
          <cell r="M1429">
            <v>31</v>
          </cell>
          <cell r="N1429" t="str">
            <v>RESOLUCION</v>
          </cell>
          <cell r="O1429">
            <v>399</v>
          </cell>
          <cell r="P1429">
            <v>43138</v>
          </cell>
          <cell r="Q1429" t="str">
            <v>AYUDA TEMPORAL A LAS FAMILIAS DE VARIAS LOCALIDADES, PARA RELOCALIZACIÓN DE HOGARES LOCALIZADOS EN ZONAS DE ALTO RIESGO NO MITIGABLE ID:2014-OTR-00957, LOCALIDAD:19 CIUDAD BOLÍVAR, UPZ:67 LUCERO, SECTOR:TABOR ALTALOMA</v>
          </cell>
          <cell r="R1429">
            <v>3382995</v>
          </cell>
          <cell r="S1429">
            <v>483285</v>
          </cell>
          <cell r="T1429">
            <v>0</v>
          </cell>
          <cell r="U1429">
            <v>2899710</v>
          </cell>
          <cell r="V1429">
            <v>2899710</v>
          </cell>
        </row>
        <row r="1430">
          <cell r="J1430">
            <v>792</v>
          </cell>
          <cell r="K1430">
            <v>43138</v>
          </cell>
          <cell r="L1430" t="str">
            <v>JOSE JOAQUIN MONROY RODRIGUEZ</v>
          </cell>
          <cell r="M1430">
            <v>31</v>
          </cell>
          <cell r="N1430" t="str">
            <v>RESOLUCION</v>
          </cell>
          <cell r="O1430">
            <v>400</v>
          </cell>
          <cell r="P1430">
            <v>43138</v>
          </cell>
          <cell r="Q1430" t="str">
            <v>AYUDA TEMPORAL A LAS FAMILIAS DE VARIAS LOCALIDADES, PARA RELOCALIZACIÓN DE HOGARES LOCALIZADOS EN ZONAS DE ALTO RIESGO NO MITIGABLE ID:2013-4-14662, LOCALIDAD:04 SAN CRISTÓBAL, UPZ:32 SAN BLAS</v>
          </cell>
          <cell r="R1430">
            <v>3363507</v>
          </cell>
          <cell r="S1430">
            <v>480501</v>
          </cell>
          <cell r="T1430">
            <v>0</v>
          </cell>
          <cell r="U1430">
            <v>2883006</v>
          </cell>
          <cell r="V1430">
            <v>2883006</v>
          </cell>
        </row>
        <row r="1431">
          <cell r="J1431">
            <v>793</v>
          </cell>
          <cell r="K1431">
            <v>43138</v>
          </cell>
          <cell r="L1431" t="str">
            <v>DIOMEDES  PINEDA CERVANTES</v>
          </cell>
          <cell r="M1431">
            <v>31</v>
          </cell>
          <cell r="N1431" t="str">
            <v>RESOLUCION</v>
          </cell>
          <cell r="O1431">
            <v>343</v>
          </cell>
          <cell r="P1431">
            <v>42773</v>
          </cell>
          <cell r="Q1431" t="str">
            <v>AYUDA TEMPORAL A LAS FAMILIAS DE VARIAS LOCALIDADES, PARA RELOCALIZACIÓN DE HOGARES LOCALIZADOS EN ZONAS DE ALTO RIESGO NO MITIGABLE ID:2011-3-12896, LOCALIDAD:03 SANTA FE, UPZ:96 LOURDES</v>
          </cell>
          <cell r="R1431">
            <v>7065760</v>
          </cell>
          <cell r="S1431">
            <v>0</v>
          </cell>
          <cell r="T1431">
            <v>0</v>
          </cell>
          <cell r="U1431">
            <v>7065760</v>
          </cell>
          <cell r="V1431">
            <v>4348160</v>
          </cell>
        </row>
        <row r="1432">
          <cell r="J1432">
            <v>794</v>
          </cell>
          <cell r="K1432">
            <v>43138</v>
          </cell>
          <cell r="L1432" t="str">
            <v>DAIRO NILSON CAÑAS RINCON</v>
          </cell>
          <cell r="M1432">
            <v>31</v>
          </cell>
          <cell r="N1432" t="str">
            <v>RESOLUCION</v>
          </cell>
          <cell r="O1432">
            <v>344</v>
          </cell>
          <cell r="P1432">
            <v>43138</v>
          </cell>
          <cell r="Q1432" t="str">
            <v>AYUDA TEMPORAL A LAS FAMILIAS DE VARIAS LOCALIDADES, PARA RELOCALIZACIÓN DE HOGARES LOCALIZADOS EN ZONAS DE ALTO RIESGO NO MITIGABLE ID:2003-19-4535, LOCALIDAD:19 CIUDAD BOLÍVAR, UPZ:69 ISMAEL PERDOMO, SECTOR:ALTOS DE LA ESTANCIA</v>
          </cell>
          <cell r="R1432">
            <v>2706270</v>
          </cell>
          <cell r="S1432">
            <v>451045</v>
          </cell>
          <cell r="T1432">
            <v>0</v>
          </cell>
          <cell r="U1432">
            <v>2255225</v>
          </cell>
          <cell r="V1432">
            <v>2255225</v>
          </cell>
        </row>
        <row r="1433">
          <cell r="J1433">
            <v>795</v>
          </cell>
          <cell r="K1433">
            <v>43138</v>
          </cell>
          <cell r="L1433" t="str">
            <v>MARIA JASIBE ANGEL BERMUDEZ</v>
          </cell>
          <cell r="M1433">
            <v>31</v>
          </cell>
          <cell r="N1433" t="str">
            <v>RESOLUCION</v>
          </cell>
          <cell r="O1433">
            <v>345</v>
          </cell>
          <cell r="P1433">
            <v>43138</v>
          </cell>
          <cell r="Q1433" t="str">
            <v>AYUDA TEMPORAL A LAS FAMILIAS DE VARIAS LOCALIDADES, PARA RELOCALIZACIÓN DE HOGARES LOCALIZADOS EN ZONAS DE ALTO RIESGO NO MITIGABLE ID:2015-Q20-04127, LOCALIDAD:04 SAN CRISTÓBAL, UPZ:50 LA GLORIA, SECTOR:LA CHIGUAZA</v>
          </cell>
          <cell r="R1433">
            <v>4986969</v>
          </cell>
          <cell r="S1433">
            <v>0</v>
          </cell>
          <cell r="T1433">
            <v>0</v>
          </cell>
          <cell r="U1433">
            <v>4986969</v>
          </cell>
          <cell r="V1433">
            <v>3068904</v>
          </cell>
        </row>
        <row r="1434">
          <cell r="J1434">
            <v>796</v>
          </cell>
          <cell r="K1434">
            <v>43138</v>
          </cell>
          <cell r="L1434" t="str">
            <v>ANGEL ALBERTO JIMENEZ</v>
          </cell>
          <cell r="M1434">
            <v>31</v>
          </cell>
          <cell r="N1434" t="str">
            <v>RESOLUCION</v>
          </cell>
          <cell r="O1434">
            <v>346</v>
          </cell>
          <cell r="P1434">
            <v>43138</v>
          </cell>
          <cell r="Q1434" t="str">
            <v>AYUDA TEMPORAL A LAS FAMILIAS DE VARIAS LOCALIDADES, PARA RELOCALIZACIÓN DE HOGARES LOCALIZADOS EN ZONAS DE ALTO RIESGO NO MITIGABLE ID:2013-4-14631, LOCALIDAD:04 SAN CRISTÓBAL, UPZ:32 SAN BLAS</v>
          </cell>
          <cell r="R1434">
            <v>3363360</v>
          </cell>
          <cell r="S1434">
            <v>0</v>
          </cell>
          <cell r="T1434">
            <v>0</v>
          </cell>
          <cell r="U1434">
            <v>3363360</v>
          </cell>
          <cell r="V1434">
            <v>1441440</v>
          </cell>
        </row>
        <row r="1435">
          <cell r="J1435">
            <v>797</v>
          </cell>
          <cell r="K1435">
            <v>43138</v>
          </cell>
          <cell r="L1435" t="str">
            <v>ANGELA MILENA GOMEZ BRAVO</v>
          </cell>
          <cell r="M1435">
            <v>31</v>
          </cell>
          <cell r="N1435" t="str">
            <v>RESOLUCION</v>
          </cell>
          <cell r="O1435">
            <v>347</v>
          </cell>
          <cell r="P1435">
            <v>43138</v>
          </cell>
          <cell r="Q1435" t="str">
            <v>AYUDA TEMPORAL A LAS FAMILIAS DE VARIAS LOCALIDADES, PARA RELOCALIZACIÓN DE HOGARES LOCALIZADOS EN ZONAS DE ALTO RIESGO NO MITIGABLE ID:2016-08-14841, LOCALIDAD:08 KENNEDY, UPZ:82 PATIO BONITO, SECTOR:PALMITAS</v>
          </cell>
          <cell r="R1435">
            <v>6542913</v>
          </cell>
          <cell r="S1435">
            <v>0</v>
          </cell>
          <cell r="T1435">
            <v>0</v>
          </cell>
          <cell r="U1435">
            <v>6542913</v>
          </cell>
          <cell r="V1435">
            <v>2516505</v>
          </cell>
        </row>
        <row r="1436">
          <cell r="J1436">
            <v>798</v>
          </cell>
          <cell r="K1436">
            <v>43138</v>
          </cell>
          <cell r="L1436" t="str">
            <v>JOSE NIVER MERCAZA PIRAZA</v>
          </cell>
          <cell r="M1436">
            <v>31</v>
          </cell>
          <cell r="N1436" t="str">
            <v>RESOLUCION</v>
          </cell>
          <cell r="O1436">
            <v>348</v>
          </cell>
          <cell r="P1436">
            <v>43138</v>
          </cell>
          <cell r="Q1436" t="str">
            <v>AYUDA TEMPORAL A LAS FAMILIAS DE VARIAS LOCALIDADES, PARA RELOCALIZACIÓN DE HOGARES LOCALIZADOS EN ZONAS DE ALTO RIESGO NO MITIGABLE ID:2015-W166-429, LOCALIDAD:19 CIUDAD BOLÍVAR, UPZ:68 EL TESORO, SECTOR:WOUNAAN</v>
          </cell>
          <cell r="R1436">
            <v>7672262</v>
          </cell>
          <cell r="S1436">
            <v>0</v>
          </cell>
          <cell r="T1436">
            <v>0</v>
          </cell>
          <cell r="U1436">
            <v>7672262</v>
          </cell>
          <cell r="V1436">
            <v>4721392</v>
          </cell>
        </row>
        <row r="1437">
          <cell r="J1437">
            <v>799</v>
          </cell>
          <cell r="K1437">
            <v>43138</v>
          </cell>
          <cell r="L1437" t="str">
            <v>MISAEL  CASTRILLON JIMENEZ</v>
          </cell>
          <cell r="M1437">
            <v>31</v>
          </cell>
          <cell r="N1437" t="str">
            <v>RESOLUCION</v>
          </cell>
          <cell r="O1437">
            <v>349</v>
          </cell>
          <cell r="P1437">
            <v>43138</v>
          </cell>
          <cell r="Q1437" t="str">
            <v>AYUDA TEMPORAL A LAS FAMILIAS DE VARIAS LOCALIDADES, PARA RELOCALIZACIÓN DE HOGARES LOCALIZADOS EN ZONAS DE ALTO RIESGO NO MITIGABLE ID:2013-Q21-00600, LOCALIDAD:19 CIUDAD BOLÍVAR, UPZ:67 LUCERO, SECTOR:BRAZO DERECHO DE LIMAS</v>
          </cell>
          <cell r="R1437">
            <v>5274672</v>
          </cell>
          <cell r="S1437">
            <v>0</v>
          </cell>
          <cell r="T1437">
            <v>0</v>
          </cell>
          <cell r="U1437">
            <v>5274672</v>
          </cell>
          <cell r="V1437">
            <v>3245952</v>
          </cell>
        </row>
        <row r="1438">
          <cell r="J1438">
            <v>800</v>
          </cell>
          <cell r="K1438">
            <v>43138</v>
          </cell>
          <cell r="L1438" t="str">
            <v>AGUSTIN ENRIQUE GONZALEZ RAMOS</v>
          </cell>
          <cell r="M1438">
            <v>31</v>
          </cell>
          <cell r="N1438" t="str">
            <v>RESOLUCION</v>
          </cell>
          <cell r="O1438">
            <v>350</v>
          </cell>
          <cell r="P1438">
            <v>43138</v>
          </cell>
          <cell r="Q1438" t="str">
            <v>AYUDA TEMPORAL A LAS FAMILIAS DE VARIAS LOCALIDADES, PARA RELOCALIZACIÓN DE HOGARES LOCALIZADOS EN ZONAS DE ALTO RIESGO NO MITIGABLE ID:2010-19-11689, LOCALIDAD:19 CIUDAD BOLÍVAR, UPZ:69 ISMAEL PERDOMO, SECTOR:OLA INVERNAL 2010 FOPAE</v>
          </cell>
          <cell r="R1438">
            <v>2582006</v>
          </cell>
          <cell r="S1438">
            <v>368858</v>
          </cell>
          <cell r="T1438">
            <v>0</v>
          </cell>
          <cell r="U1438">
            <v>2213148</v>
          </cell>
          <cell r="V1438">
            <v>2213148</v>
          </cell>
        </row>
        <row r="1439">
          <cell r="J1439">
            <v>801</v>
          </cell>
          <cell r="K1439">
            <v>43138</v>
          </cell>
          <cell r="L1439" t="str">
            <v>ESPERANZA  AGUILLON NIÑO</v>
          </cell>
          <cell r="M1439">
            <v>31</v>
          </cell>
          <cell r="N1439" t="str">
            <v>RESOLUCION</v>
          </cell>
          <cell r="O1439">
            <v>351</v>
          </cell>
          <cell r="P1439">
            <v>43138</v>
          </cell>
          <cell r="Q1439" t="str">
            <v>AYUDA TEMPORAL A LAS FAMILIAS DE VARIAS LOCALIDADES, PARA RELOCALIZACIÓN DE HOGARES LOCALIZADOS EN ZONAS DE ALTO RIESGO NO MITIGABLE ID:2004-18-5460, LOCALIDAD:18 RAFAEL URIBE URIBE, UPZ:54 MARRUECOS</v>
          </cell>
          <cell r="R1439">
            <v>4862286</v>
          </cell>
          <cell r="S1439">
            <v>0</v>
          </cell>
          <cell r="T1439">
            <v>0</v>
          </cell>
          <cell r="U1439">
            <v>4862286</v>
          </cell>
          <cell r="V1439">
            <v>3536208</v>
          </cell>
        </row>
        <row r="1440">
          <cell r="J1440">
            <v>802</v>
          </cell>
          <cell r="K1440">
            <v>43138</v>
          </cell>
          <cell r="L1440" t="str">
            <v>JUAN CARLOS RODRIGUEZ RIOS</v>
          </cell>
          <cell r="M1440">
            <v>31</v>
          </cell>
          <cell r="N1440" t="str">
            <v>RESOLUCION</v>
          </cell>
          <cell r="O1440">
            <v>352</v>
          </cell>
          <cell r="P1440">
            <v>43138</v>
          </cell>
          <cell r="Q1440" t="str">
            <v>AYUDA TEMPORAL A LAS FAMILIAS DE VARIAS LOCALIDADES, PARA RELOCALIZACIÓN DE HOGARES LOCALIZADOS EN ZONAS DE ALTO RIESGO NO MITIGABLE ID:2014-OTR-00858, LOCALIDAD:04 SAN CRISTÓBAL, UPZ:32 SAN BLAS</v>
          </cell>
          <cell r="R1440">
            <v>2723490</v>
          </cell>
          <cell r="S1440">
            <v>389070</v>
          </cell>
          <cell r="T1440">
            <v>0</v>
          </cell>
          <cell r="U1440">
            <v>2334420</v>
          </cell>
          <cell r="V1440">
            <v>2334420</v>
          </cell>
        </row>
        <row r="1441">
          <cell r="J1441">
            <v>803</v>
          </cell>
          <cell r="K1441">
            <v>43138</v>
          </cell>
          <cell r="L1441" t="str">
            <v>ABELARDO  RODRIGUEZ RODRIGUEZ</v>
          </cell>
          <cell r="M1441">
            <v>31</v>
          </cell>
          <cell r="N1441" t="str">
            <v>RESOLUCION</v>
          </cell>
          <cell r="O1441">
            <v>353</v>
          </cell>
          <cell r="P1441">
            <v>43138</v>
          </cell>
          <cell r="Q1441" t="str">
            <v>AYUDA TEMPORAL A LAS FAMILIAS DE VARIAS LOCALIDADES, PARA RELOCALIZACIÓN DE HOGARES LOCALIZADOS EN ZONAS DE ALTO RIESGO NO MITIGABLE ID:2015-D227-00039, LOCALIDAD:04 SAN CRISTÓBAL, UPZ:51 LOS LIBERTADORES, SECTOR:SANTA TERESITA</v>
          </cell>
          <cell r="R1441">
            <v>4986969</v>
          </cell>
          <cell r="S1441">
            <v>0</v>
          </cell>
          <cell r="T1441">
            <v>0</v>
          </cell>
          <cell r="U1441">
            <v>4986969</v>
          </cell>
          <cell r="V1441">
            <v>1918065</v>
          </cell>
        </row>
        <row r="1442">
          <cell r="J1442">
            <v>804</v>
          </cell>
          <cell r="K1442">
            <v>43138</v>
          </cell>
          <cell r="L1442" t="str">
            <v>WILLIAM JAVIER POSADA VIVAS</v>
          </cell>
          <cell r="M1442">
            <v>31</v>
          </cell>
          <cell r="N1442" t="str">
            <v>RESOLUCION</v>
          </cell>
          <cell r="O1442">
            <v>354</v>
          </cell>
          <cell r="P1442">
            <v>43138</v>
          </cell>
          <cell r="Q1442" t="str">
            <v>AYUDA TEMPORAL A LAS FAMILIAS DE VARIAS LOCALIDADES, PARA RELOCALIZACIÓN DE HOGARES LOCALIZADOS EN ZONAS DE ALTO RIESGO NO MITIGABLE ID:1999-4-2782, LOCALIDAD:04 SAN CRISTÓBAL, UPZ:32 SAN BLAS</v>
          </cell>
          <cell r="R1442">
            <v>4590270</v>
          </cell>
          <cell r="S1442">
            <v>0</v>
          </cell>
          <cell r="T1442">
            <v>0</v>
          </cell>
          <cell r="U1442">
            <v>4590270</v>
          </cell>
          <cell r="V1442">
            <v>4080240</v>
          </cell>
        </row>
        <row r="1443">
          <cell r="J1443">
            <v>805</v>
          </cell>
          <cell r="K1443">
            <v>43138</v>
          </cell>
          <cell r="L1443" t="str">
            <v>VICTOR HUGO MALPICA FUENTES</v>
          </cell>
          <cell r="M1443">
            <v>31</v>
          </cell>
          <cell r="N1443" t="str">
            <v>RESOLUCION</v>
          </cell>
          <cell r="O1443">
            <v>355</v>
          </cell>
          <cell r="P1443">
            <v>43138</v>
          </cell>
          <cell r="Q1443" t="str">
            <v>AYUDA TEMPORAL A LAS FAMILIAS DE VARIAS LOCALIDADES, PARA RELOCALIZACIÓN DE HOGARES LOCALIZADOS EN ZONAS DE ALTO RIESGO NO MITIGABLE ID:2013-Q10-00649, LOCALIDAD:04 SAN CRISTÓBAL, UPZ:51 LOS LIBERTADORES, SECTOR:QUEBRADA VEREJONES</v>
          </cell>
          <cell r="R1443">
            <v>5466487</v>
          </cell>
          <cell r="S1443">
            <v>0</v>
          </cell>
          <cell r="T1443">
            <v>0</v>
          </cell>
          <cell r="U1443">
            <v>5466487</v>
          </cell>
          <cell r="V1443">
            <v>3363992</v>
          </cell>
        </row>
        <row r="1444">
          <cell r="J1444">
            <v>806</v>
          </cell>
          <cell r="K1444">
            <v>43138</v>
          </cell>
          <cell r="L1444" t="str">
            <v>MARIA ANDREA GARCIA RUIZ</v>
          </cell>
          <cell r="M1444">
            <v>31</v>
          </cell>
          <cell r="N1444" t="str">
            <v>RESOLUCION</v>
          </cell>
          <cell r="O1444">
            <v>356</v>
          </cell>
          <cell r="P1444">
            <v>43138</v>
          </cell>
          <cell r="Q1444" t="str">
            <v>AYUDA TEMPORAL A LAS FAMILIAS DE VARIAS LOCALIDADES, PARA RELOCALIZACIÓN DE HOGARES LOCALIZADOS EN ZONAS DE ALTO RIESGO NO MITIGABLE ID:2016-08-14778, LOCALIDAD:08 KENNEDY, UPZ:82 PATIO BONITO, SECTOR:PALMITAS</v>
          </cell>
          <cell r="R1444">
            <v>4136720</v>
          </cell>
          <cell r="S1444">
            <v>0</v>
          </cell>
          <cell r="T1444">
            <v>0</v>
          </cell>
          <cell r="U1444">
            <v>4136720</v>
          </cell>
          <cell r="V1444">
            <v>3309376</v>
          </cell>
        </row>
        <row r="1445">
          <cell r="J1445">
            <v>807</v>
          </cell>
          <cell r="K1445">
            <v>43138</v>
          </cell>
          <cell r="L1445" t="str">
            <v>WILSON  MEDINA SANCHEZ</v>
          </cell>
          <cell r="M1445">
            <v>31</v>
          </cell>
          <cell r="N1445" t="str">
            <v>RESOLUCION</v>
          </cell>
          <cell r="O1445">
            <v>357</v>
          </cell>
          <cell r="P1445">
            <v>43138</v>
          </cell>
          <cell r="Q1445" t="str">
            <v>AYUDA TEMPORAL A LAS FAMILIAS DE VARIAS LOCALIDADES, PARA RELOCALIZACIÓN DE HOGARES LOCALIZADOS EN ZONAS DE ALTO RIESGO NO MITIGABLE ID:2015-4-14739, LOCALIDAD:04 SAN CRISTÓBAL, UPZ:32 SAN BLAS</v>
          </cell>
          <cell r="R1445">
            <v>6533774</v>
          </cell>
          <cell r="S1445">
            <v>0</v>
          </cell>
          <cell r="T1445">
            <v>0</v>
          </cell>
          <cell r="U1445">
            <v>6533774</v>
          </cell>
          <cell r="V1445">
            <v>4020784</v>
          </cell>
        </row>
        <row r="1446">
          <cell r="J1446">
            <v>808</v>
          </cell>
          <cell r="K1446">
            <v>43138</v>
          </cell>
          <cell r="L1446" t="str">
            <v>JESICA ALEJANDRA CERON ESPINOSA</v>
          </cell>
          <cell r="M1446">
            <v>31</v>
          </cell>
          <cell r="N1446" t="str">
            <v>RESOLUCION</v>
          </cell>
          <cell r="O1446">
            <v>598</v>
          </cell>
          <cell r="P1446">
            <v>43138</v>
          </cell>
          <cell r="Q1446" t="str">
            <v>Asignacion del instrumento financiero a las familias ocupantes del predio que hayan superado la fase de verificacion dentro  del marco del Decreto 457 de 2017. LOCALIDAD: KENNEDY; BARRIO: VEREDITAS; ID: 2017-8-383696</v>
          </cell>
          <cell r="R1446">
            <v>54686940</v>
          </cell>
          <cell r="S1446">
            <v>0</v>
          </cell>
          <cell r="T1446">
            <v>0</v>
          </cell>
          <cell r="U1446">
            <v>54686940</v>
          </cell>
          <cell r="V1446">
            <v>54686940</v>
          </cell>
        </row>
        <row r="1447">
          <cell r="J1447">
            <v>809</v>
          </cell>
          <cell r="K1447">
            <v>43138</v>
          </cell>
          <cell r="L1447" t="str">
            <v>BERTHA LILIANA VASQUEZ CASTRILLON</v>
          </cell>
          <cell r="M1447">
            <v>31</v>
          </cell>
          <cell r="N1447" t="str">
            <v>RESOLUCION</v>
          </cell>
          <cell r="O1447">
            <v>597</v>
          </cell>
          <cell r="P1447">
            <v>43138</v>
          </cell>
          <cell r="Q1447" t="str">
            <v>Asignacion del instrumento financiero a las familias ocupantes del predio que hayan superado la fase de verificacion dentro  del marco del Decreto 457 de 2017. LOCALIDAD: KENNEDY; BARRIO: VEREDITAS; ID: 2017-8-383665</v>
          </cell>
          <cell r="R1447">
            <v>54686940</v>
          </cell>
          <cell r="S1447">
            <v>0</v>
          </cell>
          <cell r="T1447">
            <v>0</v>
          </cell>
          <cell r="U1447">
            <v>54686940</v>
          </cell>
          <cell r="V1447">
            <v>54686940</v>
          </cell>
        </row>
        <row r="1448">
          <cell r="J1448">
            <v>810</v>
          </cell>
          <cell r="K1448">
            <v>43138</v>
          </cell>
          <cell r="L1448" t="str">
            <v>VICTOR MANUEL TORRES AMAYA</v>
          </cell>
          <cell r="M1448">
            <v>31</v>
          </cell>
          <cell r="N1448" t="str">
            <v>RESOLUCION</v>
          </cell>
          <cell r="O1448">
            <v>480</v>
          </cell>
          <cell r="P1448">
            <v>43138</v>
          </cell>
          <cell r="Q1448" t="str">
            <v>AYUDA TEMPORAL A LAS FAMILIAS DE VARIAS LOCALIDADES, PARA RELOCALIZACIÓN DE HOGARES LOCALIZADOS EN ZONAS DE ALTO RIESGO NO MITIGABLE ID:2011-19-12561, LOCALIDAD:19 CIUDAD BOLÍVAR, UPZ:69 ISMAEL PERDOMO, SECTOR:OLA INVERNAL 2010 FOPAE</v>
          </cell>
          <cell r="R1448">
            <v>3490872</v>
          </cell>
          <cell r="S1448">
            <v>498696</v>
          </cell>
          <cell r="T1448">
            <v>0</v>
          </cell>
          <cell r="U1448">
            <v>2992176</v>
          </cell>
          <cell r="V1448">
            <v>2992176</v>
          </cell>
        </row>
        <row r="1449">
          <cell r="J1449">
            <v>811</v>
          </cell>
          <cell r="K1449">
            <v>43138</v>
          </cell>
          <cell r="L1449" t="str">
            <v>MONICA LILIANA RODRIGUEZ VELASQUEZ</v>
          </cell>
          <cell r="M1449">
            <v>31</v>
          </cell>
          <cell r="N1449" t="str">
            <v>RESOLUCION</v>
          </cell>
          <cell r="O1449">
            <v>481</v>
          </cell>
          <cell r="P1449">
            <v>43138</v>
          </cell>
          <cell r="Q1449" t="str">
            <v>AYUDA TEMPORAL A LAS FAMILIAS DE VARIAS LOCALIDADES, PARA RELOCALIZACIÓN DE HOGARES LOCALIZADOS EN ZONAS DE ALTO RIESGO NO MITIGABLE ID:2015-OTR-01372, LOCALIDAD:11 SUBA, UPZ:71 TIBABUYES, SECTOR:GAVILANES</v>
          </cell>
          <cell r="R1449">
            <v>3516527</v>
          </cell>
          <cell r="S1449">
            <v>0</v>
          </cell>
          <cell r="T1449">
            <v>0</v>
          </cell>
          <cell r="U1449">
            <v>3516527</v>
          </cell>
          <cell r="V1449">
            <v>2511805</v>
          </cell>
        </row>
        <row r="1450">
          <cell r="J1450">
            <v>812</v>
          </cell>
          <cell r="K1450">
            <v>43138</v>
          </cell>
          <cell r="L1450" t="str">
            <v>FLOR MARINA SOSA</v>
          </cell>
          <cell r="M1450">
            <v>31</v>
          </cell>
          <cell r="N1450" t="str">
            <v>RESOLUCION</v>
          </cell>
          <cell r="O1450">
            <v>482</v>
          </cell>
          <cell r="P1450">
            <v>43138</v>
          </cell>
          <cell r="Q1450" t="str">
            <v>AYUDA TEMPORAL A LAS FAMILIAS DE VARIAS LOCALIDADES, PARA RELOCALIZACIÓN DE HOGARES LOCALIZADOS EN ZONAS DE ALTO RIESGO NO MITIGABLE ID:2015-D227-00026, LOCALIDAD:04 SAN CRISTÓBAL, UPZ:51 LOS LIBERTADORES, SECTOR:SANTA TERESITA</v>
          </cell>
          <cell r="R1450">
            <v>5780541</v>
          </cell>
          <cell r="S1450">
            <v>0</v>
          </cell>
          <cell r="T1450">
            <v>0</v>
          </cell>
          <cell r="U1450">
            <v>5780541</v>
          </cell>
          <cell r="V1450">
            <v>3557256</v>
          </cell>
        </row>
        <row r="1451">
          <cell r="J1451">
            <v>813</v>
          </cell>
          <cell r="K1451">
            <v>43138</v>
          </cell>
          <cell r="L1451" t="str">
            <v>RUBIELA  SANCHEZ</v>
          </cell>
          <cell r="M1451">
            <v>31</v>
          </cell>
          <cell r="N1451" t="str">
            <v>RESOLUCION</v>
          </cell>
          <cell r="O1451">
            <v>483</v>
          </cell>
          <cell r="P1451">
            <v>43138</v>
          </cell>
          <cell r="Q1451" t="str">
            <v>AYUDA TEMPORAL A LAS FAMILIAS DE VARIAS LOCALIDADES, PARA RELOCALIZACIÓN DE HOGARES LOCALIZADOS EN ZONAS DE ALTO RIESGO NO MITIGABLE ID:2011-4-12706, LOCALIDAD:04 SAN CRISTÓBAL, UPZ:32 SAN BLAS</v>
          </cell>
          <cell r="R1451">
            <v>3022327</v>
          </cell>
          <cell r="S1451">
            <v>431761</v>
          </cell>
          <cell r="T1451">
            <v>0</v>
          </cell>
          <cell r="U1451">
            <v>2590566</v>
          </cell>
          <cell r="V1451">
            <v>2590566</v>
          </cell>
        </row>
        <row r="1452">
          <cell r="J1452">
            <v>814</v>
          </cell>
          <cell r="K1452">
            <v>43138</v>
          </cell>
          <cell r="L1452" t="str">
            <v>ANGIE LORENA CAGUA YATE</v>
          </cell>
          <cell r="M1452">
            <v>31</v>
          </cell>
          <cell r="N1452" t="str">
            <v>RESOLUCION</v>
          </cell>
          <cell r="O1452">
            <v>484</v>
          </cell>
          <cell r="P1452">
            <v>43138</v>
          </cell>
          <cell r="Q1452" t="str">
            <v>AYUDA TEMPORAL A LAS FAMILIAS DE VARIAS LOCALIDADES, PARA RELOCALIZACIÓN DE HOGARES LOCALIZADOS EN ZONAS DE ALTO RIESGO NO MITIGABLE ID:2016-08-14774, LOCALIDAD:08 KENNEDY, UPZ:82 PATIO BONITO, SECTOR:PALMITAS</v>
          </cell>
          <cell r="R1452">
            <v>5825885</v>
          </cell>
          <cell r="S1452">
            <v>0</v>
          </cell>
          <cell r="T1452">
            <v>0</v>
          </cell>
          <cell r="U1452">
            <v>5825885</v>
          </cell>
          <cell r="V1452">
            <v>3585160</v>
          </cell>
        </row>
        <row r="1453">
          <cell r="J1453">
            <v>815</v>
          </cell>
          <cell r="K1453">
            <v>43138</v>
          </cell>
          <cell r="L1453" t="str">
            <v>CELMIRA  GUARIN</v>
          </cell>
          <cell r="M1453">
            <v>31</v>
          </cell>
          <cell r="N1453" t="str">
            <v>RESOLUCION</v>
          </cell>
          <cell r="O1453">
            <v>485</v>
          </cell>
          <cell r="P1453">
            <v>43138</v>
          </cell>
          <cell r="Q1453" t="str">
            <v>AYUDA TEMPORAL A LAS FAMILIAS DE VARIAS LOCALIDADES, PARA RELOCALIZACIÓN DE HOGARES LOCALIZADOS EN ZONAS DE ALTO RIESGO NO MITIGABLE ID:2013000335, LOCALIDAD:19 CIUDAD BOLÍVAR, UPZ:67 LUCERO, SECTOR:PEÑA COLORADA</v>
          </cell>
          <cell r="R1453">
            <v>3038112</v>
          </cell>
          <cell r="S1453">
            <v>0</v>
          </cell>
          <cell r="T1453">
            <v>0</v>
          </cell>
          <cell r="U1453">
            <v>3038112</v>
          </cell>
          <cell r="V1453">
            <v>1736064</v>
          </cell>
        </row>
        <row r="1454">
          <cell r="J1454">
            <v>816</v>
          </cell>
          <cell r="K1454">
            <v>43138</v>
          </cell>
          <cell r="L1454" t="str">
            <v>DOLORES  MUNAR DE LOMBANA</v>
          </cell>
          <cell r="M1454">
            <v>31</v>
          </cell>
          <cell r="N1454" t="str">
            <v>RESOLUCION</v>
          </cell>
          <cell r="O1454">
            <v>358</v>
          </cell>
          <cell r="P1454">
            <v>43138</v>
          </cell>
          <cell r="Q1454" t="str">
            <v>AYUDA TEMPORAL A LAS FAMILIAS DE VARIAS LOCALIDADES, PARA RELOCALIZACIÓN DE HOGARES LOCALIZADOS EN ZONAS DE ALTO RIESGO NO MITIGABLE ID:2006-1-9146, LOCALIDAD:01 USAQUÉN, UPZ:11 SAN CRISTÓBAL NORTE</v>
          </cell>
          <cell r="R1454">
            <v>2606135</v>
          </cell>
          <cell r="S1454">
            <v>372305</v>
          </cell>
          <cell r="T1454">
            <v>0</v>
          </cell>
          <cell r="U1454">
            <v>2233830</v>
          </cell>
          <cell r="V1454">
            <v>2233830</v>
          </cell>
        </row>
        <row r="1455">
          <cell r="J1455">
            <v>817</v>
          </cell>
          <cell r="K1455">
            <v>43138</v>
          </cell>
          <cell r="L1455" t="str">
            <v>RAFAEL MAXIMILIANO GUEVARA SUAREZ</v>
          </cell>
          <cell r="M1455">
            <v>31</v>
          </cell>
          <cell r="N1455" t="str">
            <v>RESOLUCION</v>
          </cell>
          <cell r="O1455">
            <v>359</v>
          </cell>
          <cell r="P1455">
            <v>43138</v>
          </cell>
          <cell r="Q1455" t="str">
            <v>AYUDA TEMPORAL A LAS FAMILIAS DE VARIAS LOCALIDADES, PARA RELOCALIZACIÓN DE HOGARES LOCALIZADOS EN ZONAS DE ALTO RIESGO NO MITIGABLE ID:2013000576, LOCALIDAD:04 SAN CRISTÓBAL, UPZ:51 LOS LIBERTADORES, SECTOR:QUEBRADA VEREJONES</v>
          </cell>
          <cell r="R1455">
            <v>3983670</v>
          </cell>
          <cell r="S1455">
            <v>0</v>
          </cell>
          <cell r="T1455">
            <v>0</v>
          </cell>
          <cell r="U1455">
            <v>3983670</v>
          </cell>
          <cell r="V1455">
            <v>3186936</v>
          </cell>
        </row>
        <row r="1456">
          <cell r="J1456">
            <v>818</v>
          </cell>
          <cell r="K1456">
            <v>43138</v>
          </cell>
          <cell r="L1456" t="str">
            <v>THUYLON  CHIRINOS PRIETO</v>
          </cell>
          <cell r="M1456">
            <v>31</v>
          </cell>
          <cell r="N1456" t="str">
            <v>RESOLUCION</v>
          </cell>
          <cell r="O1456">
            <v>360</v>
          </cell>
          <cell r="P1456">
            <v>43138</v>
          </cell>
          <cell r="Q1456" t="str">
            <v>AYUDA TEMPORAL A LAS FAMILIAS DE VARIAS LOCALIDADES, PARA RELOCALIZACIÓN DE HOGARES LOCALIZADOS EN ZONAS DE ALTO RIESGO NO MITIGABLE ID:2010-4-11795, LOCALIDAD:04 SAN CRISTÓBAL, UPZ:34 20 DE JULIO, SECTOR:OLA INVERNAL 2010 FOPAE</v>
          </cell>
          <cell r="R1456">
            <v>5612893</v>
          </cell>
          <cell r="S1456">
            <v>0</v>
          </cell>
          <cell r="T1456">
            <v>0</v>
          </cell>
          <cell r="U1456">
            <v>5612893</v>
          </cell>
          <cell r="V1456">
            <v>3022327</v>
          </cell>
        </row>
        <row r="1457">
          <cell r="J1457">
            <v>819</v>
          </cell>
          <cell r="K1457">
            <v>43138</v>
          </cell>
          <cell r="L1457" t="str">
            <v>MABEL ALICIA ARANDIA PULIDO</v>
          </cell>
          <cell r="M1457">
            <v>31</v>
          </cell>
          <cell r="N1457" t="str">
            <v>RESOLUCION</v>
          </cell>
          <cell r="O1457">
            <v>361</v>
          </cell>
          <cell r="P1457">
            <v>43138</v>
          </cell>
          <cell r="Q1457" t="str">
            <v>AYUDA TEMPORAL A LAS FAMILIAS DE VARIAS LOCALIDADES, PARA RELOCALIZACIÓN DE HOGARES LOCALIZADOS EN ZONAS DE ALTO RIESGO NO MITIGABLE ID:2014-OTR-01134, LOCALIDAD:11 SUBA, UPZ:71 TIBABUYES, SECTOR:GAVILANES</v>
          </cell>
          <cell r="R1457">
            <v>6530693</v>
          </cell>
          <cell r="S1457">
            <v>0</v>
          </cell>
          <cell r="T1457">
            <v>0</v>
          </cell>
          <cell r="U1457">
            <v>6530693</v>
          </cell>
          <cell r="V1457">
            <v>4018888</v>
          </cell>
        </row>
        <row r="1458">
          <cell r="J1458">
            <v>820</v>
          </cell>
          <cell r="K1458">
            <v>43138</v>
          </cell>
          <cell r="L1458" t="str">
            <v>FANNY MARCELA MORENO ACHURI</v>
          </cell>
          <cell r="M1458">
            <v>31</v>
          </cell>
          <cell r="N1458" t="str">
            <v>RESOLUCION</v>
          </cell>
          <cell r="O1458">
            <v>362</v>
          </cell>
          <cell r="P1458">
            <v>43138</v>
          </cell>
          <cell r="Q1458" t="str">
            <v>AYUDA TEMPORAL A LAS FAMILIAS DE VARIAS LOCALIDADES, PARA RELOCALIZACIÓN DE HOGARES LOCALIZADOS EN ZONAS DE ALTO RIESGO NO MITIGABLE ID:2012-18-14326, LOCALIDAD:18 RAFAEL URIBE URIBE, UPZ:55 DIANA TURBAY</v>
          </cell>
          <cell r="R1458">
            <v>2992176</v>
          </cell>
          <cell r="S1458">
            <v>0</v>
          </cell>
          <cell r="T1458">
            <v>0</v>
          </cell>
          <cell r="U1458">
            <v>2992176</v>
          </cell>
          <cell r="V1458">
            <v>2618154</v>
          </cell>
        </row>
        <row r="1459">
          <cell r="J1459">
            <v>821</v>
          </cell>
          <cell r="K1459">
            <v>43138</v>
          </cell>
          <cell r="L1459" t="str">
            <v>NORALBA  OYOLA BOTACHE</v>
          </cell>
          <cell r="M1459">
            <v>31</v>
          </cell>
          <cell r="N1459" t="str">
            <v>RESOLUCION</v>
          </cell>
          <cell r="O1459">
            <v>486</v>
          </cell>
          <cell r="P1459">
            <v>43138</v>
          </cell>
          <cell r="Q1459" t="str">
            <v>AYUDA TEMPORAL A LAS FAMILIAS DE VARIAS LOCALIDADES, PARA RELOCALIZACIÓN DE HOGARES LOCALIZADOS EN ZONAS DE ALTO RIESGO NO MITIGABLE ID:2013000169, LOCALIDAD:19 CIUDAD BOLÍVAR, UPZ:67 LUCERO, SECTOR:QUEBRADA TROMPETA</v>
          </cell>
          <cell r="R1459">
            <v>3022327</v>
          </cell>
          <cell r="S1459">
            <v>431761</v>
          </cell>
          <cell r="T1459">
            <v>0</v>
          </cell>
          <cell r="U1459">
            <v>2590566</v>
          </cell>
          <cell r="V1459">
            <v>2590566</v>
          </cell>
        </row>
        <row r="1460">
          <cell r="J1460">
            <v>822</v>
          </cell>
          <cell r="K1460">
            <v>43138</v>
          </cell>
          <cell r="L1460" t="str">
            <v>MARIBEL  ACOSTA TRIGOS</v>
          </cell>
          <cell r="M1460">
            <v>31</v>
          </cell>
          <cell r="N1460" t="str">
            <v>RESOLUCION</v>
          </cell>
          <cell r="O1460">
            <v>363</v>
          </cell>
          <cell r="P1460">
            <v>43138</v>
          </cell>
          <cell r="Q1460" t="str">
            <v>AYUDA TEMPORAL A LAS FAMILIAS DE VARIAS LOCALIDADES, PARA RELOCALIZACIÓN DE HOGARES LOCALIZADOS EN ZONAS DE ALTO RIESGO NO MITIGABLE ID:2012-19-14129, LOCALIDAD:19 CIUDAD BOLÍVAR, UPZ:68 EL TESORO, SECTOR:QUEBRADA TROMPETA</v>
          </cell>
          <cell r="R1460">
            <v>6630390</v>
          </cell>
          <cell r="S1460">
            <v>4080240</v>
          </cell>
          <cell r="T1460">
            <v>0</v>
          </cell>
          <cell r="U1460">
            <v>2550150</v>
          </cell>
          <cell r="V1460">
            <v>2550150</v>
          </cell>
        </row>
        <row r="1461">
          <cell r="J1461">
            <v>823</v>
          </cell>
          <cell r="K1461">
            <v>43138</v>
          </cell>
          <cell r="L1461" t="str">
            <v>RUBIELA  RUIZ DE MARQUEZ</v>
          </cell>
          <cell r="M1461">
            <v>31</v>
          </cell>
          <cell r="N1461" t="str">
            <v>RESOLUCION</v>
          </cell>
          <cell r="O1461">
            <v>487</v>
          </cell>
          <cell r="P1461">
            <v>43138</v>
          </cell>
          <cell r="Q1461" t="str">
            <v>AYUDA TEMPORAL A LAS FAMILIAS DE VARIAS LOCALIDADES, PARA RELOCALIZACIÓN DE HOGARES LOCALIZADOS EN ZONAS DE ALTO RIESGO NO MITIGABLE ID:2007-19-9701, LOCALIDAD:19 CIUDAD BOLÍVAR, UPZ:69 ISMAEL PERDOMO, SECTOR:ZANJÓN MURALLA</v>
          </cell>
          <cell r="R1461">
            <v>2886653</v>
          </cell>
          <cell r="S1461">
            <v>824758</v>
          </cell>
          <cell r="T1461">
            <v>0</v>
          </cell>
          <cell r="U1461">
            <v>2061895</v>
          </cell>
          <cell r="V1461">
            <v>2061895</v>
          </cell>
        </row>
        <row r="1462">
          <cell r="J1462">
            <v>824</v>
          </cell>
          <cell r="K1462">
            <v>43138</v>
          </cell>
          <cell r="L1462" t="str">
            <v>ALBA LILIA GARCIA CORTES</v>
          </cell>
          <cell r="M1462">
            <v>31</v>
          </cell>
          <cell r="N1462" t="str">
            <v>RESOLUCION</v>
          </cell>
          <cell r="O1462">
            <v>364</v>
          </cell>
          <cell r="P1462">
            <v>43138</v>
          </cell>
          <cell r="Q1462" t="str">
            <v>AYUDA TEMPORAL A LAS FAMILIAS DE VARIAS LOCALIDADES, PARA RELOCALIZACIÓN DE HOGARES LOCALIZADOS EN ZONAS DE ALTO RIESGO NO MITIGABLE ID:2014-Q18-00938, LOCALIDAD:19 CIUDAD BOLÍVAR, UPZ:69 ISMAEL PERDOMO, SECTOR:ZANJÓN MURALLA</v>
          </cell>
          <cell r="R1462">
            <v>4804800</v>
          </cell>
          <cell r="S1462">
            <v>0</v>
          </cell>
          <cell r="T1462">
            <v>0</v>
          </cell>
          <cell r="U1462">
            <v>4804800</v>
          </cell>
          <cell r="V1462">
            <v>3843840</v>
          </cell>
        </row>
        <row r="1463">
          <cell r="J1463">
            <v>825</v>
          </cell>
          <cell r="K1463">
            <v>43138</v>
          </cell>
          <cell r="L1463" t="str">
            <v>YANELY  ISMARE PIRAZA</v>
          </cell>
          <cell r="M1463">
            <v>31</v>
          </cell>
          <cell r="N1463" t="str">
            <v>RESOLUCION</v>
          </cell>
          <cell r="O1463">
            <v>430</v>
          </cell>
          <cell r="P1463">
            <v>43138</v>
          </cell>
          <cell r="Q1463" t="str">
            <v>AYUDA TEMPORAL A LAS FAMILIAS DE VARIAS LOCALIDADES, PARA RELOCALIZACIÓN DE HOGARES LOCALIZADOS EN ZONAS DE ALTO RIESGO NO MITIGABLE ID:2014-W166-012, LOCALIDAD:19 CIUDAD BOLÍVAR, UPZ:68 EL TESORO, SECTOR:WOUNAAN</v>
          </cell>
          <cell r="R1463">
            <v>6236100</v>
          </cell>
          <cell r="S1463">
            <v>0</v>
          </cell>
          <cell r="T1463">
            <v>0</v>
          </cell>
          <cell r="U1463">
            <v>6236100</v>
          </cell>
          <cell r="V1463">
            <v>3837600</v>
          </cell>
        </row>
        <row r="1464">
          <cell r="J1464">
            <v>826</v>
          </cell>
          <cell r="K1464">
            <v>43138</v>
          </cell>
          <cell r="L1464" t="str">
            <v>MAR NIDIA NARVAEZ MENESES</v>
          </cell>
          <cell r="M1464">
            <v>31</v>
          </cell>
          <cell r="N1464" t="str">
            <v>RESOLUCION</v>
          </cell>
          <cell r="O1464">
            <v>365</v>
          </cell>
          <cell r="P1464">
            <v>43138</v>
          </cell>
          <cell r="Q1464" t="str">
            <v>AYUDA TEMPORAL A LAS FAMILIAS DE VARIAS LOCALIDADES, PARA RELOCALIZACIÓN DE HOGARES LOCALIZADOS EN ZONAS DE ALTO RIESGO NO MITIGABLE ID:2012-ALES-346, LOCALIDAD:19 CIUDAD BOLÍVAR, UPZ:69 ISMAEL PERDOMO, SECTOR:ALTOS DE LA ESTANCIA</v>
          </cell>
          <cell r="R1464">
            <v>3094182</v>
          </cell>
          <cell r="S1464">
            <v>0</v>
          </cell>
          <cell r="T1464">
            <v>0</v>
          </cell>
          <cell r="U1464">
            <v>3094182</v>
          </cell>
          <cell r="V1464">
            <v>1326078</v>
          </cell>
        </row>
        <row r="1465">
          <cell r="J1465">
            <v>827</v>
          </cell>
          <cell r="K1465">
            <v>43138</v>
          </cell>
          <cell r="L1465" t="str">
            <v>IRENE  YATE PAVA</v>
          </cell>
          <cell r="M1465">
            <v>31</v>
          </cell>
          <cell r="N1465" t="str">
            <v>RESOLUCION</v>
          </cell>
          <cell r="O1465">
            <v>366</v>
          </cell>
          <cell r="P1465">
            <v>43138</v>
          </cell>
          <cell r="Q1465" t="str">
            <v>AYUDA TEMPORAL A LAS FAMILIAS DE VARIAS LOCALIDADES, PARA RELOCALIZACIÓN DE HOGARES LOCALIZADOS EN ZONAS DE ALTO RIESGO NO MITIGABLE ID:2016-08-14819, LOCALIDAD:08 KENNEDY, UPZ:82 PATIO BONITO, SECTOR:PALMITAS</v>
          </cell>
          <cell r="R1465">
            <v>3847149</v>
          </cell>
          <cell r="S1465">
            <v>0</v>
          </cell>
          <cell r="T1465">
            <v>0</v>
          </cell>
          <cell r="U1465">
            <v>3847149</v>
          </cell>
          <cell r="V1465">
            <v>3419688</v>
          </cell>
        </row>
        <row r="1466">
          <cell r="J1466">
            <v>828</v>
          </cell>
          <cell r="K1466">
            <v>43138</v>
          </cell>
          <cell r="L1466" t="str">
            <v>BLANCA ARAMINTA MARTINEZ LAGUNA</v>
          </cell>
          <cell r="M1466">
            <v>31</v>
          </cell>
          <cell r="N1466" t="str">
            <v>RESOLUCION</v>
          </cell>
          <cell r="O1466">
            <v>367</v>
          </cell>
          <cell r="P1466">
            <v>43138</v>
          </cell>
          <cell r="Q1466" t="str">
            <v>AYUDA TEMPORAL A LAS FAMILIAS DE VARIAS LOCALIDADES, PARA RELOCALIZACIÓN DE HOGARES LOCALIZADOS EN ZONAS DE ALTO RIESGO NO MITIGABLE ID:2014-OTR-01141, LOCALIDAD:11 SUBA, UPZ:71 TIBABUYES, SECTOR:GAVILANES</v>
          </cell>
          <cell r="R1466">
            <v>6530693</v>
          </cell>
          <cell r="S1466">
            <v>0</v>
          </cell>
          <cell r="T1466">
            <v>0</v>
          </cell>
          <cell r="U1466">
            <v>6530693</v>
          </cell>
          <cell r="V1466">
            <v>4018888</v>
          </cell>
        </row>
        <row r="1467">
          <cell r="J1467">
            <v>829</v>
          </cell>
          <cell r="K1467">
            <v>43138</v>
          </cell>
          <cell r="L1467" t="str">
            <v>JULIO ERNESTO LAGOS MOJICA</v>
          </cell>
          <cell r="M1467">
            <v>31</v>
          </cell>
          <cell r="N1467" t="str">
            <v>RESOLUCION</v>
          </cell>
          <cell r="O1467">
            <v>368</v>
          </cell>
          <cell r="P1467">
            <v>43138</v>
          </cell>
          <cell r="Q1467" t="str">
            <v>AYUDA TEMPORAL A LAS FAMILIAS DE VARIAS LOCALIDADES, PARA RELOCALIZACIÓN DE HOGARES LOCALIZADOS EN ZONAS DE ALTO RIESGO NO MITIGABLE ID:2012-ALES-15, LOCALIDAD:19 CIUDAD BOLÍVAR, UPZ:69 ISMAEL PERDOMO</v>
          </cell>
          <cell r="R1467">
            <v>3157315</v>
          </cell>
          <cell r="S1467">
            <v>451045</v>
          </cell>
          <cell r="T1467">
            <v>0</v>
          </cell>
          <cell r="U1467">
            <v>2706270</v>
          </cell>
          <cell r="V1467">
            <v>2706270</v>
          </cell>
        </row>
        <row r="1468">
          <cell r="J1468">
            <v>830</v>
          </cell>
          <cell r="K1468">
            <v>43138</v>
          </cell>
          <cell r="L1468" t="str">
            <v>ALEYDA  POSADA BEDOYA</v>
          </cell>
          <cell r="M1468">
            <v>31</v>
          </cell>
          <cell r="N1468" t="str">
            <v>RESOLUCION</v>
          </cell>
          <cell r="O1468">
            <v>369</v>
          </cell>
          <cell r="P1468">
            <v>43138</v>
          </cell>
          <cell r="Q1468" t="str">
            <v>AYUDA TEMPORAL A LAS FAMILIAS DE VARIAS LOCALIDADES, PARA RELOCALIZACIÓN DE HOGARES LOCALIZADOS EN ZONAS DE ALTO RIESGO NO MITIGABLE ID:2016-08-14893, LOCALIDAD:08 KENNEDY, UPZ:82 PATIO BONITO, SECTOR:PALMITAS</v>
          </cell>
          <cell r="R1468">
            <v>4322879</v>
          </cell>
          <cell r="S1468">
            <v>0</v>
          </cell>
          <cell r="T1468">
            <v>0</v>
          </cell>
          <cell r="U1468">
            <v>4322879</v>
          </cell>
          <cell r="V1468">
            <v>2357934</v>
          </cell>
        </row>
        <row r="1469">
          <cell r="J1469">
            <v>831</v>
          </cell>
          <cell r="K1469">
            <v>43138</v>
          </cell>
          <cell r="L1469" t="str">
            <v>ADRIANA PATRICIA QUIÑONES BUSTOS</v>
          </cell>
          <cell r="M1469">
            <v>31</v>
          </cell>
          <cell r="N1469" t="str">
            <v>RESOLUCION</v>
          </cell>
          <cell r="O1469">
            <v>370</v>
          </cell>
          <cell r="P1469">
            <v>43138</v>
          </cell>
          <cell r="Q1469" t="str">
            <v>AYUDA TEMPORAL A LAS FAMILIAS DE VARIAS LOCALIDADES, PARA RELOCALIZACIÓN DE HOGARES LOCALIZADOS EN ZONAS DE ALTO RIESGO NO MITIGABLE ID:2013-Q04-00528, LOCALIDAD:19 CIUDAD BOLÍVAR, UPZ:67 LUCERO, SECTOR:PEÑA COLORADA</v>
          </cell>
          <cell r="R1469">
            <v>3788778</v>
          </cell>
          <cell r="S1469">
            <v>541254</v>
          </cell>
          <cell r="T1469">
            <v>0</v>
          </cell>
          <cell r="U1469">
            <v>3247524</v>
          </cell>
          <cell r="V1469">
            <v>3247524</v>
          </cell>
        </row>
        <row r="1470">
          <cell r="J1470">
            <v>832</v>
          </cell>
          <cell r="K1470">
            <v>43138</v>
          </cell>
          <cell r="L1470" t="str">
            <v>LUZ MARINA CRUZ</v>
          </cell>
          <cell r="M1470">
            <v>31</v>
          </cell>
          <cell r="N1470" t="str">
            <v>RESOLUCION</v>
          </cell>
          <cell r="O1470">
            <v>371</v>
          </cell>
          <cell r="P1470">
            <v>43138</v>
          </cell>
          <cell r="Q1470" t="str">
            <v>AYUDA TEMPORAL A LAS FAMILIAS DE VARIAS LOCALIDADES, PARA RELOCALIZACIÓN DE HOGARES LOCALIZADOS EN ZONAS DE ALTO RIESGO NO MITIGABLE ID:2012-19-14414, LOCALIDAD:19 CIUDAD BOLÍVAR, UPZ:68 EL TESORO, SECTOR:QUEBRADA TROMPETA</v>
          </cell>
          <cell r="R1470">
            <v>5977530</v>
          </cell>
          <cell r="S1470">
            <v>0</v>
          </cell>
          <cell r="T1470">
            <v>0</v>
          </cell>
          <cell r="U1470">
            <v>5977530</v>
          </cell>
          <cell r="V1470">
            <v>3678480</v>
          </cell>
        </row>
        <row r="1471">
          <cell r="J1471">
            <v>833</v>
          </cell>
          <cell r="K1471">
            <v>43138</v>
          </cell>
          <cell r="L1471" t="str">
            <v>YOLIBIA ANGELICA YAGUARA</v>
          </cell>
          <cell r="M1471">
            <v>31</v>
          </cell>
          <cell r="N1471" t="str">
            <v>RESOLUCION</v>
          </cell>
          <cell r="O1471">
            <v>600</v>
          </cell>
          <cell r="P1471">
            <v>43138</v>
          </cell>
          <cell r="Q1471" t="str">
            <v>Asignacion del instrumento financiero a las familias ocupantes del predio que hayan superado la fase de verificacion dentro  del marco del Decreto 457 de 2017. LOCALIDAD: KENNEDY; BARRIO: VEREDITAS; ID: 2017-8-383840</v>
          </cell>
          <cell r="R1471">
            <v>54686940</v>
          </cell>
          <cell r="S1471">
            <v>0</v>
          </cell>
          <cell r="T1471">
            <v>0</v>
          </cell>
          <cell r="U1471">
            <v>54686940</v>
          </cell>
          <cell r="V1471">
            <v>54686940</v>
          </cell>
        </row>
        <row r="1472">
          <cell r="J1472">
            <v>834</v>
          </cell>
          <cell r="K1472">
            <v>43138</v>
          </cell>
          <cell r="L1472" t="str">
            <v>GUILLERMO  LOPEZ SORA</v>
          </cell>
          <cell r="M1472">
            <v>31</v>
          </cell>
          <cell r="N1472" t="str">
            <v>RESOLUCION</v>
          </cell>
          <cell r="O1472">
            <v>601</v>
          </cell>
          <cell r="P1472">
            <v>43138</v>
          </cell>
          <cell r="Q1472" t="str">
            <v>Asignacion del instrumento financiero a las familias ocupantes del predio que hayan superado la fase de verificacion dentro  del marco del Decreto 457 de 2017. LOCALIDAD: KENNEDY; BARRIO: VEREDITAS; ID: 2017-8-383837</v>
          </cell>
          <cell r="R1472">
            <v>54686940</v>
          </cell>
          <cell r="S1472">
            <v>0</v>
          </cell>
          <cell r="T1472">
            <v>0</v>
          </cell>
          <cell r="U1472">
            <v>54686940</v>
          </cell>
          <cell r="V1472">
            <v>54686940</v>
          </cell>
        </row>
        <row r="1473">
          <cell r="J1473">
            <v>835</v>
          </cell>
          <cell r="K1473">
            <v>43138</v>
          </cell>
          <cell r="L1473" t="str">
            <v>GLORIA SOFIA ROSAS TORRES</v>
          </cell>
          <cell r="M1473">
            <v>31</v>
          </cell>
          <cell r="N1473" t="str">
            <v>RESOLUCION</v>
          </cell>
          <cell r="O1473">
            <v>459</v>
          </cell>
          <cell r="P1473">
            <v>43138</v>
          </cell>
          <cell r="Q1473" t="str">
            <v>AYUDA TEMPORAL A LAS FAMILIAS DE VARIAS LOCALIDADES, PARA RELOCALIZACIÓN DE HOGARES LOCALIZADOS EN ZONAS DE ALTO RIESGO NO MITIGABLE ID:2011-19-13328, LOCALIDAD:19 CIUDAD BOLÍVAR, UPZ:68 EL TESORO</v>
          </cell>
          <cell r="R1473">
            <v>5612893</v>
          </cell>
          <cell r="S1473">
            <v>0</v>
          </cell>
          <cell r="T1473">
            <v>0</v>
          </cell>
          <cell r="U1473">
            <v>5612893</v>
          </cell>
          <cell r="V1473">
            <v>3454088</v>
          </cell>
        </row>
        <row r="1474">
          <cell r="J1474">
            <v>836</v>
          </cell>
          <cell r="K1474">
            <v>43138</v>
          </cell>
          <cell r="L1474" t="str">
            <v>CARLOS EVELIO TANGARIFE VILLA</v>
          </cell>
          <cell r="M1474">
            <v>31</v>
          </cell>
          <cell r="N1474" t="str">
            <v>RESOLUCION</v>
          </cell>
          <cell r="O1474">
            <v>460</v>
          </cell>
          <cell r="P1474">
            <v>43138</v>
          </cell>
          <cell r="Q1474" t="str">
            <v>AYUDA TEMPORAL A LAS FAMILIAS DE VARIAS LOCALIDADES, PARA RELOCALIZACIÓN DE HOGARES LOCALIZADOS EN ZONAS DE ALTO RIESGO NO MITIGABLE ID:2011-4-12682, LOCALIDAD:04 SAN CRISTÓBAL, UPZ:32 SAN BLAS</v>
          </cell>
          <cell r="R1474">
            <v>2838689</v>
          </cell>
          <cell r="S1474">
            <v>405527</v>
          </cell>
          <cell r="T1474">
            <v>0</v>
          </cell>
          <cell r="U1474">
            <v>2433162</v>
          </cell>
          <cell r="V1474">
            <v>2433162</v>
          </cell>
        </row>
        <row r="1475">
          <cell r="J1475">
            <v>837</v>
          </cell>
          <cell r="K1475">
            <v>43138</v>
          </cell>
          <cell r="L1475" t="str">
            <v>MARIA CRISTINA PRECIADO FUQUENE</v>
          </cell>
          <cell r="M1475">
            <v>31</v>
          </cell>
          <cell r="N1475" t="str">
            <v>RESOLUCION</v>
          </cell>
          <cell r="O1475">
            <v>461</v>
          </cell>
          <cell r="P1475">
            <v>43138</v>
          </cell>
          <cell r="Q1475" t="str">
            <v>AYUDA TEMPORAL A LAS FAMILIAS DE VARIAS LOCALIDADES, PARA RELOCALIZACIÓN DE HOGARES LOCALIZADOS EN ZONAS DE ALTO RIESGO NO MITIGABLE ID:2014-P474-00744, LOCALIDAD:04 SAN CRISTÓBAL, UPZ:33 SOSIEGO, SECTOR:PROCESO LA MARIA</v>
          </cell>
          <cell r="R1475">
            <v>6006000</v>
          </cell>
          <cell r="S1475">
            <v>0</v>
          </cell>
          <cell r="T1475">
            <v>0</v>
          </cell>
          <cell r="U1475">
            <v>6006000</v>
          </cell>
          <cell r="V1475">
            <v>3696000</v>
          </cell>
        </row>
        <row r="1476">
          <cell r="J1476">
            <v>838</v>
          </cell>
          <cell r="K1476">
            <v>43138</v>
          </cell>
          <cell r="L1476" t="str">
            <v>AMADEO  ESPINOSA MONDRAGON</v>
          </cell>
          <cell r="M1476">
            <v>31</v>
          </cell>
          <cell r="N1476" t="str">
            <v>RESOLUCION</v>
          </cell>
          <cell r="O1476">
            <v>462</v>
          </cell>
          <cell r="P1476">
            <v>43138</v>
          </cell>
          <cell r="Q1476" t="str">
            <v>AYUDA TEMPORAL A LAS FAMILIAS DE VARIAS LOCALIDADES, PARA RELOCALIZACIÓN DE HOGARES LOCALIZADOS EN ZONAS DE ALTO RIESGO NO MITIGABLE ID:2013000257, LOCALIDAD:19 CIUDAD BOLÍVAR, UPZ:67 LUCERO, SECTOR:PEÑA COLORADA</v>
          </cell>
          <cell r="R1476">
            <v>2606135</v>
          </cell>
          <cell r="S1476">
            <v>372305</v>
          </cell>
          <cell r="T1476">
            <v>0</v>
          </cell>
          <cell r="U1476">
            <v>2233830</v>
          </cell>
          <cell r="V1476">
            <v>2233830</v>
          </cell>
        </row>
        <row r="1477">
          <cell r="J1477">
            <v>839</v>
          </cell>
          <cell r="K1477">
            <v>43138</v>
          </cell>
          <cell r="L1477" t="str">
            <v>JEIMY ANDREA RUBIO BERMUDEZ</v>
          </cell>
          <cell r="M1477">
            <v>31</v>
          </cell>
          <cell r="N1477" t="str">
            <v>RESOLUCION</v>
          </cell>
          <cell r="O1477">
            <v>463</v>
          </cell>
          <cell r="P1477">
            <v>43138</v>
          </cell>
          <cell r="Q1477" t="str">
            <v>AYUDA TEMPORAL A LAS FAMILIAS DE VARIAS LOCALIDADES, PARA RELOCALIZACIÓN DE HOGARES LOCALIZADOS EN ZONAS DE ALTO RIESGO NO MITIGABLE ID:2012-19-14509, LOCALIDAD:19 CIUDAD BOLÍVAR, UPZ:68 EL TESORO, SECTOR:QUEBRADA EL INFIERNO</v>
          </cell>
          <cell r="R1477">
            <v>3022327</v>
          </cell>
          <cell r="S1477">
            <v>863522</v>
          </cell>
          <cell r="T1477">
            <v>0</v>
          </cell>
          <cell r="U1477">
            <v>2158805</v>
          </cell>
          <cell r="V1477">
            <v>2158805</v>
          </cell>
        </row>
        <row r="1478">
          <cell r="J1478">
            <v>840</v>
          </cell>
          <cell r="K1478">
            <v>43138</v>
          </cell>
          <cell r="L1478" t="str">
            <v>MARLON DAMIAN VALENCIA PERTIAGA</v>
          </cell>
          <cell r="M1478">
            <v>31</v>
          </cell>
          <cell r="N1478" t="str">
            <v>RESOLUCION</v>
          </cell>
          <cell r="O1478">
            <v>464</v>
          </cell>
          <cell r="P1478">
            <v>43138</v>
          </cell>
          <cell r="Q1478" t="str">
            <v>AYUDA TEMPORAL A LAS FAMILIAS DE VARIAS LOCALIDADES, PARA RELOCALIZACIÓN DE HOGARES LOCALIZADOS EN ZONAS DE ALTO RIESGO NO MITIGABLE ID:2015-W166-534, LOCALIDAD:04 SAN CRISTÓBAL, UPZ:34 20 DE JULIO, SECTOR:EPERARA</v>
          </cell>
          <cell r="R1478">
            <v>7287618</v>
          </cell>
          <cell r="S1478">
            <v>0</v>
          </cell>
          <cell r="T1478">
            <v>0</v>
          </cell>
          <cell r="U1478">
            <v>7287618</v>
          </cell>
          <cell r="V1478">
            <v>4484688</v>
          </cell>
        </row>
        <row r="1479">
          <cell r="J1479">
            <v>841</v>
          </cell>
          <cell r="K1479">
            <v>43138</v>
          </cell>
          <cell r="L1479" t="str">
            <v>NORBERTO  DURA ISMARE</v>
          </cell>
          <cell r="M1479">
            <v>31</v>
          </cell>
          <cell r="N1479" t="str">
            <v>RESOLUCION</v>
          </cell>
          <cell r="O1479">
            <v>465</v>
          </cell>
          <cell r="P1479">
            <v>43138</v>
          </cell>
          <cell r="Q1479" t="str">
            <v>AYUDA TEMPORAL A LAS FAMILIAS DE VARIAS LOCALIDADES, PARA RELOCALIZACIÓN DE HOGARES LOCALIZADOS EN ZONAS DE ALTO RIESGO NO MITIGABLE ID:2014-W166-043, LOCALIDAD:19 CIUDAD BOLÍVAR, UPZ:67 LUCERO, SECTOR:WOUNAAN</v>
          </cell>
          <cell r="R1479">
            <v>5285280</v>
          </cell>
          <cell r="S1479">
            <v>0</v>
          </cell>
          <cell r="T1479">
            <v>0</v>
          </cell>
          <cell r="U1479">
            <v>5285280</v>
          </cell>
          <cell r="V1479">
            <v>3252480</v>
          </cell>
        </row>
        <row r="1480">
          <cell r="J1480">
            <v>842</v>
          </cell>
          <cell r="K1480">
            <v>43138</v>
          </cell>
          <cell r="L1480" t="str">
            <v>JOSE LERU DURA ISMARE</v>
          </cell>
          <cell r="M1480">
            <v>31</v>
          </cell>
          <cell r="N1480" t="str">
            <v>RESOLUCION</v>
          </cell>
          <cell r="O1480">
            <v>466</v>
          </cell>
          <cell r="P1480">
            <v>43138</v>
          </cell>
          <cell r="Q1480" t="str">
            <v>AYUDA TEMPORAL A LAS FAMILIAS DE VARIAS LOCALIDADES, PARA RELOCALIZACIÓN DE HOGARES LOCALIZADOS EN ZONAS DE ALTO RIESGO NO MITIGABLE ID:2014-W166-073, LOCALIDAD:19 CIUDAD BOLÍVAR, UPZ:68 EL TESORO, SECTOR:WOUNAAN</v>
          </cell>
          <cell r="R1480">
            <v>813120</v>
          </cell>
          <cell r="S1480">
            <v>406560</v>
          </cell>
          <cell r="T1480">
            <v>0</v>
          </cell>
          <cell r="U1480">
            <v>406560</v>
          </cell>
          <cell r="V1480">
            <v>406560</v>
          </cell>
        </row>
        <row r="1481">
          <cell r="J1481">
            <v>843</v>
          </cell>
          <cell r="K1481">
            <v>43138</v>
          </cell>
          <cell r="L1481" t="str">
            <v>BLANCA LILIANA CAMARGO LOZANO</v>
          </cell>
          <cell r="M1481">
            <v>31</v>
          </cell>
          <cell r="N1481" t="str">
            <v>RESOLUCION</v>
          </cell>
          <cell r="O1481">
            <v>467</v>
          </cell>
          <cell r="P1481">
            <v>43138</v>
          </cell>
          <cell r="Q1481" t="str">
            <v>AYUDA TEMPORAL A LAS FAMILIAS DE VARIAS LOCALIDADES, PARA RELOCALIZACIÓN DE HOGARES LOCALIZADOS EN ZONAS DE ALTO RIESGO NO MITIGABLE ID:2015-3-14762, LOCALIDAD:03 SANTA FE, UPZ:96 LOURDES</v>
          </cell>
          <cell r="R1481">
            <v>5276661</v>
          </cell>
          <cell r="S1481">
            <v>0</v>
          </cell>
          <cell r="T1481">
            <v>0</v>
          </cell>
          <cell r="U1481">
            <v>5276661</v>
          </cell>
          <cell r="V1481">
            <v>3247176</v>
          </cell>
        </row>
        <row r="1482">
          <cell r="J1482">
            <v>844</v>
          </cell>
          <cell r="K1482">
            <v>43138</v>
          </cell>
          <cell r="L1482" t="str">
            <v>LUZ ANGELA CASTRO REYES</v>
          </cell>
          <cell r="M1482">
            <v>31</v>
          </cell>
          <cell r="N1482" t="str">
            <v>RESOLUCION</v>
          </cell>
          <cell r="O1482">
            <v>468</v>
          </cell>
          <cell r="P1482">
            <v>43138</v>
          </cell>
          <cell r="Q1482" t="str">
            <v>AYUDA TEMPORAL A LAS FAMILIAS DE VARIAS LOCALIDADES, PARA RELOCALIZACIÓN DE HOGARES LOCALIZADOS EN ZONAS DE ALTO RIESGO NO MITIGABLE ID:2012-19-13954, LOCALIDAD:19 CIUDAD BOLÍVAR, UPZ:68 EL TESORO</v>
          </cell>
          <cell r="R1482">
            <v>4491802</v>
          </cell>
          <cell r="S1482">
            <v>641686</v>
          </cell>
          <cell r="T1482">
            <v>0</v>
          </cell>
          <cell r="U1482">
            <v>3850116</v>
          </cell>
          <cell r="V1482">
            <v>3850116</v>
          </cell>
        </row>
        <row r="1483">
          <cell r="J1483">
            <v>845</v>
          </cell>
          <cell r="K1483">
            <v>43138</v>
          </cell>
          <cell r="L1483" t="str">
            <v>MARIA YOLANDA NAJAR</v>
          </cell>
          <cell r="M1483">
            <v>31</v>
          </cell>
          <cell r="N1483" t="str">
            <v>RESOLUCION</v>
          </cell>
          <cell r="O1483">
            <v>469</v>
          </cell>
          <cell r="P1483">
            <v>43138</v>
          </cell>
          <cell r="Q1483" t="str">
            <v>AYUDA TEMPORAL A LAS FAMILIAS DE VARIAS LOCALIDADES, PARA RELOCALIZACIÓN DE HOGARES LOCALIZADOS EN ZONAS DE ALTO RIESGO NO MITIGABLE ID:2006-3-9158, LOCALIDAD:03 SANTA FE, UPZ:92 LA MACARENA</v>
          </cell>
          <cell r="R1483">
            <v>5430984</v>
          </cell>
          <cell r="S1483">
            <v>0</v>
          </cell>
          <cell r="T1483">
            <v>0</v>
          </cell>
          <cell r="U1483">
            <v>5430984</v>
          </cell>
          <cell r="V1483">
            <v>3342144</v>
          </cell>
        </row>
        <row r="1484">
          <cell r="J1484">
            <v>846</v>
          </cell>
          <cell r="K1484">
            <v>43138</v>
          </cell>
          <cell r="L1484" t="str">
            <v>CARLOS JULIO CUCUNUBA PANQUEBA</v>
          </cell>
          <cell r="M1484">
            <v>31</v>
          </cell>
          <cell r="N1484" t="str">
            <v>RESOLUCION</v>
          </cell>
          <cell r="O1484">
            <v>470</v>
          </cell>
          <cell r="P1484">
            <v>43138</v>
          </cell>
          <cell r="Q1484" t="str">
            <v>AYUDA TEMPORAL A LAS FAMILIAS DE VARIAS LOCALIDADES, PARA RELOCALIZACIÓN DE HOGARES LOCALIZADOS EN ZONAS DE ALTO RIESGO NO MITIGABLE ID:2015-D227-00044, LOCALIDAD:04 SAN CRISTÓBAL, UPZ:51 LOS LIBERTADORES, SECTOR:SANTA TERESITA</v>
          </cell>
          <cell r="R1484">
            <v>5612893</v>
          </cell>
          <cell r="S1484">
            <v>0</v>
          </cell>
          <cell r="T1484">
            <v>0</v>
          </cell>
          <cell r="U1484">
            <v>5612893</v>
          </cell>
          <cell r="V1484">
            <v>3454088</v>
          </cell>
        </row>
        <row r="1485">
          <cell r="J1485">
            <v>847</v>
          </cell>
          <cell r="K1485">
            <v>43138</v>
          </cell>
          <cell r="L1485" t="str">
            <v>LUZ MARINA QUIROGA</v>
          </cell>
          <cell r="M1485">
            <v>31</v>
          </cell>
          <cell r="N1485" t="str">
            <v>RESOLUCION</v>
          </cell>
          <cell r="O1485">
            <v>472</v>
          </cell>
          <cell r="P1485">
            <v>43138</v>
          </cell>
          <cell r="Q1485" t="str">
            <v>AYUDA TEMPORAL A LAS FAMILIAS DE VARIAS LOCALIDADES, PARA RELOCALIZACIÓN DE HOGARES LOCALIZADOS EN ZONAS DE ALTO RIESGO NO MITIGABLE ID:2016-08-14881, LOCALIDAD:08 KENNEDY, UPZ:82 PATIO BONITO, SECTOR:PALMITAS</v>
          </cell>
          <cell r="R1485">
            <v>5274672</v>
          </cell>
          <cell r="S1485">
            <v>0</v>
          </cell>
          <cell r="T1485">
            <v>0</v>
          </cell>
          <cell r="U1485">
            <v>5274672</v>
          </cell>
          <cell r="V1485">
            <v>3245952</v>
          </cell>
        </row>
        <row r="1486">
          <cell r="J1486">
            <v>848</v>
          </cell>
          <cell r="K1486">
            <v>43138</v>
          </cell>
          <cell r="L1486" t="str">
            <v>MARIA ODILIA BARBOSA SABOGAL</v>
          </cell>
          <cell r="M1486">
            <v>31</v>
          </cell>
          <cell r="N1486" t="str">
            <v>RESOLUCION</v>
          </cell>
          <cell r="O1486">
            <v>473</v>
          </cell>
          <cell r="P1486">
            <v>43138</v>
          </cell>
          <cell r="Q1486" t="str">
            <v>AYUDA TEMPORAL A LAS FAMILIAS DE VARIAS LOCALIDADES, PARA RELOCALIZACIÓN DE HOGARES LOCALIZADOS EN ZONAS DE ALTO RIESGO NO MITIGABLE ID:2013000130, LOCALIDAD:04 SAN CRISTÓBAL, UPZ:51 LOS LIBERTADORES, SECTOR:QUEBRADA VEREJONES</v>
          </cell>
          <cell r="R1486">
            <v>5285280</v>
          </cell>
          <cell r="S1486">
            <v>0</v>
          </cell>
          <cell r="T1486">
            <v>0</v>
          </cell>
          <cell r="U1486">
            <v>5285280</v>
          </cell>
          <cell r="V1486">
            <v>3252480</v>
          </cell>
        </row>
        <row r="1487">
          <cell r="J1487">
            <v>849</v>
          </cell>
          <cell r="K1487">
            <v>43138</v>
          </cell>
          <cell r="L1487" t="str">
            <v>MIRYAM  PIAMBA MAJIN</v>
          </cell>
          <cell r="M1487">
            <v>31</v>
          </cell>
          <cell r="N1487" t="str">
            <v>RESOLUCION</v>
          </cell>
          <cell r="O1487">
            <v>474</v>
          </cell>
          <cell r="P1487">
            <v>43138</v>
          </cell>
          <cell r="Q1487" t="str">
            <v>AYUDA TEMPORAL A LAS FAMILIAS DE VARIAS LOCALIDADES, PARA RELOCALIZACIÓN DE HOGARES LOCALIZADOS EN ZONAS DE ALTO RIESGO NO MITIGABLE ID:2011-4-13294, LOCALIDAD:04 SAN CRISTÓBAL, UPZ:51 LOS LIBERTADORES, SECTOR:QUEBRADA VEREJONES</v>
          </cell>
          <cell r="R1487">
            <v>6127264</v>
          </cell>
          <cell r="S1487">
            <v>0</v>
          </cell>
          <cell r="T1487">
            <v>0</v>
          </cell>
          <cell r="U1487">
            <v>6127264</v>
          </cell>
          <cell r="V1487">
            <v>3770624</v>
          </cell>
        </row>
        <row r="1488">
          <cell r="J1488">
            <v>850</v>
          </cell>
          <cell r="K1488">
            <v>43138</v>
          </cell>
          <cell r="L1488" t="str">
            <v>JORGE ANDRES MARTINEZ</v>
          </cell>
          <cell r="M1488">
            <v>31</v>
          </cell>
          <cell r="N1488" t="str">
            <v>RESOLUCION</v>
          </cell>
          <cell r="O1488">
            <v>475</v>
          </cell>
          <cell r="P1488">
            <v>43138</v>
          </cell>
          <cell r="Q1488" t="str">
            <v>AYUDA TEMPORAL A LAS FAMILIAS DE VARIAS LOCALIDADES, PARA RELOCALIZACIÓN DE HOGARES LOCALIZADOS EN ZONAS DE ALTO RIESGO NO MITIGABLE ID:2017-08-14926, LOCALIDAD:08 KENNEDY, UPZ:82 PATIO BONITO, SECTOR:PALMITAS</v>
          </cell>
          <cell r="R1488">
            <v>5825885</v>
          </cell>
          <cell r="S1488">
            <v>0</v>
          </cell>
          <cell r="T1488">
            <v>0</v>
          </cell>
          <cell r="U1488">
            <v>5825885</v>
          </cell>
          <cell r="V1488">
            <v>896290</v>
          </cell>
        </row>
        <row r="1489">
          <cell r="J1489">
            <v>851</v>
          </cell>
          <cell r="K1489">
            <v>43138</v>
          </cell>
          <cell r="L1489" t="str">
            <v>LUZ STELLA MORA CABALLERO</v>
          </cell>
          <cell r="M1489">
            <v>31</v>
          </cell>
          <cell r="N1489" t="str">
            <v>RESOLUCION</v>
          </cell>
          <cell r="O1489">
            <v>476</v>
          </cell>
          <cell r="P1489">
            <v>43138</v>
          </cell>
          <cell r="Q1489" t="str">
            <v>AYUDA TEMPORAL A LAS FAMILIAS DE VARIAS LOCALIDADES, PARA RELOCALIZACIÓN DE HOGARES LOCALIZADOS EN ZONAS DE ALTO RIESGO NO MITIGABLE ID:2013000251, LOCALIDAD:19 CIUDAD BOLÍVAR, UPZ:67 LUCERO, SECTOR:PEÑA COLORADA</v>
          </cell>
          <cell r="R1489">
            <v>3873016</v>
          </cell>
          <cell r="S1489">
            <v>0</v>
          </cell>
          <cell r="T1489">
            <v>0</v>
          </cell>
          <cell r="U1489">
            <v>3873016</v>
          </cell>
          <cell r="V1489">
            <v>2213152</v>
          </cell>
        </row>
        <row r="1490">
          <cell r="J1490">
            <v>852</v>
          </cell>
          <cell r="K1490">
            <v>43138</v>
          </cell>
          <cell r="L1490" t="str">
            <v>LUIS ENRIQUE CARDOZO ACOSTA</v>
          </cell>
          <cell r="M1490">
            <v>31</v>
          </cell>
          <cell r="N1490" t="str">
            <v>RESOLUCION</v>
          </cell>
          <cell r="O1490">
            <v>477</v>
          </cell>
          <cell r="P1490">
            <v>43138</v>
          </cell>
          <cell r="Q1490" t="str">
            <v>AYUDA TEMPORAL A LAS FAMILIAS DE VARIAS LOCALIDADES, PARA RELOCALIZACIÓN DE HOGARES LOCALIZADOS EN ZONAS DE ALTO RIESGO NO MITIGABLE ID:2012-4-14267, LOCALIDAD:04 SAN CRISTÓBAL, UPZ:32 SAN BLAS</v>
          </cell>
          <cell r="R1490">
            <v>4942301</v>
          </cell>
          <cell r="S1490">
            <v>0</v>
          </cell>
          <cell r="T1490">
            <v>0</v>
          </cell>
          <cell r="U1490">
            <v>4942301</v>
          </cell>
          <cell r="V1490">
            <v>3041416</v>
          </cell>
        </row>
        <row r="1491">
          <cell r="J1491">
            <v>853</v>
          </cell>
          <cell r="K1491">
            <v>43139</v>
          </cell>
          <cell r="L1491" t="str">
            <v>ALBENIS  TORRES</v>
          </cell>
          <cell r="M1491">
            <v>31</v>
          </cell>
          <cell r="N1491" t="str">
            <v>RESOLUCION</v>
          </cell>
          <cell r="O1491">
            <v>431</v>
          </cell>
          <cell r="P1491">
            <v>43139</v>
          </cell>
          <cell r="Q1491" t="str">
            <v>AYUDA TEMPORAL A LAS FAMILIAS DE VARIAS LOCALIDADES, PARA RELOCALIZACIÓN DE HOGARES LOCALIZADOS EN ZONAS DE ALTO RIESGO NO MITIGABLE ID:2013-Q10-00213, LOCALIDAD:04 SAN CRISTÓBAL, UPZ:51 LOS LIBERTADORES, SECTOR:QUEBRADA VEREJONES</v>
          </cell>
          <cell r="R1491">
            <v>2887073</v>
          </cell>
          <cell r="S1491">
            <v>412439</v>
          </cell>
          <cell r="T1491">
            <v>0</v>
          </cell>
          <cell r="U1491">
            <v>2474634</v>
          </cell>
          <cell r="V1491">
            <v>2474634</v>
          </cell>
        </row>
        <row r="1492">
          <cell r="J1492">
            <v>854</v>
          </cell>
          <cell r="K1492">
            <v>43139</v>
          </cell>
          <cell r="L1492" t="str">
            <v>ALCIRA  VELASQUEZ CHIQUIZA</v>
          </cell>
          <cell r="M1492">
            <v>31</v>
          </cell>
          <cell r="N1492" t="str">
            <v>RESOLUCION</v>
          </cell>
          <cell r="O1492">
            <v>432</v>
          </cell>
          <cell r="P1492">
            <v>43139</v>
          </cell>
          <cell r="Q1492" t="str">
            <v>AYUDA TEMPORAL A LAS FAMILIAS DE VARIAS LOCALIDADES, PARA RELOCALIZACIÓN DE HOGARES LOCALIZADOS EN ZONAS DE ALTO RIESGO NO MITIGABLE ID:2011-19-12536, LOCALIDAD:19 CIUDAD BOLÍVAR, UPZ:69 ISMAEL PERDOMO, SECTOR:OLA INVERNAL 2010 FOPAE</v>
          </cell>
          <cell r="R1492">
            <v>2845920</v>
          </cell>
          <cell r="S1492">
            <v>406560</v>
          </cell>
          <cell r="T1492">
            <v>0</v>
          </cell>
          <cell r="U1492">
            <v>2439360</v>
          </cell>
          <cell r="V1492">
            <v>2439360</v>
          </cell>
        </row>
        <row r="1493">
          <cell r="J1493">
            <v>855</v>
          </cell>
          <cell r="K1493">
            <v>43139</v>
          </cell>
          <cell r="L1493" t="str">
            <v>LUZ ESPERANZA AGUILAR CUTIVA</v>
          </cell>
          <cell r="M1493">
            <v>31</v>
          </cell>
          <cell r="N1493" t="str">
            <v>RESOLUCION</v>
          </cell>
          <cell r="O1493">
            <v>433</v>
          </cell>
          <cell r="P1493">
            <v>43139</v>
          </cell>
          <cell r="Q1493" t="str">
            <v>AYUDA TEMPORAL A LAS FAMILIAS DE VARIAS LOCALIDADES, PARA RELOCALIZACIÓN DE HOGARES LOCALIZADOS EN ZONAS DE ALTO RIESGO NO MITIGABLE ID:2014-Q03-00992, LOCALIDAD:19 CIUDAD BOLÍVAR, UPZ:66 SAN FRANCISCO, SECTOR:LIMAS</v>
          </cell>
          <cell r="R1493">
            <v>3606526</v>
          </cell>
          <cell r="S1493">
            <v>515218</v>
          </cell>
          <cell r="T1493">
            <v>0</v>
          </cell>
          <cell r="U1493">
            <v>3091308</v>
          </cell>
          <cell r="V1493">
            <v>3091308</v>
          </cell>
        </row>
        <row r="1494">
          <cell r="J1494">
            <v>856</v>
          </cell>
          <cell r="K1494">
            <v>43139</v>
          </cell>
          <cell r="L1494" t="str">
            <v>YOLANDA  RINCON RODRIGUEZ</v>
          </cell>
          <cell r="M1494">
            <v>31</v>
          </cell>
          <cell r="N1494" t="str">
            <v>RESOLUCION</v>
          </cell>
          <cell r="O1494">
            <v>434</v>
          </cell>
          <cell r="P1494">
            <v>43139</v>
          </cell>
          <cell r="Q1494" t="str">
            <v>AYUDA TEMPORAL A LAS FAMILIAS DE VARIAS LOCALIDADES, PARA RELOCALIZACIÓN DE HOGARES LOCALIZADOS EN ZONAS DE ALTO RIESGO NO MITIGABLE ID:2006-19-8121, LOCALIDAD:19 CIUDAD BOLÍVAR, UPZ:66 SAN FRANCISCO</v>
          </cell>
          <cell r="R1494">
            <v>6743880</v>
          </cell>
          <cell r="S1494">
            <v>0</v>
          </cell>
          <cell r="T1494">
            <v>0</v>
          </cell>
          <cell r="U1494">
            <v>6743880</v>
          </cell>
          <cell r="V1494">
            <v>4150080</v>
          </cell>
        </row>
        <row r="1495">
          <cell r="J1495">
            <v>857</v>
          </cell>
          <cell r="K1495">
            <v>43139</v>
          </cell>
          <cell r="L1495" t="str">
            <v>BRUCELEE  MOÑA MEPAQUITO</v>
          </cell>
          <cell r="M1495">
            <v>31</v>
          </cell>
          <cell r="N1495" t="str">
            <v>RESOLUCION</v>
          </cell>
          <cell r="O1495">
            <v>435</v>
          </cell>
          <cell r="P1495">
            <v>43139</v>
          </cell>
          <cell r="Q1495" t="str">
            <v>AYUDA TEMPORAL A LAS FAMILIAS DE VARIAS LOCALIDADES, PARA RELOCALIZACIÓN DE HOGARES LOCALIZADOS EN ZONAS DE ALTO RIESGO NO MITIGABLE ID:2015-W166-522, LOCALIDAD:19 CIUDAD BOLÍVAR, UPZ:67 LUCERO, SECTOR:WOUNAAN</v>
          </cell>
          <cell r="R1495">
            <v>6868797</v>
          </cell>
          <cell r="S1495">
            <v>0</v>
          </cell>
          <cell r="T1495">
            <v>0</v>
          </cell>
          <cell r="U1495">
            <v>6868797</v>
          </cell>
          <cell r="V1495">
            <v>4226952</v>
          </cell>
        </row>
        <row r="1496">
          <cell r="J1496">
            <v>858</v>
          </cell>
          <cell r="K1496">
            <v>43139</v>
          </cell>
          <cell r="L1496" t="str">
            <v>LUIS ORLANDO AGUILLON CASTAÑEDA</v>
          </cell>
          <cell r="M1496">
            <v>31</v>
          </cell>
          <cell r="N1496" t="str">
            <v>RESOLUCION</v>
          </cell>
          <cell r="O1496">
            <v>436</v>
          </cell>
          <cell r="P1496">
            <v>43139</v>
          </cell>
          <cell r="Q1496" t="str">
            <v>AYUDA TEMPORAL A LAS FAMILIAS DE VARIAS LOCALIDADES, PARA RELOCALIZACIÓN DE HOGARES LOCALIZADOS EN ZONAS DE ALTO RIESGO NO MITIGABLE ID:2014-19-14698, LOCALIDAD:19 CIUDAD BOLÍVAR, UPZ:67 LUCERO</v>
          </cell>
          <cell r="R1496">
            <v>2846046</v>
          </cell>
          <cell r="S1496">
            <v>0</v>
          </cell>
          <cell r="T1496">
            <v>0</v>
          </cell>
          <cell r="U1496">
            <v>2846046</v>
          </cell>
          <cell r="V1496">
            <v>1626312</v>
          </cell>
        </row>
        <row r="1497">
          <cell r="J1497">
            <v>859</v>
          </cell>
          <cell r="K1497">
            <v>43139</v>
          </cell>
          <cell r="L1497" t="str">
            <v>MARIA HIDALIA DURANGO</v>
          </cell>
          <cell r="M1497">
            <v>31</v>
          </cell>
          <cell r="N1497" t="str">
            <v>RESOLUCION</v>
          </cell>
          <cell r="O1497">
            <v>437</v>
          </cell>
          <cell r="P1497">
            <v>43139</v>
          </cell>
          <cell r="Q1497" t="str">
            <v>AYUDA TEMPORAL A LAS FAMILIAS DE VARIAS LOCALIDADES, PARA RELOCALIZACIÓN DE HOGARES LOCALIZADOS EN ZONAS DE ALTO RIESGO NO MITIGABLE ID:2011-5-13011, LOCALIDAD:05 USME, UPZ:56 DANUBIO</v>
          </cell>
          <cell r="R1497">
            <v>2582006</v>
          </cell>
          <cell r="S1497">
            <v>368858</v>
          </cell>
          <cell r="T1497">
            <v>0</v>
          </cell>
          <cell r="U1497">
            <v>2213148</v>
          </cell>
          <cell r="V1497">
            <v>2213148</v>
          </cell>
        </row>
        <row r="1498">
          <cell r="J1498">
            <v>860</v>
          </cell>
          <cell r="K1498">
            <v>43139</v>
          </cell>
          <cell r="L1498" t="str">
            <v>NELSON  DELGADO RAMIREZ</v>
          </cell>
          <cell r="M1498">
            <v>31</v>
          </cell>
          <cell r="N1498" t="str">
            <v>RESOLUCION</v>
          </cell>
          <cell r="O1498">
            <v>438</v>
          </cell>
          <cell r="P1498">
            <v>43139</v>
          </cell>
          <cell r="Q1498" t="str">
            <v>AYUDA TEMPORAL A LAS FAMILIAS DE VARIAS LOCALIDADES, PARA RELOCALIZACIÓN DE HOGARES LOCALIZADOS EN ZONAS DE ALTO RIESGO NO MITIGABLE ID:2014-Q09-01185, LOCALIDAD:19 CIUDAD BOLÍVAR, UPZ:67 LUCERO, SECTOR:QUEBRADA TROMPETA</v>
          </cell>
          <cell r="R1498">
            <v>2434516</v>
          </cell>
          <cell r="S1498">
            <v>347788</v>
          </cell>
          <cell r="T1498">
            <v>0</v>
          </cell>
          <cell r="U1498">
            <v>2086728</v>
          </cell>
          <cell r="V1498">
            <v>2086728</v>
          </cell>
        </row>
        <row r="1499">
          <cell r="J1499">
            <v>861</v>
          </cell>
          <cell r="K1499">
            <v>43139</v>
          </cell>
          <cell r="L1499" t="str">
            <v>ALEXANDRA NATALI SANCHEZ RODRIGUEZ</v>
          </cell>
          <cell r="M1499">
            <v>31</v>
          </cell>
          <cell r="N1499" t="str">
            <v>RESOLUCION</v>
          </cell>
          <cell r="O1499">
            <v>439</v>
          </cell>
          <cell r="P1499">
            <v>43139</v>
          </cell>
          <cell r="Q1499" t="str">
            <v>AYUDA TEMPORAL A LAS FAMILIAS DE VARIAS LOCALIDADES, PARA RELOCALIZACIÓN DE HOGARES LOCALIZADOS EN ZONAS DE ALTO RIESGO NO MITIGABLE ID:2015-ALES-534, LOCALIDAD:19 CIUDAD BOLÍVAR, UPZ:69 ISMAEL PERDOMO, SECTOR:ALTOS DE LA ESTANCIA</v>
          </cell>
          <cell r="R1499">
            <v>5863585</v>
          </cell>
          <cell r="S1499">
            <v>0</v>
          </cell>
          <cell r="T1499">
            <v>0</v>
          </cell>
          <cell r="U1499">
            <v>5863585</v>
          </cell>
          <cell r="V1499">
            <v>3608360</v>
          </cell>
        </row>
        <row r="1500">
          <cell r="J1500">
            <v>862</v>
          </cell>
          <cell r="K1500">
            <v>43139</v>
          </cell>
          <cell r="L1500" t="str">
            <v>YENI ESPERANZA ROJAS MARTINEZ</v>
          </cell>
          <cell r="M1500">
            <v>31</v>
          </cell>
          <cell r="N1500" t="str">
            <v>RESOLUCION</v>
          </cell>
          <cell r="O1500">
            <v>440</v>
          </cell>
          <cell r="P1500">
            <v>43139</v>
          </cell>
          <cell r="Q1500" t="str">
            <v>AYUDA TEMPORAL A LAS FAMILIAS DE VARIAS LOCALIDADES, PARA RELOCALIZACIÓN DE HOGARES LOCALIZADOS EN ZONAS DE ALTO RIESGO NO MITIGABLE ID:2015-19-14746, LOCALIDAD:19 CIUDAD BOLÍVAR, UPZ:68 EL TESORO</v>
          </cell>
          <cell r="R1500">
            <v>4986969</v>
          </cell>
          <cell r="S1500">
            <v>0</v>
          </cell>
          <cell r="T1500">
            <v>0</v>
          </cell>
          <cell r="U1500">
            <v>4986969</v>
          </cell>
          <cell r="V1500">
            <v>3068904</v>
          </cell>
        </row>
        <row r="1501">
          <cell r="J1501">
            <v>863</v>
          </cell>
          <cell r="K1501">
            <v>43139</v>
          </cell>
          <cell r="L1501" t="str">
            <v>ROMULO JESUS YATE VEGA</v>
          </cell>
          <cell r="M1501">
            <v>31</v>
          </cell>
          <cell r="N1501" t="str">
            <v>RESOLUCION</v>
          </cell>
          <cell r="O1501">
            <v>441</v>
          </cell>
          <cell r="P1501">
            <v>43139</v>
          </cell>
          <cell r="Q1501" t="str">
            <v>AYUDA TEMPORAL A LAS FAMILIAS DE VARIAS LOCALIDADES, PARA RELOCALIZACIÓN DE HOGARES LOCALIZADOS EN ZONAS DE ALTO RIESGO NO MITIGABLE ID:2012-ALES-377, LOCALIDAD:19 CIUDAD BOLÍVAR, UPZ:69 ISMAEL PERDOMO, SECTOR:ALTOS DE LA ESTANCIA</v>
          </cell>
          <cell r="R1501">
            <v>3017000</v>
          </cell>
          <cell r="S1501">
            <v>431000</v>
          </cell>
          <cell r="T1501">
            <v>0</v>
          </cell>
          <cell r="U1501">
            <v>2586000</v>
          </cell>
          <cell r="V1501">
            <v>2586000</v>
          </cell>
        </row>
        <row r="1502">
          <cell r="J1502">
            <v>864</v>
          </cell>
          <cell r="K1502">
            <v>43139</v>
          </cell>
          <cell r="L1502" t="str">
            <v>ADRIANA  SIERRA</v>
          </cell>
          <cell r="M1502">
            <v>31</v>
          </cell>
          <cell r="N1502" t="str">
            <v>RESOLUCION</v>
          </cell>
          <cell r="O1502">
            <v>442</v>
          </cell>
          <cell r="P1502">
            <v>43139</v>
          </cell>
          <cell r="Q1502" t="str">
            <v>AYUDA TEMPORAL A LAS FAMILIAS DE VARIAS LOCALIDADES, PARA RELOCALIZACIÓN DE HOGARES LOCALIZADOS EN ZONAS DE ALTO RIESGO NO MITIGABLE ID:2014-OTR-00952, LOCALIDAD:19 CIUDAD BOLÍVAR, UPZ:67 LUCERO, SECTOR:TABOR ALTALOMA</v>
          </cell>
          <cell r="R1502">
            <v>3017000</v>
          </cell>
          <cell r="S1502">
            <v>431000</v>
          </cell>
          <cell r="T1502">
            <v>0</v>
          </cell>
          <cell r="U1502">
            <v>2586000</v>
          </cell>
          <cell r="V1502">
            <v>2586000</v>
          </cell>
        </row>
        <row r="1503">
          <cell r="J1503">
            <v>865</v>
          </cell>
          <cell r="K1503">
            <v>43139</v>
          </cell>
          <cell r="L1503" t="str">
            <v>JHON EDUARDO CABALLERO URRIAGO</v>
          </cell>
          <cell r="M1503">
            <v>31</v>
          </cell>
          <cell r="N1503" t="str">
            <v>RESOLUCION</v>
          </cell>
          <cell r="O1503">
            <v>443</v>
          </cell>
          <cell r="P1503">
            <v>43139</v>
          </cell>
          <cell r="Q1503" t="str">
            <v>AYUDA TEMPORAL A LAS FAMILIAS DE VARIAS LOCALIDADES, PARA RELOCALIZACIÓN DE HOGARES LOCALIZADOS EN ZONAS DE ALTO RIESGO NO MITIGABLE ID:2014-Q03-01081, LOCALIDAD:19 CIUDAD BOLÍVAR, UPZ:66 SAN FRANCISCO, SECTOR:LIMAS</v>
          </cell>
          <cell r="R1503">
            <v>2582006</v>
          </cell>
          <cell r="S1503">
            <v>368858</v>
          </cell>
          <cell r="T1503">
            <v>0</v>
          </cell>
          <cell r="U1503">
            <v>2213148</v>
          </cell>
          <cell r="V1503">
            <v>2213148</v>
          </cell>
        </row>
        <row r="1504">
          <cell r="J1504">
            <v>866</v>
          </cell>
          <cell r="K1504">
            <v>43139</v>
          </cell>
          <cell r="L1504" t="str">
            <v>ELIDA  MOÑA ISMARE</v>
          </cell>
          <cell r="M1504">
            <v>31</v>
          </cell>
          <cell r="N1504" t="str">
            <v>RESOLUCION</v>
          </cell>
          <cell r="O1504">
            <v>444</v>
          </cell>
          <cell r="P1504">
            <v>43139</v>
          </cell>
          <cell r="Q1504" t="str">
            <v>AYUDA TEMPORAL A LAS FAMILIAS DE VARIAS LOCALIDADES, PARA RELOCALIZACIÓN DE HOGARES LOCALIZADOS EN ZONAS DE ALTO RIESGO NO MITIGABLE ID:2015-W166-525, LOCALIDAD:05 USME, UPZ:59 ALFONSO LÓPEZ, SECTOR:WOUNAAN</v>
          </cell>
          <cell r="R1504">
            <v>6868797</v>
          </cell>
          <cell r="S1504">
            <v>0</v>
          </cell>
          <cell r="T1504">
            <v>0</v>
          </cell>
          <cell r="U1504">
            <v>6868797</v>
          </cell>
          <cell r="V1504">
            <v>4226952</v>
          </cell>
        </row>
        <row r="1505">
          <cell r="J1505">
            <v>867</v>
          </cell>
          <cell r="K1505">
            <v>43139</v>
          </cell>
          <cell r="L1505" t="str">
            <v>JOEL ANTONIO VARELA LUGO</v>
          </cell>
          <cell r="M1505">
            <v>31</v>
          </cell>
          <cell r="N1505" t="str">
            <v>RESOLUCION</v>
          </cell>
          <cell r="O1505">
            <v>445</v>
          </cell>
          <cell r="P1505">
            <v>43139</v>
          </cell>
          <cell r="Q1505" t="str">
            <v>AYUDA TEMPORAL A LAS FAMILIAS DE VARIAS LOCALIDADES, PARA RELOCALIZACIÓN DE HOGARES LOCALIZADOS EN ZONAS DE ALTO RIESGO NO MITIGABLE ID:2012-T314-16, LOCALIDAD:04 SAN CRISTÓBAL, UPZ:50 LA GLORIA</v>
          </cell>
          <cell r="R1505">
            <v>2334420</v>
          </cell>
          <cell r="S1505">
            <v>389070</v>
          </cell>
          <cell r="T1505">
            <v>0</v>
          </cell>
          <cell r="U1505">
            <v>1945350</v>
          </cell>
          <cell r="V1505">
            <v>1945350</v>
          </cell>
        </row>
        <row r="1506">
          <cell r="J1506">
            <v>868</v>
          </cell>
          <cell r="K1506">
            <v>43139</v>
          </cell>
          <cell r="L1506" t="str">
            <v>MARIA CRISTINA GALINDO MEDINA</v>
          </cell>
          <cell r="M1506">
            <v>31</v>
          </cell>
          <cell r="N1506" t="str">
            <v>RESOLUCION</v>
          </cell>
          <cell r="O1506">
            <v>446</v>
          </cell>
          <cell r="P1506">
            <v>43139</v>
          </cell>
          <cell r="Q1506" t="str">
            <v>AYUDA TEMPORAL A LAS FAMILIAS DE VARIAS LOCALIDADES, PARA RELOCALIZACIÓN DE HOGARES LOCALIZADOS EN ZONAS DE ALTO RIESGO NO MITIGABLE ID:2011-4-12676, LOCALIDAD:04 SAN CRISTÓBAL, UPZ:32 SAN BLAS</v>
          </cell>
          <cell r="R1506">
            <v>2087754</v>
          </cell>
          <cell r="S1506">
            <v>0</v>
          </cell>
          <cell r="T1506">
            <v>0</v>
          </cell>
          <cell r="U1506">
            <v>2087754</v>
          </cell>
          <cell r="V1506">
            <v>1739795</v>
          </cell>
        </row>
        <row r="1507">
          <cell r="J1507">
            <v>869</v>
          </cell>
          <cell r="K1507">
            <v>43139</v>
          </cell>
          <cell r="L1507" t="str">
            <v>JAQUELINE  LOPEZ PEREZ</v>
          </cell>
          <cell r="M1507">
            <v>31</v>
          </cell>
          <cell r="N1507" t="str">
            <v>RESOLUCION</v>
          </cell>
          <cell r="O1507">
            <v>447</v>
          </cell>
          <cell r="P1507">
            <v>43139</v>
          </cell>
          <cell r="Q1507" t="str">
            <v>AYUDA TEMPORAL A LAS FAMILIAS DE VARIAS LOCALIDADES, PARA RELOCALIZACIÓN DE HOGARES LOCALIZADOS EN ZONAS DE ALTO RIESGO NO MITIGABLE ID:2012-T314-10, LOCALIDAD:04 SAN CRISTÓBAL, UPZ:50 LA GLORIA</v>
          </cell>
          <cell r="R1507">
            <v>2244132</v>
          </cell>
          <cell r="S1507">
            <v>374022</v>
          </cell>
          <cell r="T1507">
            <v>0</v>
          </cell>
          <cell r="U1507">
            <v>1870110</v>
          </cell>
          <cell r="V1507">
            <v>1870110</v>
          </cell>
        </row>
        <row r="1508">
          <cell r="J1508">
            <v>870</v>
          </cell>
          <cell r="K1508">
            <v>43139</v>
          </cell>
          <cell r="L1508" t="str">
            <v>SILVIA ESPERANZA ALDANA PULIDO</v>
          </cell>
          <cell r="M1508">
            <v>31</v>
          </cell>
          <cell r="N1508" t="str">
            <v>RESOLUCION</v>
          </cell>
          <cell r="O1508">
            <v>448</v>
          </cell>
          <cell r="P1508">
            <v>43139</v>
          </cell>
          <cell r="Q1508" t="str">
            <v>AYUDA TEMPORAL A LAS FAMILIAS DE VARIAS LOCALIDADES, PARA RELOCALIZACIÓN DE HOGARES LOCALIZADOS EN ZONAS DE ALTO RIESGO NO MITIGABLE ID:2012-T314-12, LOCALIDAD:04 SAN CRISTÓBAL, UPZ:50 LA GLORIA</v>
          </cell>
          <cell r="R1508">
            <v>2334420</v>
          </cell>
          <cell r="S1508">
            <v>389070</v>
          </cell>
          <cell r="T1508">
            <v>0</v>
          </cell>
          <cell r="U1508">
            <v>1945350</v>
          </cell>
          <cell r="V1508">
            <v>1945350</v>
          </cell>
        </row>
        <row r="1509">
          <cell r="J1509">
            <v>871</v>
          </cell>
          <cell r="K1509">
            <v>43139</v>
          </cell>
          <cell r="L1509" t="str">
            <v>JOSE VICENTE RODRIGUEZ PARRA</v>
          </cell>
          <cell r="M1509">
            <v>31</v>
          </cell>
          <cell r="N1509" t="str">
            <v>RESOLUCION</v>
          </cell>
          <cell r="O1509">
            <v>449</v>
          </cell>
          <cell r="P1509">
            <v>43139</v>
          </cell>
          <cell r="Q1509" t="str">
            <v>AYUDA TEMPORAL A LAS FAMILIAS DE VARIAS LOCALIDADES, PARA RELOCALIZACIÓN DE HOGARES LOCALIZADOS EN ZONAS DE ALTO RIESGO NO MITIGABLE ID:2017-04-14932, LOCALIDAD:04 SAN CRISTÓBAL, UPZ:32 SAN BLAS, SECTOR:TRIANGULO ALTO</v>
          </cell>
          <cell r="R1509">
            <v>2655780</v>
          </cell>
          <cell r="S1509">
            <v>442630</v>
          </cell>
          <cell r="T1509">
            <v>0</v>
          </cell>
          <cell r="U1509">
            <v>2213150</v>
          </cell>
          <cell r="V1509">
            <v>2213150</v>
          </cell>
        </row>
        <row r="1510">
          <cell r="J1510">
            <v>872</v>
          </cell>
          <cell r="K1510">
            <v>43139</v>
          </cell>
          <cell r="L1510" t="str">
            <v>BEATRIZ  MORALES RUIZ</v>
          </cell>
          <cell r="M1510">
            <v>31</v>
          </cell>
          <cell r="N1510" t="str">
            <v>RESOLUCION</v>
          </cell>
          <cell r="O1510">
            <v>450</v>
          </cell>
          <cell r="P1510">
            <v>43139</v>
          </cell>
          <cell r="Q1510" t="str">
            <v>AYUDA TEMPORAL A LAS FAMILIAS DE VARIAS LOCALIDADES, PARA RELOCALIZACIÓN DE HOGARES LOCALIZADOS EN ZONAS DE ALTO RIESGO NO MITIGABLE ID:2012-T314-13, LOCALIDAD:04 SAN CRISTÓBAL, UPZ:50 LA GLORIA</v>
          </cell>
          <cell r="R1510">
            <v>2244132</v>
          </cell>
          <cell r="S1510">
            <v>374022</v>
          </cell>
          <cell r="T1510">
            <v>0</v>
          </cell>
          <cell r="U1510">
            <v>1870110</v>
          </cell>
          <cell r="V1510">
            <v>1496088</v>
          </cell>
        </row>
        <row r="1511">
          <cell r="J1511">
            <v>873</v>
          </cell>
          <cell r="K1511">
            <v>43139</v>
          </cell>
          <cell r="L1511" t="str">
            <v>ELIANA PATRICIA MORENO ARDILA</v>
          </cell>
          <cell r="M1511">
            <v>31</v>
          </cell>
          <cell r="N1511" t="str">
            <v>RESOLUCION</v>
          </cell>
          <cell r="O1511">
            <v>451</v>
          </cell>
          <cell r="P1511">
            <v>43139</v>
          </cell>
          <cell r="Q1511" t="str">
            <v>AYUDA TEMPORAL A LAS FAMILIAS DE VARIAS LOCALIDADES, PARA RELOCALIZACIÓN DE HOGARES LOCALIZADOS EN ZONAS DE ALTO RIESGO NO MITIGABLE ID:2013-Q10-00650, LOCALIDAD:04 SAN CRISTÓBAL, UPZ:51 LOS LIBERTADORES, SECTOR:QUEBRADA VEREJONES</v>
          </cell>
          <cell r="R1511">
            <v>2586000</v>
          </cell>
          <cell r="S1511">
            <v>431000</v>
          </cell>
          <cell r="T1511">
            <v>0</v>
          </cell>
          <cell r="U1511">
            <v>2155000</v>
          </cell>
          <cell r="V1511">
            <v>2155000</v>
          </cell>
        </row>
        <row r="1512">
          <cell r="J1512">
            <v>874</v>
          </cell>
          <cell r="K1512">
            <v>43139</v>
          </cell>
          <cell r="L1512" t="str">
            <v>LUIS HERNANDO VENTURA VIRGUEZ</v>
          </cell>
          <cell r="M1512">
            <v>31</v>
          </cell>
          <cell r="N1512" t="str">
            <v>RESOLUCION</v>
          </cell>
          <cell r="O1512">
            <v>452</v>
          </cell>
          <cell r="P1512">
            <v>43139</v>
          </cell>
          <cell r="Q1512" t="str">
            <v>AYUDA TEMPORAL A LAS FAMILIAS DE VARIAS LOCALIDADES, PARA RELOCALIZACIÓN DE HOGARES LOCALIZADOS EN ZONAS DE ALTO RIESGO NO MITIGABLE ID:2015-ALES-533, LOCALIDAD:19 CIUDAD BOLÍVAR, UPZ:69 ISMAEL PERDOMO, SECTOR:ALTOS DE LA ESTANCIA</v>
          </cell>
          <cell r="R1512">
            <v>2706270</v>
          </cell>
          <cell r="S1512">
            <v>451045</v>
          </cell>
          <cell r="T1512">
            <v>0</v>
          </cell>
          <cell r="U1512">
            <v>2255225</v>
          </cell>
          <cell r="V1512">
            <v>2255225</v>
          </cell>
        </row>
        <row r="1513">
          <cell r="J1513">
            <v>875</v>
          </cell>
          <cell r="K1513">
            <v>43139</v>
          </cell>
          <cell r="L1513" t="str">
            <v>SOLEDAD  PINO PEREZ</v>
          </cell>
          <cell r="M1513">
            <v>31</v>
          </cell>
          <cell r="N1513" t="str">
            <v>RESOLUCION</v>
          </cell>
          <cell r="O1513">
            <v>453</v>
          </cell>
          <cell r="P1513">
            <v>43139</v>
          </cell>
          <cell r="Q1513" t="str">
            <v>AYUDA TEMPORAL A LAS FAMILIAS DE VARIAS LOCALIDADES, PARA RELOCALIZACIÓN DE HOGARES LOCALIZADOS EN ZONAS DE ALTO RIESGO NO MITIGABLE ID:2012-T314-15, LOCALIDAD:04 SAN CRISTÓBAL, UPZ:50 LA GLORIA</v>
          </cell>
          <cell r="R1513">
            <v>2706492</v>
          </cell>
          <cell r="S1513">
            <v>451082</v>
          </cell>
          <cell r="T1513">
            <v>0</v>
          </cell>
          <cell r="U1513">
            <v>2255410</v>
          </cell>
          <cell r="V1513">
            <v>2255410</v>
          </cell>
        </row>
        <row r="1514">
          <cell r="J1514">
            <v>876</v>
          </cell>
          <cell r="K1514">
            <v>43139</v>
          </cell>
          <cell r="L1514" t="str">
            <v>MARTHA LILIANA PINO PEREZ</v>
          </cell>
          <cell r="M1514">
            <v>31</v>
          </cell>
          <cell r="N1514" t="str">
            <v>RESOLUCION</v>
          </cell>
          <cell r="O1514">
            <v>454</v>
          </cell>
          <cell r="P1514">
            <v>43139</v>
          </cell>
          <cell r="Q1514" t="str">
            <v>AYUDA TEMPORAL A LAS FAMILIAS DE VARIAS LOCALIDADES, PARA RELOCALIZACIÓN DE HOGARES LOCALIZADOS EN ZONAS DE ALTO RIESGO NO MITIGABLE ID:2012-T314-14, LOCALIDAD:04 SAN CRISTÓBAL, UPZ:50 LA GLORIA</v>
          </cell>
          <cell r="R1514">
            <v>2474634</v>
          </cell>
          <cell r="S1514">
            <v>412439</v>
          </cell>
          <cell r="T1514">
            <v>0</v>
          </cell>
          <cell r="U1514">
            <v>2062195</v>
          </cell>
          <cell r="V1514">
            <v>2062195</v>
          </cell>
        </row>
        <row r="1515">
          <cell r="J1515">
            <v>877</v>
          </cell>
          <cell r="K1515">
            <v>43139</v>
          </cell>
          <cell r="L1515" t="str">
            <v>JACOBA  MORENO GUERRERO</v>
          </cell>
          <cell r="M1515">
            <v>31</v>
          </cell>
          <cell r="N1515" t="str">
            <v>RESOLUCION</v>
          </cell>
          <cell r="O1515">
            <v>455</v>
          </cell>
          <cell r="P1515">
            <v>43139</v>
          </cell>
          <cell r="Q1515" t="str">
            <v>AYUDA TEMPORAL A LAS FAMILIAS DE VARIAS LOCALIDADES, PARA RELOCALIZACIÓN DE HOGARES LOCALIZADOS EN ZONAS DE ALTO RIESGO NO MITIGABLE ID:2014-OTR-00893, LOCALIDAD:03 SANTA FE, UPZ:96 LOURDES, SECTOR:CASA 3</v>
          </cell>
          <cell r="R1515">
            <v>2550450</v>
          </cell>
          <cell r="S1515">
            <v>425075</v>
          </cell>
          <cell r="T1515">
            <v>0</v>
          </cell>
          <cell r="U1515">
            <v>2125375</v>
          </cell>
          <cell r="V1515">
            <v>2125375</v>
          </cell>
        </row>
        <row r="1516">
          <cell r="J1516">
            <v>878</v>
          </cell>
          <cell r="K1516">
            <v>43139</v>
          </cell>
          <cell r="L1516" t="str">
            <v>MARLEN  BELTRAN CASTELLANOS</v>
          </cell>
          <cell r="M1516">
            <v>31</v>
          </cell>
          <cell r="N1516" t="str">
            <v>RESOLUCION</v>
          </cell>
          <cell r="O1516">
            <v>456</v>
          </cell>
          <cell r="P1516">
            <v>43139</v>
          </cell>
          <cell r="Q1516" t="str">
            <v>AYUDA TEMPORAL A LAS FAMILIAS DE VARIAS LOCALIDADES, PARA RELOCALIZACIÓN DE HOGARES LOCALIZADOS EN ZONAS DE ALTO RIESGO NO MITIGABLE ID:2011-4-12671, LOCALIDAD:04 SAN CRISTÓBAL, UPZ:32 SAN BLAS</v>
          </cell>
          <cell r="R1516">
            <v>2590566</v>
          </cell>
          <cell r="S1516">
            <v>431761</v>
          </cell>
          <cell r="T1516">
            <v>0</v>
          </cell>
          <cell r="U1516">
            <v>2158805</v>
          </cell>
          <cell r="V1516">
            <v>2158805</v>
          </cell>
        </row>
        <row r="1517">
          <cell r="J1517">
            <v>879</v>
          </cell>
          <cell r="K1517">
            <v>43139</v>
          </cell>
          <cell r="L1517" t="str">
            <v>MARIA DEL PILAR PINO PEREZ</v>
          </cell>
          <cell r="M1517">
            <v>31</v>
          </cell>
          <cell r="N1517" t="str">
            <v>RESOLUCION</v>
          </cell>
          <cell r="O1517">
            <v>457</v>
          </cell>
          <cell r="P1517">
            <v>43139</v>
          </cell>
          <cell r="Q1517" t="str">
            <v>AYUDA TEMPORAL A LAS FAMILIAS DE VARIAS LOCALIDADES, PARA RELOCALIZACIÓN DE HOGARES LOCALIZADOS EN ZONAS DE ALTO RIESGO NO MITIGABLE ID:2012-T314-06, LOCALIDAD:04 SAN CRISTÓBAL, UPZ:50 LA GLORIA</v>
          </cell>
          <cell r="R1517">
            <v>2590566</v>
          </cell>
          <cell r="S1517">
            <v>431761</v>
          </cell>
          <cell r="T1517">
            <v>0</v>
          </cell>
          <cell r="U1517">
            <v>2158805</v>
          </cell>
          <cell r="V1517">
            <v>2158805</v>
          </cell>
        </row>
        <row r="1518">
          <cell r="J1518">
            <v>880</v>
          </cell>
          <cell r="K1518">
            <v>43139</v>
          </cell>
          <cell r="L1518" t="str">
            <v>ROSARIO  PINO PEREZ</v>
          </cell>
          <cell r="M1518">
            <v>31</v>
          </cell>
          <cell r="N1518" t="str">
            <v>RESOLUCION</v>
          </cell>
          <cell r="O1518">
            <v>458</v>
          </cell>
          <cell r="P1518">
            <v>43139</v>
          </cell>
          <cell r="Q1518" t="str">
            <v>AYUDA TEMPORAL A LAS FAMILIAS DE VARIAS LOCALIDADES, PARA RELOCALIZACIÓN DE HOGARES LOCALIZADOS EN ZONAS DE ALTO RIESGO NO MITIGABLE ID:2012-T314-03, LOCALIDAD:04 SAN CRISTÓBAL, UPZ:50 LA GLORIA</v>
          </cell>
          <cell r="R1518">
            <v>2213148</v>
          </cell>
          <cell r="S1518">
            <v>368858</v>
          </cell>
          <cell r="T1518">
            <v>0</v>
          </cell>
          <cell r="U1518">
            <v>1844290</v>
          </cell>
          <cell r="V1518">
            <v>1844290</v>
          </cell>
        </row>
        <row r="1519">
          <cell r="J1519">
            <v>881</v>
          </cell>
          <cell r="K1519">
            <v>43139</v>
          </cell>
          <cell r="L1519" t="str">
            <v>AHIDA MARIBEL MARROQUIN GUEVARA</v>
          </cell>
          <cell r="M1519">
            <v>31</v>
          </cell>
          <cell r="N1519" t="str">
            <v>RESOLUCION</v>
          </cell>
          <cell r="O1519">
            <v>401</v>
          </cell>
          <cell r="P1519">
            <v>43139</v>
          </cell>
          <cell r="Q1519" t="str">
            <v>AYUDA TEMPORAL A LAS FAMILIAS DE VARIAS LOCALIDADES, PARA RELOCALIZACIÓN DE HOGARES LOCALIZADOS EN ZONAS DE ALTO RIESGO NO MITIGABLE ID:2014-Q03-01085, LOCALIDAD:19 CIUDAD BOLÍVAR, UPZ:66 SAN FRANCISCO, SECTOR:LIMAS</v>
          </cell>
          <cell r="R1519">
            <v>2887073</v>
          </cell>
          <cell r="S1519">
            <v>412439</v>
          </cell>
          <cell r="T1519">
            <v>0</v>
          </cell>
          <cell r="U1519">
            <v>2474634</v>
          </cell>
          <cell r="V1519">
            <v>2474634</v>
          </cell>
        </row>
        <row r="1520">
          <cell r="J1520">
            <v>882</v>
          </cell>
          <cell r="K1520">
            <v>43139</v>
          </cell>
          <cell r="L1520" t="str">
            <v>MARIA DOLORES AREVALO</v>
          </cell>
          <cell r="M1520">
            <v>31</v>
          </cell>
          <cell r="N1520" t="str">
            <v>RESOLUCION</v>
          </cell>
          <cell r="O1520">
            <v>402</v>
          </cell>
          <cell r="P1520">
            <v>43139</v>
          </cell>
          <cell r="Q1520" t="str">
            <v>AYUDA TEMPORAL A LAS FAMILIAS DE VARIAS LOCALIDADES, PARA RELOCALIZACIÓN DE HOGARES LOCALIZADOS EN ZONAS DE ALTO RIESGO NO MITIGABLE ID:2010-4-12312, LOCALIDAD:04 SAN CRISTÓBAL, UPZ:32 SAN BLAS, SECTOR:OLA INVERNAL 2010 FOPAE</v>
          </cell>
          <cell r="R1520">
            <v>5430984</v>
          </cell>
          <cell r="S1520">
            <v>0</v>
          </cell>
          <cell r="T1520">
            <v>0</v>
          </cell>
          <cell r="U1520">
            <v>5430984</v>
          </cell>
          <cell r="V1520">
            <v>3342144</v>
          </cell>
        </row>
        <row r="1521">
          <cell r="J1521">
            <v>883</v>
          </cell>
          <cell r="K1521">
            <v>43139</v>
          </cell>
          <cell r="L1521" t="str">
            <v>MARLENY  GARCIA VILLEGAS</v>
          </cell>
          <cell r="M1521">
            <v>31</v>
          </cell>
          <cell r="N1521" t="str">
            <v>RESOLUCION</v>
          </cell>
          <cell r="O1521">
            <v>403</v>
          </cell>
          <cell r="P1521">
            <v>43139</v>
          </cell>
          <cell r="Q1521" t="str">
            <v>AYUDA TEMPORAL A LAS FAMILIAS DE VARIAS LOCALIDADES, PARA RELOCALIZACIÓN DE HOGARES LOCALIZADOS EN ZONAS DE ALTO RIESGO NO MITIGABLE ID:2012-ALES-396, LOCALIDAD:19 CIUDAD BOLÍVAR, UPZ:69 ISMAEL PERDOMO, SECTOR:ALTOS DE LA ESTANCIA</v>
          </cell>
          <cell r="R1521">
            <v>3157000</v>
          </cell>
          <cell r="S1521">
            <v>451000</v>
          </cell>
          <cell r="T1521">
            <v>0</v>
          </cell>
          <cell r="U1521">
            <v>2706000</v>
          </cell>
          <cell r="V1521">
            <v>2706000</v>
          </cell>
        </row>
        <row r="1522">
          <cell r="J1522">
            <v>884</v>
          </cell>
          <cell r="K1522">
            <v>43139</v>
          </cell>
          <cell r="L1522" t="str">
            <v>MARIA ELVIA CHIVATA IBAGUE</v>
          </cell>
          <cell r="M1522">
            <v>31</v>
          </cell>
          <cell r="N1522" t="str">
            <v>RESOLUCION</v>
          </cell>
          <cell r="O1522">
            <v>404</v>
          </cell>
          <cell r="P1522">
            <v>43139</v>
          </cell>
          <cell r="Q1522" t="str">
            <v>AYUDA TEMPORAL A LAS FAMILIAS DE VARIAS LOCALIDADES, PARA RELOCALIZACIÓN DE HOGARES LOCALIZADOS EN ZONAS DE ALTO RIESGO NO MITIGABLE ID:2014-OTR-01048, LOCALIDAD:19 CIUDAD BOLÍVAR, UPZ:67 LUCERO, SECTOR:TABOR ALTALOMA</v>
          </cell>
          <cell r="R1522">
            <v>3157315</v>
          </cell>
          <cell r="S1522">
            <v>451045</v>
          </cell>
          <cell r="T1522">
            <v>0</v>
          </cell>
          <cell r="U1522">
            <v>2706270</v>
          </cell>
          <cell r="V1522">
            <v>2706270</v>
          </cell>
        </row>
        <row r="1523">
          <cell r="J1523">
            <v>885</v>
          </cell>
          <cell r="K1523">
            <v>43139</v>
          </cell>
          <cell r="L1523" t="str">
            <v>DENIS ALEXANDER BAÑOL ARIAS</v>
          </cell>
          <cell r="M1523">
            <v>31</v>
          </cell>
          <cell r="N1523" t="str">
            <v>RESOLUCION</v>
          </cell>
          <cell r="O1523">
            <v>405</v>
          </cell>
          <cell r="P1523">
            <v>43139</v>
          </cell>
          <cell r="Q1523" t="str">
            <v>AYUDA TEMPORAL A LAS FAMILIAS DE VARIAS LOCALIDADES, PARA RELOCALIZACIÓN DE HOGARES LOCALIZADOS EN ZONAS DE ALTO RIESGO NO MITIGABLE ID:2016-08-14838, LOCALIDAD:08 KENNEDY, UPZ:82 PATIO BONITO, SECTOR:PALMITAS</v>
          </cell>
          <cell r="R1523">
            <v>4795154</v>
          </cell>
          <cell r="S1523">
            <v>0</v>
          </cell>
          <cell r="T1523">
            <v>0</v>
          </cell>
          <cell r="U1523">
            <v>4795154</v>
          </cell>
          <cell r="V1523">
            <v>2213148</v>
          </cell>
        </row>
        <row r="1524">
          <cell r="J1524">
            <v>886</v>
          </cell>
          <cell r="K1524">
            <v>43139</v>
          </cell>
          <cell r="L1524" t="str">
            <v>MARIA GRACIELA ALONSO PIÑEROS</v>
          </cell>
          <cell r="M1524">
            <v>31</v>
          </cell>
          <cell r="N1524" t="str">
            <v>RESOLUCION</v>
          </cell>
          <cell r="O1524">
            <v>406</v>
          </cell>
          <cell r="P1524">
            <v>43139</v>
          </cell>
          <cell r="Q1524" t="str">
            <v>AYUDA TEMPORAL A LAS FAMILIAS DE VARIAS LOCALIDADES, PARA RELOCALIZACIÓN DE HOGARES LOCALIZADOS EN ZONAS DE ALTO RIESGO NO MITIGABLE ID:2013-Q04-00413, LOCALIDAD:19 CIUDAD BOLÍVAR, UPZ:67 LUCERO, SECTOR:PEÑA COLORADA</v>
          </cell>
          <cell r="R1524">
            <v>6005142</v>
          </cell>
          <cell r="S1524">
            <v>0</v>
          </cell>
          <cell r="T1524">
            <v>0</v>
          </cell>
          <cell r="U1524">
            <v>6005142</v>
          </cell>
          <cell r="V1524">
            <v>3695472</v>
          </cell>
        </row>
        <row r="1525">
          <cell r="J1525">
            <v>887</v>
          </cell>
          <cell r="K1525">
            <v>43139</v>
          </cell>
          <cell r="L1525" t="str">
            <v>MARIA EMILIA CELY SANCHEZ</v>
          </cell>
          <cell r="M1525">
            <v>31</v>
          </cell>
          <cell r="N1525" t="str">
            <v>RESOLUCION</v>
          </cell>
          <cell r="O1525">
            <v>407</v>
          </cell>
          <cell r="P1525">
            <v>43139</v>
          </cell>
          <cell r="Q1525" t="str">
            <v>AYUDA TEMPORAL A LAS FAMILIAS DE VARIAS LOCALIDADES, PARA RELOCALIZACIÓN DE HOGARES LOCALIZADOS EN ZONAS DE ALTO RIESGO NO MITIGABLE ID:2011-4-12634, LOCALIDAD:04 SAN CRISTÓBAL, UPZ:32 SAN BLAS</v>
          </cell>
          <cell r="R1525">
            <v>2397348</v>
          </cell>
          <cell r="S1525">
            <v>399558</v>
          </cell>
          <cell r="T1525">
            <v>0</v>
          </cell>
          <cell r="U1525">
            <v>1997790</v>
          </cell>
          <cell r="V1525">
            <v>1997790</v>
          </cell>
        </row>
        <row r="1526">
          <cell r="J1526">
            <v>888</v>
          </cell>
          <cell r="K1526">
            <v>43139</v>
          </cell>
          <cell r="L1526" t="str">
            <v>GLORIA INES BEDOYA CORREA</v>
          </cell>
          <cell r="M1526">
            <v>31</v>
          </cell>
          <cell r="N1526" t="str">
            <v>RESOLUCION</v>
          </cell>
          <cell r="O1526">
            <v>408</v>
          </cell>
          <cell r="P1526">
            <v>43139</v>
          </cell>
          <cell r="Q1526" t="str">
            <v>AYUDA TEMPORAL A LAS FAMILIAS DE VARIAS LOCALIDADES, PARA RELOCALIZACIÓN DE HOGARES LOCALIZADOS EN ZONAS DE ALTO RIESGO NO MITIGABLE ID:2016-08-14798, LOCALIDAD:08 KENNEDY, UPZ:82 PATIO BONITO, SECTOR:PALMITAS</v>
          </cell>
          <cell r="R1526">
            <v>7617116</v>
          </cell>
          <cell r="S1526">
            <v>0</v>
          </cell>
          <cell r="T1526">
            <v>0</v>
          </cell>
          <cell r="U1526">
            <v>7617116</v>
          </cell>
          <cell r="V1526">
            <v>4687456</v>
          </cell>
        </row>
        <row r="1527">
          <cell r="J1527">
            <v>889</v>
          </cell>
          <cell r="K1527">
            <v>43139</v>
          </cell>
          <cell r="L1527" t="str">
            <v>NANCY BRIYITH TORRES ALFONSO</v>
          </cell>
          <cell r="M1527">
            <v>31</v>
          </cell>
          <cell r="N1527" t="str">
            <v>RESOLUCION</v>
          </cell>
          <cell r="O1527">
            <v>409</v>
          </cell>
          <cell r="P1527">
            <v>43139</v>
          </cell>
          <cell r="Q1527" t="str">
            <v>AYUDA TEMPORAL A LAS FAMILIAS DE VARIAS LOCALIDADES, PARA RELOCALIZACIÓN DE HOGARES LOCALIZADOS EN ZONAS DE ALTO RIESGO NO MITIGABLE ID:2007-18-9400, LOCALIDAD:18 RAFAEL URIBE URIBE, UPZ:55 DIANA TURBAY</v>
          </cell>
          <cell r="R1527">
            <v>3563588</v>
          </cell>
          <cell r="S1527">
            <v>509084</v>
          </cell>
          <cell r="T1527">
            <v>0</v>
          </cell>
          <cell r="U1527">
            <v>3054504</v>
          </cell>
          <cell r="V1527">
            <v>3054504</v>
          </cell>
        </row>
        <row r="1528">
          <cell r="J1528">
            <v>890</v>
          </cell>
          <cell r="K1528">
            <v>43139</v>
          </cell>
          <cell r="L1528" t="str">
            <v>MARTHA LUCIA AREVALO SALINAS</v>
          </cell>
          <cell r="M1528">
            <v>31</v>
          </cell>
          <cell r="N1528" t="str">
            <v>RESOLUCION</v>
          </cell>
          <cell r="O1528">
            <v>410</v>
          </cell>
          <cell r="P1528">
            <v>43139</v>
          </cell>
          <cell r="Q1528" t="str">
            <v>AYUDA TEMPORAL A LAS FAMILIAS DE VARIAS LOCALIDADES, PARA RELOCALIZACIÓN DE HOGARES LOCALIZADOS EN ZONAS DE ALTO RIESGO NO MITIGABLE ID:2012-4-14199, LOCALIDAD:04 SAN CRISTÓBAL, UPZ:32 SAN BLAS</v>
          </cell>
          <cell r="R1528">
            <v>2618154</v>
          </cell>
          <cell r="S1528">
            <v>374022</v>
          </cell>
          <cell r="T1528">
            <v>0</v>
          </cell>
          <cell r="U1528">
            <v>2244132</v>
          </cell>
          <cell r="V1528">
            <v>2244132</v>
          </cell>
        </row>
        <row r="1529">
          <cell r="J1529">
            <v>891</v>
          </cell>
          <cell r="K1529">
            <v>43139</v>
          </cell>
          <cell r="L1529" t="str">
            <v>GLORIA LISBRTH OCAMPO ESPINOSA</v>
          </cell>
          <cell r="M1529">
            <v>31</v>
          </cell>
          <cell r="N1529" t="str">
            <v>RESOLUCION</v>
          </cell>
          <cell r="O1529">
            <v>411</v>
          </cell>
          <cell r="P1529">
            <v>43139</v>
          </cell>
          <cell r="Q1529" t="str">
            <v>AYUDA TEMPORAL A LAS FAMILIAS DE VARIAS LOCALIDADES, PARA RELOCALIZACIÓN DE HOGARES LOCALIZADOS EN ZONAS DE ALTO RIESGO NO MITIGABLE ID:2014-Q01-01032, LOCALIDAD:05 USME, UPZ:56 DANUBIO, SECTOR:HOYA DEL RAMO</v>
          </cell>
          <cell r="R1529">
            <v>3356612</v>
          </cell>
          <cell r="S1529">
            <v>0</v>
          </cell>
          <cell r="T1529">
            <v>0</v>
          </cell>
          <cell r="U1529">
            <v>3356612</v>
          </cell>
          <cell r="V1529">
            <v>1918064</v>
          </cell>
        </row>
        <row r="1530">
          <cell r="J1530">
            <v>892</v>
          </cell>
          <cell r="K1530">
            <v>43139</v>
          </cell>
          <cell r="L1530" t="str">
            <v>DORIS  DIAZ CASTILLO</v>
          </cell>
          <cell r="M1530">
            <v>31</v>
          </cell>
          <cell r="N1530" t="str">
            <v>RESOLUCION</v>
          </cell>
          <cell r="O1530">
            <v>412</v>
          </cell>
          <cell r="P1530">
            <v>43139</v>
          </cell>
          <cell r="Q1530" t="str">
            <v>AYUDA TEMPORAL A LAS FAMILIAS DE VARIAS LOCALIDADES, PARA RELOCALIZACIÓN DE HOGARES LOCALIZADOS EN ZONAS DE ALTO RIESGO NO MITIGABLE ID:2011-4-12721, LOCALIDAD:04 SAN CRISTÓBAL, UPZ:32 SAN BLAS</v>
          </cell>
          <cell r="R1530">
            <v>2530367</v>
          </cell>
          <cell r="S1530">
            <v>361481</v>
          </cell>
          <cell r="T1530">
            <v>0</v>
          </cell>
          <cell r="U1530">
            <v>2168886</v>
          </cell>
          <cell r="V1530">
            <v>2168886</v>
          </cell>
        </row>
        <row r="1531">
          <cell r="J1531">
            <v>893</v>
          </cell>
          <cell r="K1531">
            <v>43139</v>
          </cell>
          <cell r="L1531" t="str">
            <v>JOSE ALBEIRO CASTAÑO RIVERA</v>
          </cell>
          <cell r="M1531">
            <v>31</v>
          </cell>
          <cell r="N1531" t="str">
            <v>RESOLUCION</v>
          </cell>
          <cell r="O1531">
            <v>413</v>
          </cell>
          <cell r="P1531">
            <v>43139</v>
          </cell>
          <cell r="Q1531" t="str">
            <v>AYUDA TEMPORAL A LAS FAMILIAS DE VARIAS LOCALIDADES, PARA RELOCALIZACIÓN DE HOGARES LOCALIZADOS EN ZONAS DE ALTO RIESGO NO MITIGABLE ID:2011-5-13024, LOCALIDAD:05 USME, UPZ:56 DANUBIO</v>
          </cell>
          <cell r="R1531">
            <v>2849392</v>
          </cell>
          <cell r="S1531">
            <v>407056</v>
          </cell>
          <cell r="T1531">
            <v>0</v>
          </cell>
          <cell r="U1531">
            <v>2442336</v>
          </cell>
          <cell r="V1531">
            <v>2442336</v>
          </cell>
        </row>
        <row r="1532">
          <cell r="J1532">
            <v>894</v>
          </cell>
          <cell r="K1532">
            <v>43139</v>
          </cell>
          <cell r="L1532" t="str">
            <v>MARIA CARMEN ROSA PAEZ</v>
          </cell>
          <cell r="M1532">
            <v>31</v>
          </cell>
          <cell r="N1532" t="str">
            <v>RESOLUCION</v>
          </cell>
          <cell r="O1532">
            <v>414</v>
          </cell>
          <cell r="P1532">
            <v>43139</v>
          </cell>
          <cell r="Q1532" t="str">
            <v>AYUDA TEMPORAL A LAS FAMILIAS DE VARIAS LOCALIDADES, PARA RELOCALIZACIÓN DE HOGARES LOCALIZADOS EN ZONAS DE ALTO RIESGO NO MITIGABLE ID:2013-Q10-00247, LOCALIDAD:04 SAN CRISTÓBAL, UPZ:51 LOS LIBERTADORES, SECTOR:QUEBRADA VEREJONES</v>
          </cell>
          <cell r="R1532">
            <v>3788778</v>
          </cell>
          <cell r="S1532">
            <v>541254</v>
          </cell>
          <cell r="T1532">
            <v>0</v>
          </cell>
          <cell r="U1532">
            <v>3247524</v>
          </cell>
          <cell r="V1532">
            <v>3247524</v>
          </cell>
        </row>
        <row r="1533">
          <cell r="J1533">
            <v>895</v>
          </cell>
          <cell r="K1533">
            <v>43139</v>
          </cell>
          <cell r="L1533" t="str">
            <v>MABIL  BOBADILLA</v>
          </cell>
          <cell r="M1533">
            <v>31</v>
          </cell>
          <cell r="N1533" t="str">
            <v>RESOLUCION</v>
          </cell>
          <cell r="O1533">
            <v>415</v>
          </cell>
          <cell r="P1533">
            <v>43139</v>
          </cell>
          <cell r="Q1533" t="str">
            <v>AYUDA TEMPORAL A LAS FAMILIAS DE VARIAS LOCALIDADES, PARA RELOCALIZACIÓN DE HOGARES LOCALIZADOS EN ZONAS DE ALTO RIESGO NO MITIGABLE ID:2014-OTR-00873, LOCALIDAD:03 SANTA FE, UPZ:96 LOURDES, SECTOR:CASA 1</v>
          </cell>
          <cell r="R1533">
            <v>3015588</v>
          </cell>
          <cell r="S1533">
            <v>502598</v>
          </cell>
          <cell r="T1533">
            <v>0</v>
          </cell>
          <cell r="U1533">
            <v>2512990</v>
          </cell>
          <cell r="V1533">
            <v>2512990</v>
          </cell>
        </row>
        <row r="1534">
          <cell r="J1534">
            <v>896</v>
          </cell>
          <cell r="K1534">
            <v>43139</v>
          </cell>
          <cell r="L1534" t="str">
            <v>LUIS CUSTODIO MARQUEZ SUEROKE</v>
          </cell>
          <cell r="M1534">
            <v>31</v>
          </cell>
          <cell r="N1534" t="str">
            <v>RESOLUCION</v>
          </cell>
          <cell r="O1534">
            <v>416</v>
          </cell>
          <cell r="P1534">
            <v>43139</v>
          </cell>
          <cell r="Q1534" t="str">
            <v>AYUDA TEMPORAL A LAS FAMILIAS DE VARIAS LOCALIDADES, PARA RELOCALIZACIÓN DE HOGARES LOCALIZADOS EN ZONAS DE ALTO RIESGO NO MITIGABLE ID:2015-W166-507, LOCALIDAD:03 SANTA FE, UPZ:92 LA MACARENA, SECTOR:UITOTO</v>
          </cell>
          <cell r="R1534">
            <v>6868797</v>
          </cell>
          <cell r="S1534">
            <v>0</v>
          </cell>
          <cell r="T1534">
            <v>0</v>
          </cell>
          <cell r="U1534">
            <v>6868797</v>
          </cell>
          <cell r="V1534">
            <v>4226952</v>
          </cell>
        </row>
        <row r="1535">
          <cell r="J1535">
            <v>897</v>
          </cell>
          <cell r="K1535">
            <v>43139</v>
          </cell>
          <cell r="L1535" t="str">
            <v>HENRY STEVEN AGUILERA BENITEZ</v>
          </cell>
          <cell r="M1535">
            <v>31</v>
          </cell>
          <cell r="N1535" t="str">
            <v>RESOLUCION</v>
          </cell>
          <cell r="O1535">
            <v>417</v>
          </cell>
          <cell r="P1535">
            <v>43139</v>
          </cell>
          <cell r="Q1535" t="str">
            <v>AYUDA TEMPORAL A LAS FAMILIAS DE VARIAS LOCALIDADES, PARA RELOCALIZACIÓN DE HOGARES LOCALIZADOS EN ZONAS DE ALTO RIESGO NO MITIGABLE ID:2015-Q03-01474, LOCALIDAD:19 CIUDAD BOLÍVAR, UPZ:66 SAN FRANCISCO, SECTOR:LIMAS</v>
          </cell>
          <cell r="R1535">
            <v>2213148</v>
          </cell>
          <cell r="S1535">
            <v>368858</v>
          </cell>
          <cell r="T1535">
            <v>0</v>
          </cell>
          <cell r="U1535">
            <v>1844290</v>
          </cell>
          <cell r="V1535">
            <v>1844290</v>
          </cell>
        </row>
        <row r="1536">
          <cell r="J1536">
            <v>898</v>
          </cell>
          <cell r="K1536">
            <v>43139</v>
          </cell>
          <cell r="L1536" t="str">
            <v>EFRAIN  TORRES</v>
          </cell>
          <cell r="M1536">
            <v>31</v>
          </cell>
          <cell r="N1536" t="str">
            <v>RESOLUCION</v>
          </cell>
          <cell r="O1536">
            <v>418</v>
          </cell>
          <cell r="P1536">
            <v>43139</v>
          </cell>
          <cell r="Q1536" t="str">
            <v>AYUDA TEMPORAL A LAS FAMILIAS DE VARIAS LOCALIDADES, PARA RELOCALIZACIÓN DE HOGARES LOCALIZADOS EN ZONAS DE ALTO RIESGO NO MITIGABLE ID:2012-19-14090, LOCALIDAD:19 CIUDAD BOLÍVAR, UPZ:68 EL TESORO, SECTOR:QUEBRADA TROMPETA</v>
          </cell>
          <cell r="R1536">
            <v>2435382</v>
          </cell>
          <cell r="S1536">
            <v>405897</v>
          </cell>
          <cell r="T1536">
            <v>0</v>
          </cell>
          <cell r="U1536">
            <v>2029485</v>
          </cell>
          <cell r="V1536">
            <v>2029485</v>
          </cell>
        </row>
        <row r="1537">
          <cell r="J1537">
            <v>899</v>
          </cell>
          <cell r="K1537">
            <v>43139</v>
          </cell>
          <cell r="L1537" t="str">
            <v>DIANA MARIA LOPEZ GOMEZ</v>
          </cell>
          <cell r="M1537">
            <v>31</v>
          </cell>
          <cell r="N1537" t="str">
            <v>RESOLUCION</v>
          </cell>
          <cell r="O1537">
            <v>419</v>
          </cell>
          <cell r="P1537">
            <v>43139</v>
          </cell>
          <cell r="Q1537" t="str">
            <v>AYUDA TEMPORAL A LAS FAMILIAS DE VARIAS LOCALIDADES, PARA RELOCALIZACIÓN DE HOGARES LOCALIZADOS EN ZONAS DE ALTO RIESGO NO MITIGABLE ID:2015-D227-00006, LOCALIDAD:04 SAN CRISTÓBAL, UPZ:51 LOS LIBERTADORES, SECTOR:SANTA TERESITA</v>
          </cell>
          <cell r="R1537">
            <v>7538609</v>
          </cell>
          <cell r="S1537">
            <v>0</v>
          </cell>
          <cell r="T1537">
            <v>0</v>
          </cell>
          <cell r="U1537">
            <v>7538609</v>
          </cell>
          <cell r="V1537">
            <v>3479358</v>
          </cell>
        </row>
        <row r="1538">
          <cell r="J1538">
            <v>900</v>
          </cell>
          <cell r="K1538">
            <v>43139</v>
          </cell>
          <cell r="L1538" t="str">
            <v>YUDY ZULEYDI TORRES MUÑOZ</v>
          </cell>
          <cell r="M1538">
            <v>31</v>
          </cell>
          <cell r="N1538" t="str">
            <v>RESOLUCION</v>
          </cell>
          <cell r="O1538">
            <v>420</v>
          </cell>
          <cell r="P1538">
            <v>43139</v>
          </cell>
          <cell r="Q1538" t="str">
            <v>AYUDA TEMPORAL A LAS FAMILIAS DE VARIAS LOCALIDADES, PARA RELOCALIZACIÓN DE HOGARES LOCALIZADOS EN ZONAS DE ALTO RIESGO NO MITIGABLE ID:2015-OTR-01373, LOCALIDAD:11 SUBA, UPZ:71 TIBABUYES, SECTOR:GAVILANES</v>
          </cell>
          <cell r="R1538">
            <v>4027933</v>
          </cell>
          <cell r="S1538">
            <v>575419</v>
          </cell>
          <cell r="T1538">
            <v>0</v>
          </cell>
          <cell r="U1538">
            <v>3452514</v>
          </cell>
          <cell r="V1538">
            <v>3452514</v>
          </cell>
        </row>
        <row r="1539">
          <cell r="J1539">
            <v>901</v>
          </cell>
          <cell r="K1539">
            <v>43139</v>
          </cell>
          <cell r="L1539" t="str">
            <v>CLAUDIA CASTRO PENAGOS</v>
          </cell>
          <cell r="M1539">
            <v>31</v>
          </cell>
          <cell r="N1539" t="str">
            <v>RESOLUCION</v>
          </cell>
          <cell r="O1539">
            <v>421</v>
          </cell>
          <cell r="P1539">
            <v>43139</v>
          </cell>
          <cell r="Q1539" t="str">
            <v>AYUDA TEMPORAL A LAS FAMILIAS DE VARIAS LOCALIDADES, PARA RELOCALIZACIÓN DE HOGARES LOCALIZADOS EN ZONAS DE ALTO RIESGO NO MITIGABLE ID:1999-18-2316, LOCALIDAD:18 RAFAEL URIBE URIBE, UPZ:53 MARCO FIDEL SUÁREZ</v>
          </cell>
          <cell r="R1539">
            <v>7455071</v>
          </cell>
          <cell r="S1539">
            <v>0</v>
          </cell>
          <cell r="T1539">
            <v>0</v>
          </cell>
          <cell r="U1539">
            <v>7455071</v>
          </cell>
          <cell r="V1539">
            <v>4587736</v>
          </cell>
        </row>
        <row r="1540">
          <cell r="J1540">
            <v>902</v>
          </cell>
          <cell r="K1540">
            <v>43139</v>
          </cell>
          <cell r="L1540" t="str">
            <v>KIRFAFA  CARPIO MEMBACHE</v>
          </cell>
          <cell r="M1540">
            <v>31</v>
          </cell>
          <cell r="N1540" t="str">
            <v>RESOLUCION</v>
          </cell>
          <cell r="O1540">
            <v>422</v>
          </cell>
          <cell r="P1540">
            <v>43139</v>
          </cell>
          <cell r="Q1540" t="str">
            <v>AYUDA TEMPORAL A LAS FAMILIAS DE VARIAS LOCALIDADES, PARA RELOCALIZACIÓN DE HOGARES LOCALIZADOS EN ZONAS DE ALTO RIESGO NO MITIGABLE ID:2014-W166-075, LOCALIDAD:19 CIUDAD BOLÍVAR, UPZ:68 EL TESORO, SECTOR:WOUNAAN</v>
          </cell>
          <cell r="R1540">
            <v>5285280</v>
          </cell>
          <cell r="S1540">
            <v>0</v>
          </cell>
          <cell r="T1540">
            <v>0</v>
          </cell>
          <cell r="U1540">
            <v>5285280</v>
          </cell>
          <cell r="V1540">
            <v>3252480</v>
          </cell>
        </row>
        <row r="1541">
          <cell r="J1541">
            <v>903</v>
          </cell>
          <cell r="K1541">
            <v>43139</v>
          </cell>
          <cell r="L1541" t="str">
            <v>GERTRUDIS  MORALES TOMBE</v>
          </cell>
          <cell r="M1541">
            <v>31</v>
          </cell>
          <cell r="N1541" t="str">
            <v>RESOLUCION</v>
          </cell>
          <cell r="O1541">
            <v>423</v>
          </cell>
          <cell r="P1541">
            <v>43139</v>
          </cell>
          <cell r="Q1541" t="str">
            <v>AYUDA TEMPORAL A LAS FAMILIAS DE VARIAS LOCALIDADES, PARA RELOCALIZACIÓN DE HOGARES LOCALIZADOS EN ZONAS DE ALTO RIESGO NO MITIGABLE ID:2013-Q09-00429, LOCALIDAD:19 CIUDAD BOLÍVAR, UPZ:67 LUCERO, SECTOR:QUEBRADA TROMPETA</v>
          </cell>
          <cell r="R1541">
            <v>3459890</v>
          </cell>
          <cell r="S1541">
            <v>494270</v>
          </cell>
          <cell r="T1541">
            <v>0</v>
          </cell>
          <cell r="U1541">
            <v>2965620</v>
          </cell>
          <cell r="V1541">
            <v>2965620</v>
          </cell>
        </row>
        <row r="1542">
          <cell r="J1542">
            <v>904</v>
          </cell>
          <cell r="K1542">
            <v>43139</v>
          </cell>
          <cell r="L1542" t="str">
            <v>SANDRA SUGEY BELTRAN</v>
          </cell>
          <cell r="M1542">
            <v>31</v>
          </cell>
          <cell r="N1542" t="str">
            <v>RESOLUCION</v>
          </cell>
          <cell r="O1542">
            <v>424</v>
          </cell>
          <cell r="P1542">
            <v>43139</v>
          </cell>
          <cell r="Q1542" t="str">
            <v>AYUDA TEMPORAL A LAS FAMILIAS DE VARIAS LOCALIDADES, PARA RELOCALIZACIÓN DE HOGARES LOCALIZADOS EN ZONAS DE ALTO RIESGO NO MITIGABLE ID:2011-4-12653, LOCALIDAD:04 SAN CRISTÓBAL, UPZ:32 SAN BLAS</v>
          </cell>
          <cell r="R1542">
            <v>3112753</v>
          </cell>
          <cell r="S1542">
            <v>444679</v>
          </cell>
          <cell r="T1542">
            <v>0</v>
          </cell>
          <cell r="U1542">
            <v>2668074</v>
          </cell>
          <cell r="V1542">
            <v>2668074</v>
          </cell>
        </row>
        <row r="1543">
          <cell r="J1543">
            <v>905</v>
          </cell>
          <cell r="K1543">
            <v>43139</v>
          </cell>
          <cell r="L1543" t="str">
            <v>ANA ISABEL TORRES LOPEZ</v>
          </cell>
          <cell r="M1543">
            <v>31</v>
          </cell>
          <cell r="N1543" t="str">
            <v>RESOLUCION</v>
          </cell>
          <cell r="O1543">
            <v>522</v>
          </cell>
          <cell r="P1543">
            <v>43139</v>
          </cell>
          <cell r="Q1543" t="str">
            <v>AYUDA TEMPORAL A LAS FAMILIAS DE VARIAS LOCALIDADES, PARA RELOCALIZACIÓN DE HOGARES LOCALIZADOS EN ZONAS DE ALTO RIESGO NO MITIGABLE ID:2013-Q10-00501, LOCALIDAD:04 SAN CRISTÓBAL, UPZ:51 LOS LIBERTADORES, SECTOR:QUEBRADA VEREJONES</v>
          </cell>
          <cell r="R1543">
            <v>5466487</v>
          </cell>
          <cell r="S1543">
            <v>0</v>
          </cell>
          <cell r="T1543">
            <v>0</v>
          </cell>
          <cell r="U1543">
            <v>5466487</v>
          </cell>
          <cell r="V1543">
            <v>2943493</v>
          </cell>
        </row>
        <row r="1544">
          <cell r="J1544">
            <v>906</v>
          </cell>
          <cell r="K1544">
            <v>43139</v>
          </cell>
          <cell r="L1544" t="str">
            <v>ISABEL  UPUA MEMBACHE</v>
          </cell>
          <cell r="M1544">
            <v>31</v>
          </cell>
          <cell r="N1544" t="str">
            <v>RESOLUCION</v>
          </cell>
          <cell r="O1544">
            <v>523</v>
          </cell>
          <cell r="P1544">
            <v>43139</v>
          </cell>
          <cell r="Q1544" t="str">
            <v>AYUDA TEMPORAL A LAS FAMILIAS DE VARIAS LOCALIDADES, PARA RELOCALIZACIÓN DE HOGARES LOCALIZADOS EN ZONAS DE ALTO RIESGO NO MITIGABLE ID:2015-W166-436, LOCALIDAD:19 CIUDAD BOLÍVAR, UPZ:68 EL TESORO, SECTOR:WOUNAAN</v>
          </cell>
          <cell r="R1544">
            <v>7020000</v>
          </cell>
          <cell r="S1544">
            <v>7020000</v>
          </cell>
          <cell r="T1544">
            <v>0</v>
          </cell>
          <cell r="U1544">
            <v>0</v>
          </cell>
          <cell r="V1544">
            <v>0</v>
          </cell>
        </row>
        <row r="1545">
          <cell r="J1545">
            <v>907</v>
          </cell>
          <cell r="K1545">
            <v>43139</v>
          </cell>
          <cell r="L1545" t="str">
            <v>JOSE MILLER NARANJO MANJARRES</v>
          </cell>
          <cell r="M1545">
            <v>31</v>
          </cell>
          <cell r="N1545" t="str">
            <v>RESOLUCION</v>
          </cell>
          <cell r="O1545">
            <v>524</v>
          </cell>
          <cell r="P1545">
            <v>43139</v>
          </cell>
          <cell r="Q1545" t="str">
            <v>AYUDA TEMPORAL A LAS FAMILIAS DE VARIAS LOCALIDADES, PARA RELOCALIZACIÓN DE HOGARES LOCALIZADOS EN ZONAS DE ALTO RIESGO NO MITIGABLE ID:2011-19-12566, LOCALIDAD:19 CIUDAD BOLÍVAR, UPZ:69 ISMAEL PERDOMO, SECTOR:OLA INVERNAL 2010 FOPAE</v>
          </cell>
          <cell r="R1545">
            <v>3157574</v>
          </cell>
          <cell r="S1545">
            <v>2255410</v>
          </cell>
          <cell r="T1545">
            <v>0</v>
          </cell>
          <cell r="U1545">
            <v>902164</v>
          </cell>
          <cell r="V1545">
            <v>902164</v>
          </cell>
        </row>
        <row r="1546">
          <cell r="J1546">
            <v>908</v>
          </cell>
          <cell r="K1546">
            <v>43139</v>
          </cell>
          <cell r="L1546" t="str">
            <v>HECTOR DANILO FORERO PALACIO</v>
          </cell>
          <cell r="M1546">
            <v>31</v>
          </cell>
          <cell r="N1546" t="str">
            <v>RESOLUCION</v>
          </cell>
          <cell r="O1546">
            <v>525</v>
          </cell>
          <cell r="P1546">
            <v>43139</v>
          </cell>
          <cell r="Q1546" t="str">
            <v>AYUDA TEMPORAL A LAS FAMILIAS DE VARIAS LOCALIDADES, PARA RELOCALIZACIÓN DE HOGARES LOCALIZADOS EN ZONAS DE ALTO RIESGO NO MITIGABLE ID:2015-D227-00046, LOCALIDAD:04 SAN CRISTÓBAL, UPZ:51 LOS LIBERTADORES, SECTOR:SANTA TERESITA</v>
          </cell>
          <cell r="R1546">
            <v>2582006</v>
          </cell>
          <cell r="S1546">
            <v>368858</v>
          </cell>
          <cell r="T1546">
            <v>0</v>
          </cell>
          <cell r="U1546">
            <v>2213148</v>
          </cell>
          <cell r="V1546">
            <v>2213148</v>
          </cell>
        </row>
        <row r="1547">
          <cell r="J1547">
            <v>909</v>
          </cell>
          <cell r="K1547">
            <v>43139</v>
          </cell>
          <cell r="L1547" t="str">
            <v>BEYER ERIBERTO ARENAS SALGADO</v>
          </cell>
          <cell r="M1547">
            <v>31</v>
          </cell>
          <cell r="N1547" t="str">
            <v>RESOLUCION</v>
          </cell>
          <cell r="O1547">
            <v>526</v>
          </cell>
          <cell r="P1547">
            <v>43139</v>
          </cell>
          <cell r="Q1547" t="str">
            <v>AYUDA TEMPORAL A LAS FAMILIAS DE VARIAS LOCALIDADES, PARA RELOCALIZACIÓN DE HOGARES LOCALIZADOS EN ZONAS DE ALTO RIESGO NO MITIGABLE ID:2013-Q09-00157, LOCALIDAD:19 CIUDAD BOLÍVAR, UPZ:67 LUCERO, SECTOR:QUEBRADA TROMPETA</v>
          </cell>
          <cell r="R1547">
            <v>2886919</v>
          </cell>
          <cell r="S1547">
            <v>824834</v>
          </cell>
          <cell r="T1547">
            <v>0</v>
          </cell>
          <cell r="U1547">
            <v>2062085</v>
          </cell>
          <cell r="V1547">
            <v>2062085</v>
          </cell>
        </row>
        <row r="1548">
          <cell r="J1548">
            <v>910</v>
          </cell>
          <cell r="K1548">
            <v>43139</v>
          </cell>
          <cell r="L1548" t="str">
            <v>MARIA ELISA SAMACA TOCARRUNCHO</v>
          </cell>
          <cell r="M1548">
            <v>31</v>
          </cell>
          <cell r="N1548" t="str">
            <v>RESOLUCION</v>
          </cell>
          <cell r="O1548">
            <v>527</v>
          </cell>
          <cell r="P1548">
            <v>43139</v>
          </cell>
          <cell r="Q1548" t="str">
            <v>AYUDA TEMPORAL A LAS FAMILIAS DE VARIAS LOCALIDADES, PARA RELOCALIZACIÓN DE HOGARES LOCALIZADOS EN ZONAS DE ALTO RIESGO NO MITIGABLE ID:2006-3-8885, LOCALIDAD:03 SANTA FE, UPZ:96 LOURDES</v>
          </cell>
          <cell r="R1548">
            <v>6282705</v>
          </cell>
          <cell r="S1548">
            <v>0</v>
          </cell>
          <cell r="T1548">
            <v>0</v>
          </cell>
          <cell r="U1548">
            <v>6282705</v>
          </cell>
          <cell r="V1548">
            <v>3866280</v>
          </cell>
        </row>
        <row r="1549">
          <cell r="J1549">
            <v>911</v>
          </cell>
          <cell r="K1549">
            <v>43139</v>
          </cell>
          <cell r="L1549" t="str">
            <v>CARLOS ANDRES CRUZ RODRIGUEZ</v>
          </cell>
          <cell r="M1549">
            <v>31</v>
          </cell>
          <cell r="N1549" t="str">
            <v>RESOLUCION</v>
          </cell>
          <cell r="O1549">
            <v>528</v>
          </cell>
          <cell r="P1549">
            <v>43139</v>
          </cell>
          <cell r="Q1549" t="str">
            <v>AYUDA TEMPORAL A LAS FAMILIAS DE VARIAS LOCALIDADES, PARA RELOCALIZACIÓN DE HOGARES LOCALIZADOS EN ZONAS DE ALTO RIESGO NO MITIGABLE ID:2015-D227-00037, LOCALIDAD:04 SAN CRISTÓBAL, UPZ:51 LOS LIBERTADORES, SECTOR:SANTA TERESITA</v>
          </cell>
          <cell r="R1549">
            <v>6199661</v>
          </cell>
          <cell r="S1549">
            <v>0</v>
          </cell>
          <cell r="T1549">
            <v>0</v>
          </cell>
          <cell r="U1549">
            <v>6199661</v>
          </cell>
          <cell r="V1549">
            <v>3815176</v>
          </cell>
        </row>
        <row r="1550">
          <cell r="J1550">
            <v>912</v>
          </cell>
          <cell r="K1550">
            <v>43139</v>
          </cell>
          <cell r="L1550" t="str">
            <v>YONY JAVIER CARO LEMUS</v>
          </cell>
          <cell r="M1550">
            <v>31</v>
          </cell>
          <cell r="N1550" t="str">
            <v>RESOLUCION</v>
          </cell>
          <cell r="O1550">
            <v>529</v>
          </cell>
          <cell r="P1550">
            <v>43139</v>
          </cell>
          <cell r="Q1550" t="str">
            <v>AYUDA TEMPORAL A LAS FAMILIAS DE VARIAS LOCALIDADES, PARA RELOCALIZACIÓN DE HOGARES LOCALIZADOS EN ZONAS DE ALTO RIESGO NO MITIGABLE ID:2011-4-13533, LOCALIDAD:04 SAN CRISTÓBAL, UPZ:50 LA GLORIA</v>
          </cell>
          <cell r="R1550">
            <v>3711824</v>
          </cell>
          <cell r="S1550">
            <v>0</v>
          </cell>
          <cell r="T1550">
            <v>0</v>
          </cell>
          <cell r="U1550">
            <v>3711824</v>
          </cell>
          <cell r="V1550">
            <v>3247846</v>
          </cell>
        </row>
        <row r="1551">
          <cell r="J1551">
            <v>913</v>
          </cell>
          <cell r="K1551">
            <v>43139</v>
          </cell>
          <cell r="L1551" t="str">
            <v>EMILCEN  LLANTEN GUERRERO</v>
          </cell>
          <cell r="M1551">
            <v>31</v>
          </cell>
          <cell r="N1551" t="str">
            <v>RESOLUCION</v>
          </cell>
          <cell r="O1551">
            <v>530</v>
          </cell>
          <cell r="P1551">
            <v>43139</v>
          </cell>
          <cell r="Q1551" t="str">
            <v>AYUDA TEMPORAL A LAS FAMILIAS DE VARIAS LOCALIDADES, PARA RELOCALIZACIÓN DE HOGARES LOCALIZADOS EN ZONAS DE ALTO RIESGO NO MITIGABLE ID:2012-ALES-468, LOCALIDAD:19 CIUDAD BOLÍVAR, UPZ:69 ISMAEL PERDOMO, SECTOR:ALTOS DE LA ESTANCIA</v>
          </cell>
          <cell r="R1551">
            <v>5603000</v>
          </cell>
          <cell r="S1551">
            <v>0</v>
          </cell>
          <cell r="T1551">
            <v>0</v>
          </cell>
          <cell r="U1551">
            <v>5603000</v>
          </cell>
          <cell r="V1551">
            <v>3448000</v>
          </cell>
        </row>
        <row r="1552">
          <cell r="J1552">
            <v>914</v>
          </cell>
          <cell r="K1552">
            <v>43139</v>
          </cell>
          <cell r="L1552" t="str">
            <v>MARIA LUCRECIA CORTES JOTA</v>
          </cell>
          <cell r="M1552">
            <v>31</v>
          </cell>
          <cell r="N1552" t="str">
            <v>RESOLUCION</v>
          </cell>
          <cell r="O1552">
            <v>531</v>
          </cell>
          <cell r="P1552">
            <v>43139</v>
          </cell>
          <cell r="Q1552" t="str">
            <v>AYUDA TEMPORAL A LAS FAMILIAS DE VARIAS LOCALIDADES, PARA RELOCALIZACIÓN DE HOGARES LOCALIZADOS EN ZONAS DE ALTO RIESGO NO MITIGABLE ID:2012-19-13826, LOCALIDAD:19 CIUDAD BOLÍVAR, UPZ:67 LUCERO</v>
          </cell>
          <cell r="R1552">
            <v>2796906</v>
          </cell>
          <cell r="S1552">
            <v>399558</v>
          </cell>
          <cell r="T1552">
            <v>0</v>
          </cell>
          <cell r="U1552">
            <v>2397348</v>
          </cell>
          <cell r="V1552">
            <v>2397348</v>
          </cell>
        </row>
        <row r="1553">
          <cell r="J1553">
            <v>915</v>
          </cell>
          <cell r="K1553">
            <v>43139</v>
          </cell>
          <cell r="L1553" t="str">
            <v>MARGI  CUEVAS CALDERON</v>
          </cell>
          <cell r="M1553">
            <v>31</v>
          </cell>
          <cell r="N1553" t="str">
            <v>RESOLUCION</v>
          </cell>
          <cell r="O1553">
            <v>532</v>
          </cell>
          <cell r="P1553">
            <v>43139</v>
          </cell>
          <cell r="Q1553" t="str">
            <v>AYUDA TEMPORAL A LAS FAMILIAS DE VARIAS LOCALIDADES, PARA RELOCALIZACIÓN DE HOGARES LOCALIZADOS EN ZONAS DE ALTO RIESGO NO MITIGABLE ID:2016-08-14831, LOCALIDAD:08 KENNEDY, UPZ:82 PATIO BONITO, SECTOR:PALMITAS</v>
          </cell>
          <cell r="R1553">
            <v>4795154</v>
          </cell>
          <cell r="S1553">
            <v>0</v>
          </cell>
          <cell r="T1553">
            <v>0</v>
          </cell>
          <cell r="U1553">
            <v>4795154</v>
          </cell>
          <cell r="V1553">
            <v>2950864</v>
          </cell>
        </row>
        <row r="1554">
          <cell r="J1554">
            <v>916</v>
          </cell>
          <cell r="K1554">
            <v>43139</v>
          </cell>
          <cell r="L1554" t="str">
            <v>LIBIA AZUCENA FRANCO ALGECIRA</v>
          </cell>
          <cell r="M1554">
            <v>31</v>
          </cell>
          <cell r="N1554" t="str">
            <v>RESOLUCION</v>
          </cell>
          <cell r="O1554">
            <v>533</v>
          </cell>
          <cell r="P1554">
            <v>43139</v>
          </cell>
          <cell r="Q1554" t="str">
            <v>AYUDA TEMPORAL A LAS FAMILIAS DE VARIAS LOCALIDADES, PARA RELOCALIZACIÓN DE HOGARES LOCALIZADOS EN ZONAS DE ALTO RIESGO NO MITIGABLE ID:2014-18-14705, LOCALIDAD:18 RAFAEL URIBE URIBE, UPZ:53 MARCO FIDEL SUÁREZ, SECTOR:</v>
          </cell>
          <cell r="R1554">
            <v>2602439</v>
          </cell>
          <cell r="S1554">
            <v>371777</v>
          </cell>
          <cell r="T1554">
            <v>0</v>
          </cell>
          <cell r="U1554">
            <v>2230662</v>
          </cell>
          <cell r="V1554">
            <v>2230662</v>
          </cell>
        </row>
        <row r="1555">
          <cell r="J1555">
            <v>917</v>
          </cell>
          <cell r="K1555">
            <v>43139</v>
          </cell>
          <cell r="L1555" t="str">
            <v>BLANCA DORIS FERNANDEZ</v>
          </cell>
          <cell r="M1555">
            <v>31</v>
          </cell>
          <cell r="N1555" t="str">
            <v>RESOLUCION</v>
          </cell>
          <cell r="O1555">
            <v>534</v>
          </cell>
          <cell r="P1555">
            <v>43139</v>
          </cell>
          <cell r="Q1555" t="str">
            <v>AYUDA TEMPORAL A LAS FAMILIAS DE VARIAS LOCALIDADES, PARA RELOCALIZACIÓN DE HOGARES LOCALIZADOS EN ZONAS DE ALTO RIESGO NO MITIGABLE ID:2013-Q09-00189, LOCALIDAD:19 CIUDAD BOLÍVAR, UPZ:67 LUCERO, SECTOR:QUEBRADA TROMPETA</v>
          </cell>
          <cell r="R1555">
            <v>3157315</v>
          </cell>
          <cell r="S1555">
            <v>451045</v>
          </cell>
          <cell r="T1555">
            <v>0</v>
          </cell>
          <cell r="U1555">
            <v>2706270</v>
          </cell>
          <cell r="V1555">
            <v>2706270</v>
          </cell>
        </row>
        <row r="1556">
          <cell r="J1556">
            <v>918</v>
          </cell>
          <cell r="K1556">
            <v>43139</v>
          </cell>
          <cell r="L1556" t="str">
            <v>MARIA JUDY GARZON GUATAVA</v>
          </cell>
          <cell r="M1556">
            <v>31</v>
          </cell>
          <cell r="N1556" t="str">
            <v>RESOLUCION</v>
          </cell>
          <cell r="O1556">
            <v>535</v>
          </cell>
          <cell r="P1556">
            <v>43139</v>
          </cell>
          <cell r="Q1556" t="str">
            <v>AYUDA TEMPORAL A LAS FAMILIAS DE VARIAS LOCALIDADES, PARA RELOCALIZACIÓN DE HOGARES LOCALIZADOS EN ZONAS DE ALTO RIESGO NO MITIGABLE ID:2012-19-13823, LOCALIDAD:19 CIUDAD BOLÍVAR, UPZ:67 LUCERO</v>
          </cell>
          <cell r="R1556">
            <v>2582006</v>
          </cell>
          <cell r="S1556">
            <v>368858</v>
          </cell>
          <cell r="T1556">
            <v>0</v>
          </cell>
          <cell r="U1556">
            <v>2213148</v>
          </cell>
          <cell r="V1556">
            <v>2213148</v>
          </cell>
        </row>
        <row r="1557">
          <cell r="J1557">
            <v>919</v>
          </cell>
          <cell r="K1557">
            <v>43139</v>
          </cell>
          <cell r="L1557" t="str">
            <v>ALDEMAR  MALAVER CRUZ</v>
          </cell>
          <cell r="M1557">
            <v>31</v>
          </cell>
          <cell r="N1557" t="str">
            <v>RESOLUCION</v>
          </cell>
          <cell r="O1557">
            <v>536</v>
          </cell>
          <cell r="P1557">
            <v>43139</v>
          </cell>
          <cell r="Q1557" t="str">
            <v>AYUDA TEMPORAL A LAS FAMILIAS DE VARIAS LOCALIDADES, PARA RELOCALIZACIÓN DE HOGARES LOCALIZADOS EN ZONAS DE ALTO RIESGO NO MITIGABLE ID:2015-Q03-01488, LOCALIDAD:19 CIUDAD BOLÍVAR, UPZ:66 SAN FRANCISCO, SECTOR:LIMAS</v>
          </cell>
          <cell r="R1557">
            <v>2582006</v>
          </cell>
          <cell r="S1557">
            <v>368858</v>
          </cell>
          <cell r="T1557">
            <v>0</v>
          </cell>
          <cell r="U1557">
            <v>2213148</v>
          </cell>
          <cell r="V1557">
            <v>2213148</v>
          </cell>
        </row>
        <row r="1558">
          <cell r="J1558">
            <v>920</v>
          </cell>
          <cell r="K1558">
            <v>43139</v>
          </cell>
          <cell r="L1558" t="str">
            <v>JOSE DE JESUS RODRIGUEZ RODRIGUEZ</v>
          </cell>
          <cell r="M1558">
            <v>31</v>
          </cell>
          <cell r="N1558" t="str">
            <v>RESOLUCION</v>
          </cell>
          <cell r="O1558">
            <v>537</v>
          </cell>
          <cell r="P1558">
            <v>43139</v>
          </cell>
          <cell r="Q1558" t="str">
            <v>AYUDA TEMPORAL A LAS FAMILIAS DE VARIAS LOCALIDADES, PARA RELOCALIZACIÓN DE HOGARES LOCALIZADOS EN ZONAS DE ALTO RIESGO NO MITIGABLE ID:2015-Q03-01427, LOCALIDAD:19 CIUDAD BOLÍVAR, UPZ:66 SAN FRANCISCO, SECTOR:LIMAS</v>
          </cell>
          <cell r="R1558">
            <v>3157315</v>
          </cell>
          <cell r="S1558">
            <v>451045</v>
          </cell>
          <cell r="T1558">
            <v>0</v>
          </cell>
          <cell r="U1558">
            <v>2706270</v>
          </cell>
          <cell r="V1558">
            <v>2706270</v>
          </cell>
        </row>
        <row r="1559">
          <cell r="J1559">
            <v>921</v>
          </cell>
          <cell r="K1559">
            <v>43139</v>
          </cell>
          <cell r="L1559" t="str">
            <v>ANGIE JULIETTE ROJAS CARRILLO</v>
          </cell>
          <cell r="M1559">
            <v>31</v>
          </cell>
          <cell r="N1559" t="str">
            <v>RESOLUCION</v>
          </cell>
          <cell r="O1559">
            <v>538</v>
          </cell>
          <cell r="P1559">
            <v>43139</v>
          </cell>
          <cell r="Q1559" t="str">
            <v>AYUDA TEMPORAL A LAS FAMILIAS DE VARIAS LOCALIDADES, PARA RELOCALIZACIÓN DE HOGARES LOCALIZADOS EN ZONAS DE ALTO RIESGO NO MITIGABLE ID:2015-Q03-01433, LOCALIDAD:19 CIUDAD BOLÍVAR, UPZ:66 SAN FRANCISCO, SECTOR:LIMAS</v>
          </cell>
          <cell r="R1559">
            <v>3157315</v>
          </cell>
          <cell r="S1559">
            <v>451045</v>
          </cell>
          <cell r="T1559">
            <v>0</v>
          </cell>
          <cell r="U1559">
            <v>2706270</v>
          </cell>
          <cell r="V1559">
            <v>2706270</v>
          </cell>
        </row>
        <row r="1560">
          <cell r="J1560">
            <v>922</v>
          </cell>
          <cell r="K1560">
            <v>43139</v>
          </cell>
          <cell r="L1560" t="str">
            <v>YEISMI  GALINDO GONZALEZ</v>
          </cell>
          <cell r="M1560">
            <v>31</v>
          </cell>
          <cell r="N1560" t="str">
            <v>RESOLUCION</v>
          </cell>
          <cell r="O1560">
            <v>539</v>
          </cell>
          <cell r="P1560">
            <v>43139</v>
          </cell>
          <cell r="Q1560" t="str">
            <v>AYUDA TEMPORAL A LAS FAMILIAS DE VARIAS LOCALIDADES, PARA RELOCALIZACIÓN DE HOGARES LOCALIZADOS EN ZONAS DE ALTO RIESGO NO MITIGABLE ID:2014-OTR-00949, LOCALIDAD:19 CIUDAD BOLÍVAR, UPZ:67 LUCERO, SECTOR:TABOR ALTALOMA</v>
          </cell>
          <cell r="R1560">
            <v>3383254</v>
          </cell>
          <cell r="S1560">
            <v>483322</v>
          </cell>
          <cell r="T1560">
            <v>0</v>
          </cell>
          <cell r="U1560">
            <v>2899932</v>
          </cell>
          <cell r="V1560">
            <v>2899932</v>
          </cell>
        </row>
        <row r="1561">
          <cell r="J1561">
            <v>923</v>
          </cell>
          <cell r="K1561">
            <v>43139</v>
          </cell>
          <cell r="L1561" t="str">
            <v>MARIA HELENA GALINDO GONZALEZ</v>
          </cell>
          <cell r="M1561">
            <v>31</v>
          </cell>
          <cell r="N1561" t="str">
            <v>RESOLUCION</v>
          </cell>
          <cell r="O1561">
            <v>540</v>
          </cell>
          <cell r="P1561">
            <v>43139</v>
          </cell>
          <cell r="Q1561" t="str">
            <v>AYUDA TEMPORAL A LAS FAMILIAS DE VARIAS LOCALIDADES, PARA RELOCALIZACIÓN DE HOGARES LOCALIZADOS EN ZONAS DE ALTO RIESGO NO MITIGABLE ID:2014-OTR-00956, LOCALIDAD:19 CIUDAD BOLÍVAR, UPZ:67 LUCERO, SECTOR:TABOR ALTALOMA</v>
          </cell>
          <cell r="R1561">
            <v>3383254</v>
          </cell>
          <cell r="S1561">
            <v>483322</v>
          </cell>
          <cell r="T1561">
            <v>0</v>
          </cell>
          <cell r="U1561">
            <v>2899932</v>
          </cell>
          <cell r="V1561">
            <v>2899932</v>
          </cell>
        </row>
        <row r="1562">
          <cell r="J1562">
            <v>924</v>
          </cell>
          <cell r="K1562">
            <v>43139</v>
          </cell>
          <cell r="L1562" t="str">
            <v>MARIA DEL CARMEN GONZALEZ</v>
          </cell>
          <cell r="M1562">
            <v>31</v>
          </cell>
          <cell r="N1562" t="str">
            <v>RESOLUCION</v>
          </cell>
          <cell r="O1562">
            <v>541</v>
          </cell>
          <cell r="P1562">
            <v>43139</v>
          </cell>
          <cell r="Q1562" t="str">
            <v>AYUDA TEMPORAL A LAS FAMILIAS DE VARIAS LOCALIDADES, PARA RELOCALIZACIÓN DE HOGARES LOCALIZADOS EN ZONAS DE ALTO RIESGO NO MITIGABLE ID:2014-OTR-00966, LOCALIDAD:19 CIUDAD BOLÍVAR, UPZ:67 LUCERO, SECTOR:TABOR ALTALOMA</v>
          </cell>
          <cell r="R1562">
            <v>3619000</v>
          </cell>
          <cell r="S1562">
            <v>517000</v>
          </cell>
          <cell r="T1562">
            <v>0</v>
          </cell>
          <cell r="U1562">
            <v>3102000</v>
          </cell>
          <cell r="V1562">
            <v>3102000</v>
          </cell>
        </row>
        <row r="1563">
          <cell r="J1563">
            <v>925</v>
          </cell>
          <cell r="K1563">
            <v>43139</v>
          </cell>
          <cell r="L1563" t="str">
            <v>AGRIPINA IMELDA ROBLES VIUDA DE TINJACA</v>
          </cell>
          <cell r="M1563">
            <v>31</v>
          </cell>
          <cell r="N1563" t="str">
            <v>RESOLUCION</v>
          </cell>
          <cell r="O1563">
            <v>542</v>
          </cell>
          <cell r="P1563">
            <v>43139</v>
          </cell>
          <cell r="Q1563" t="str">
            <v>AYUDA TEMPORAL A LAS FAMILIAS DE VARIAS LOCALIDADES, PARA RELOCALIZACIÓN DE HOGARES LOCALIZADOS EN ZONAS DE ALTO RIESGO NO MITIGABLE ID:2013-Q04-00283, LOCALIDAD:19 CIUDAD BOLÍVAR, UPZ:67 LUCERO, SECTOR:PEÑA COLORADA</v>
          </cell>
          <cell r="R1563">
            <v>3017000</v>
          </cell>
          <cell r="S1563">
            <v>431000</v>
          </cell>
          <cell r="T1563">
            <v>0</v>
          </cell>
          <cell r="U1563">
            <v>2586000</v>
          </cell>
          <cell r="V1563">
            <v>2586000</v>
          </cell>
        </row>
        <row r="1564">
          <cell r="J1564">
            <v>926</v>
          </cell>
          <cell r="K1564">
            <v>43139</v>
          </cell>
          <cell r="L1564" t="str">
            <v>YENNI PATRICIA ROA CASAS</v>
          </cell>
          <cell r="M1564">
            <v>31</v>
          </cell>
          <cell r="N1564" t="str">
            <v>RESOLUCION</v>
          </cell>
          <cell r="O1564">
            <v>543</v>
          </cell>
          <cell r="P1564">
            <v>43139</v>
          </cell>
          <cell r="Q1564" t="str">
            <v>AYUDA TEMPORAL A LAS FAMILIAS DE VARIAS LOCALIDADES, PARA RELOCALIZACIÓN DE HOGARES LOCALIZADOS EN ZONAS DE ALTO RIESGO NO MITIGABLE ID:2010-19-12301, LOCALIDAD:19 CIUDAD BOLÍVAR, UPZ:67 LUCERO</v>
          </cell>
          <cell r="R1564">
            <v>4979592</v>
          </cell>
          <cell r="S1564">
            <v>0</v>
          </cell>
          <cell r="T1564">
            <v>0</v>
          </cell>
          <cell r="U1564">
            <v>4979592</v>
          </cell>
          <cell r="V1564">
            <v>4426304</v>
          </cell>
        </row>
        <row r="1565">
          <cell r="J1565">
            <v>927</v>
          </cell>
          <cell r="K1565">
            <v>43139</v>
          </cell>
          <cell r="L1565" t="str">
            <v>JESUS EDUARDO HENAO SOTO</v>
          </cell>
          <cell r="M1565">
            <v>31</v>
          </cell>
          <cell r="N1565" t="str">
            <v>RESOLUCION</v>
          </cell>
          <cell r="O1565">
            <v>544</v>
          </cell>
          <cell r="P1565">
            <v>43139</v>
          </cell>
          <cell r="Q1565" t="str">
            <v>AYUDA TEMPORAL A LAS FAMILIAS DE VARIAS LOCALIDADES, PARA RELOCALIZACIÓN DE HOGARES LOCALIZADOS EN ZONAS DE ALTO RIESGO NO MITIGABLE ID:2013-Q04-00297, LOCALIDAD:19 CIUDAD BOLÍVAR, UPZ:67 LUCERO, SECTOR:PEÑA COLORADA</v>
          </cell>
          <cell r="R1565">
            <v>6713226</v>
          </cell>
          <cell r="S1565">
            <v>0</v>
          </cell>
          <cell r="T1565">
            <v>0</v>
          </cell>
          <cell r="U1565">
            <v>6713226</v>
          </cell>
          <cell r="V1565">
            <v>4131216</v>
          </cell>
        </row>
        <row r="1566">
          <cell r="J1566">
            <v>928</v>
          </cell>
          <cell r="K1566">
            <v>43139</v>
          </cell>
          <cell r="L1566" t="str">
            <v>OMAR  SALAZAR HERNANDEZ</v>
          </cell>
          <cell r="M1566">
            <v>31</v>
          </cell>
          <cell r="N1566" t="str">
            <v>RESOLUCION</v>
          </cell>
          <cell r="O1566">
            <v>545</v>
          </cell>
          <cell r="P1566">
            <v>43139</v>
          </cell>
          <cell r="Q1566" t="str">
            <v>AYUDA TEMPORAL A LAS FAMILIAS DE VARIAS LOCALIDADES, PARA RELOCALIZACIÓN DE HOGARES LOCALIZADOS EN ZONAS DE ALTO RIESGO NO MITIGABLE ID:2008-4-10769, LOCALIDAD:04 SAN CRISTÓBAL, UPZ:51 LOS LIBERTADORES, SECTOR:QUEBRADA VEREJONES</v>
          </cell>
          <cell r="R1566">
            <v>3254769</v>
          </cell>
          <cell r="S1566">
            <v>464967</v>
          </cell>
          <cell r="T1566">
            <v>0</v>
          </cell>
          <cell r="U1566">
            <v>2789802</v>
          </cell>
          <cell r="V1566">
            <v>2789802</v>
          </cell>
        </row>
        <row r="1567">
          <cell r="J1567">
            <v>929</v>
          </cell>
          <cell r="K1567">
            <v>43139</v>
          </cell>
          <cell r="L1567" t="str">
            <v>ALBA YOLIMA GARCIA</v>
          </cell>
          <cell r="M1567">
            <v>31</v>
          </cell>
          <cell r="N1567" t="str">
            <v>RESOLUCION</v>
          </cell>
          <cell r="O1567">
            <v>546</v>
          </cell>
          <cell r="P1567">
            <v>43139</v>
          </cell>
          <cell r="Q1567" t="str">
            <v>AYUDA TEMPORAL A LAS FAMILIAS DE VARIAS LOCALIDADES, PARA RELOCALIZACIÓN DE HOGARES LOCALIZADOS EN ZONAS DE ALTO RIESGO NO MITIGABLE ID:2006-19-8545, LOCALIDAD:19 CIUDAD BOLÍVAR, UPZ:68 EL TESORO, SECTOR:QUEBRADA EL INFIERNO</v>
          </cell>
          <cell r="R1567">
            <v>2788569</v>
          </cell>
          <cell r="S1567">
            <v>398367</v>
          </cell>
          <cell r="T1567">
            <v>0</v>
          </cell>
          <cell r="U1567">
            <v>2390202</v>
          </cell>
          <cell r="V1567">
            <v>2390202</v>
          </cell>
        </row>
        <row r="1568">
          <cell r="J1568">
            <v>930</v>
          </cell>
          <cell r="K1568">
            <v>43139</v>
          </cell>
          <cell r="L1568" t="str">
            <v>FLOR ALBA RODRIGUEZ GOMEZ</v>
          </cell>
          <cell r="M1568">
            <v>31</v>
          </cell>
          <cell r="N1568" t="str">
            <v>RESOLUCION</v>
          </cell>
          <cell r="O1568">
            <v>547</v>
          </cell>
          <cell r="P1568">
            <v>43139</v>
          </cell>
          <cell r="Q1568" t="str">
            <v>AYUDA TEMPORAL A LAS FAMILIAS DE VARIAS LOCALIDADES, PARA RELOCALIZACIÓN DE HOGARES LOCALIZADOS EN ZONAS DE ALTO RIESGO NO MITIGABLE ID:2009-4-11165, LOCALIDAD:04 SAN CRISTÓBAL, UPZ:50 LA GLORIA</v>
          </cell>
          <cell r="R1568">
            <v>3157574</v>
          </cell>
          <cell r="S1568">
            <v>451082</v>
          </cell>
          <cell r="T1568">
            <v>0</v>
          </cell>
          <cell r="U1568">
            <v>2706492</v>
          </cell>
          <cell r="V1568">
            <v>2706492</v>
          </cell>
        </row>
        <row r="1569">
          <cell r="J1569">
            <v>931</v>
          </cell>
          <cell r="K1569">
            <v>43139</v>
          </cell>
          <cell r="L1569" t="str">
            <v>NATALI  RODRIGUEZ GONZALEZ</v>
          </cell>
          <cell r="M1569">
            <v>31</v>
          </cell>
          <cell r="N1569" t="str">
            <v>RESOLUCION</v>
          </cell>
          <cell r="O1569">
            <v>548</v>
          </cell>
          <cell r="P1569">
            <v>43139</v>
          </cell>
          <cell r="Q1569" t="str">
            <v>AYUDA TEMPORAL A LAS FAMILIAS DE VARIAS LOCALIDADES, PARA RELOCALIZACIÓN DE HOGARES LOCALIZADOS EN ZONAS DE ALTO RIESGO NO MITIGABLE ID:2014-OTR-01001, LOCALIDAD:19 CIUDAD BOLÍVAR, UPZ:67 LUCERO, SECTOR:TABOR ALTALOMA</v>
          </cell>
          <cell r="R1569">
            <v>2582006</v>
          </cell>
          <cell r="S1569">
            <v>368858</v>
          </cell>
          <cell r="T1569">
            <v>0</v>
          </cell>
          <cell r="U1569">
            <v>2213148</v>
          </cell>
          <cell r="V1569">
            <v>2213148</v>
          </cell>
        </row>
        <row r="1570">
          <cell r="J1570">
            <v>932</v>
          </cell>
          <cell r="K1570">
            <v>43139</v>
          </cell>
          <cell r="L1570" t="str">
            <v>MAIRA TATIANA GARCIA GUTIERREZ</v>
          </cell>
          <cell r="M1570">
            <v>31</v>
          </cell>
          <cell r="N1570" t="str">
            <v>RESOLUCION</v>
          </cell>
          <cell r="O1570">
            <v>549</v>
          </cell>
          <cell r="P1570">
            <v>43139</v>
          </cell>
          <cell r="Q1570" t="str">
            <v>AYUDA TEMPORAL A LAS FAMILIAS DE VARIAS LOCALIDADES, PARA RELOCALIZACIÓN DE HOGARES LOCALIZADOS EN ZONAS DE ALTO RIESGO NO MITIGABLE ID:2014-OTR-01101, LOCALIDAD:19 CIUDAD BOLÍVAR, UPZ:67 LUCERO, SECTOR:TABOR ALTALOMA</v>
          </cell>
          <cell r="R1570">
            <v>5603000</v>
          </cell>
          <cell r="S1570">
            <v>0</v>
          </cell>
          <cell r="T1570">
            <v>0</v>
          </cell>
          <cell r="U1570">
            <v>5603000</v>
          </cell>
          <cell r="V1570">
            <v>3448000</v>
          </cell>
        </row>
        <row r="1571">
          <cell r="J1571">
            <v>933</v>
          </cell>
          <cell r="K1571">
            <v>43139</v>
          </cell>
          <cell r="L1571" t="str">
            <v>GILDARDO  TOVAR ABELLO</v>
          </cell>
          <cell r="M1571">
            <v>31</v>
          </cell>
          <cell r="N1571" t="str">
            <v>RESOLUCION</v>
          </cell>
          <cell r="O1571">
            <v>471</v>
          </cell>
          <cell r="P1571">
            <v>43139</v>
          </cell>
          <cell r="Q1571" t="str">
            <v>AYUDA TEMPORAL A LAS FAMILIAS DE VARIAS LOCALIDADES, PARA RELOCALIZACIÓN DE HOGARES LOCALIZADOS EN ZONAS DE ALTO RIESGO NO MITIGABLE ID:2016-19-00006, LOCALIDAD:19 CIUDAD BOLÍVAR, UPZ:67 LUCERO</v>
          </cell>
          <cell r="R1571">
            <v>2685291</v>
          </cell>
          <cell r="S1571">
            <v>0</v>
          </cell>
          <cell r="T1571">
            <v>0</v>
          </cell>
          <cell r="U1571">
            <v>2685291</v>
          </cell>
          <cell r="V1571">
            <v>2301678</v>
          </cell>
        </row>
        <row r="1572">
          <cell r="J1572">
            <v>934</v>
          </cell>
          <cell r="K1572">
            <v>43139</v>
          </cell>
          <cell r="L1572" t="str">
            <v>HECTOR JULIO GOMEZ HERRERA</v>
          </cell>
          <cell r="M1572">
            <v>31</v>
          </cell>
          <cell r="N1572" t="str">
            <v>RESOLUCION</v>
          </cell>
          <cell r="O1572">
            <v>478</v>
          </cell>
          <cell r="P1572">
            <v>43139</v>
          </cell>
          <cell r="Q1572" t="str">
            <v>AYUDA TEMPORAL A LAS FAMILIAS DE VARIAS LOCALIDADES, PARA RELOCALIZACIÓN DE HOGARES LOCALIZADOS EN ZONAS DE ALTO RIESGO NO MITIGABLE ID:2010-5-11595, LOCALIDAD:05 USME, UPZ:57 GRAN YOMASA, SECTOR:OLA INVERNAL 2010 FOPAE</v>
          </cell>
          <cell r="R1572">
            <v>2582006</v>
          </cell>
          <cell r="S1572">
            <v>368858</v>
          </cell>
          <cell r="T1572">
            <v>0</v>
          </cell>
          <cell r="U1572">
            <v>2213148</v>
          </cell>
          <cell r="V1572">
            <v>2213148</v>
          </cell>
        </row>
        <row r="1573">
          <cell r="J1573">
            <v>935</v>
          </cell>
          <cell r="K1573">
            <v>43139</v>
          </cell>
          <cell r="L1573" t="str">
            <v>SANDRA PILAR GUAVITA GAITAN</v>
          </cell>
          <cell r="M1573">
            <v>31</v>
          </cell>
          <cell r="N1573" t="str">
            <v>RESOLUCION</v>
          </cell>
          <cell r="O1573">
            <v>479</v>
          </cell>
          <cell r="P1573">
            <v>43139</v>
          </cell>
          <cell r="Q1573" t="str">
            <v>AYUDA TEMPORAL A LAS FAMILIAS DE VARIAS LOCALIDADES, PARA RELOCALIZACIÓN DE HOGARES LOCALIZADOS EN ZONAS DE ALTO RIESGO NO MITIGABLE ID:2010-5-11643, LOCALIDAD:05 USME, UPZ:57 GRAN YOMASA, SECTOR:OLA INVERNAL 2010 FOPAE</v>
          </cell>
          <cell r="R1573">
            <v>2582006</v>
          </cell>
          <cell r="S1573">
            <v>368858</v>
          </cell>
          <cell r="T1573">
            <v>0</v>
          </cell>
          <cell r="U1573">
            <v>2213148</v>
          </cell>
          <cell r="V1573">
            <v>2213148</v>
          </cell>
        </row>
        <row r="1574">
          <cell r="J1574">
            <v>936</v>
          </cell>
          <cell r="K1574">
            <v>43139</v>
          </cell>
          <cell r="L1574" t="str">
            <v>MARTHA LUCIA BERNAL ECHAVARRIA</v>
          </cell>
          <cell r="M1574">
            <v>31</v>
          </cell>
          <cell r="N1574" t="str">
            <v>RESOLUCION</v>
          </cell>
          <cell r="O1574">
            <v>488</v>
          </cell>
          <cell r="P1574">
            <v>43139</v>
          </cell>
          <cell r="Q1574" t="str">
            <v>AYUDA TEMPORAL A LAS FAMILIAS DE VARIAS LOCALIDADES, PARA RELOCALIZACIÓN DE HOGARES LOCALIZADOS EN ZONAS DE ALTO RIESGO NO MITIGABLE ID:2015-D227-00010, LOCALIDAD:04 SAN CRISTÓBAL, UPZ:51 LOS LIBERTADORES, SECTOR:SANTA TERESITA</v>
          </cell>
          <cell r="R1574">
            <v>5361707</v>
          </cell>
          <cell r="S1574">
            <v>0</v>
          </cell>
          <cell r="T1574">
            <v>0</v>
          </cell>
          <cell r="U1574">
            <v>5361707</v>
          </cell>
          <cell r="V1574">
            <v>3299512</v>
          </cell>
        </row>
        <row r="1575">
          <cell r="J1575">
            <v>937</v>
          </cell>
          <cell r="K1575">
            <v>43139</v>
          </cell>
          <cell r="L1575" t="str">
            <v>MYRIAM EDITH ALVAREZ DUARTE</v>
          </cell>
          <cell r="M1575">
            <v>31</v>
          </cell>
          <cell r="N1575" t="str">
            <v>RESOLUCION</v>
          </cell>
          <cell r="O1575">
            <v>550</v>
          </cell>
          <cell r="P1575">
            <v>43139</v>
          </cell>
          <cell r="Q1575" t="str">
            <v>AYUDA TEMPORAL A LAS FAMILIAS DE VARIAS LOCALIDADES, PARA RELOCALIZACIÓN DE HOGARES LOCALIZADOS EN ZONAS DE ALTO RIESGO NO MITIGABLE ID:2011-19-12558, LOCALIDAD:19 CIUDAD BOLÍVAR, UPZ:69 ISMAEL PERDOMO, SECTOR:OLA INVERNAL 2010 FOPAE</v>
          </cell>
          <cell r="R1575">
            <v>2582006</v>
          </cell>
          <cell r="S1575">
            <v>1844290</v>
          </cell>
          <cell r="T1575">
            <v>0</v>
          </cell>
          <cell r="U1575">
            <v>737716</v>
          </cell>
          <cell r="V1575">
            <v>737716</v>
          </cell>
        </row>
        <row r="1576">
          <cell r="J1576">
            <v>938</v>
          </cell>
          <cell r="K1576">
            <v>43139</v>
          </cell>
          <cell r="L1576" t="str">
            <v>LEYDI ALEJANDRA RUIZ GUTIERREZ</v>
          </cell>
          <cell r="M1576">
            <v>31</v>
          </cell>
          <cell r="N1576" t="str">
            <v>RESOLUCION</v>
          </cell>
          <cell r="O1576">
            <v>551</v>
          </cell>
          <cell r="P1576">
            <v>43139</v>
          </cell>
          <cell r="Q1576" t="str">
            <v>AYUDA TEMPORAL A LAS FAMILIAS DE VARIAS LOCALIDADES, PARA RELOCALIZACIÓN DE HOGARES LOCALIZADOS EN ZONAS DE ALTO RIESGO NO MITIGABLE ID:2014-OTR-00943, LOCALIDAD:19 CIUDAD BOLÍVAR, UPZ:67 LUCERO, SECTOR:TABOR ALTALOMA</v>
          </cell>
          <cell r="R1576">
            <v>5603000</v>
          </cell>
          <cell r="S1576">
            <v>0</v>
          </cell>
          <cell r="T1576">
            <v>0</v>
          </cell>
          <cell r="U1576">
            <v>5603000</v>
          </cell>
          <cell r="V1576">
            <v>3448000</v>
          </cell>
        </row>
        <row r="1577">
          <cell r="J1577">
            <v>939</v>
          </cell>
          <cell r="K1577">
            <v>43139</v>
          </cell>
          <cell r="L1577" t="str">
            <v>ZOILA YORANY QUIROGA HERNANDEZ</v>
          </cell>
          <cell r="M1577">
            <v>31</v>
          </cell>
          <cell r="N1577" t="str">
            <v>RESOLUCION</v>
          </cell>
          <cell r="O1577">
            <v>489</v>
          </cell>
          <cell r="P1577">
            <v>43139</v>
          </cell>
          <cell r="Q1577" t="str">
            <v>AYUDA TEMPORAL A LAS FAMILIAS DE VARIAS LOCALIDADES, PARA RELOCALIZACIÓN DE HOGARES LOCALIZADOS EN ZONAS DE ALTO RIESGO NO MITIGABLE ID:2012-18-14311, LOCALIDAD:18 RAFAEL URIBE URIBE, UPZ:55 DIANA TURBAY</v>
          </cell>
          <cell r="R1577">
            <v>3769731</v>
          </cell>
          <cell r="S1577">
            <v>0</v>
          </cell>
          <cell r="T1577">
            <v>0</v>
          </cell>
          <cell r="U1577">
            <v>3769731</v>
          </cell>
          <cell r="V1577">
            <v>2154132</v>
          </cell>
        </row>
        <row r="1578">
          <cell r="J1578">
            <v>940</v>
          </cell>
          <cell r="K1578">
            <v>43139</v>
          </cell>
          <cell r="L1578" t="str">
            <v>ANA LUCERO DIAZ DIAZ</v>
          </cell>
          <cell r="M1578">
            <v>31</v>
          </cell>
          <cell r="N1578" t="str">
            <v>RESOLUCION</v>
          </cell>
          <cell r="O1578">
            <v>553</v>
          </cell>
          <cell r="P1578">
            <v>43139</v>
          </cell>
          <cell r="Q1578" t="str">
            <v>AYUDA TEMPORAL A LAS FAMILIAS DE VARIAS LOCALIDADES, PARA RELOCALIZACIÓN DE HOGARES LOCALIZADOS EN ZONAS DE ALTO RIESGO NO MITIGABLE ID:2010-5-11581, LOCALIDAD:05 USME, UPZ:57 GRAN YOMASA, SECTOR:OLA INVERNAL 2010 FOPAE</v>
          </cell>
          <cell r="R1578">
            <v>3299296</v>
          </cell>
          <cell r="S1578">
            <v>471328</v>
          </cell>
          <cell r="T1578">
            <v>0</v>
          </cell>
          <cell r="U1578">
            <v>2827968</v>
          </cell>
          <cell r="V1578">
            <v>2827968</v>
          </cell>
        </row>
        <row r="1579">
          <cell r="J1579">
            <v>941</v>
          </cell>
          <cell r="K1579">
            <v>43139</v>
          </cell>
          <cell r="L1579" t="str">
            <v>HECTOR GUILLERMO GOMEZ SALINAS</v>
          </cell>
          <cell r="M1579">
            <v>31</v>
          </cell>
          <cell r="N1579" t="str">
            <v>RESOLUCION</v>
          </cell>
          <cell r="O1579">
            <v>490</v>
          </cell>
          <cell r="P1579">
            <v>43139</v>
          </cell>
          <cell r="Q1579" t="str">
            <v>AYUDA TEMPORAL A LAS FAMILIAS DE VARIAS LOCALIDADES, PARA RELOCALIZACIÓN DE HOGARES LOCALIZADOS EN ZONAS DE ALTO RIESGO NO MITIGABLE ID:2013-Q05-00009, LOCALIDAD:19 CIUDAD BOLÍVAR, UPZ:67 LUCERO, SECTOR:QUEBRADA CAÑO BAÚL</v>
          </cell>
          <cell r="R1579">
            <v>3363507</v>
          </cell>
          <cell r="S1579">
            <v>480501</v>
          </cell>
          <cell r="T1579">
            <v>0</v>
          </cell>
          <cell r="U1579">
            <v>2883006</v>
          </cell>
          <cell r="V1579">
            <v>2883006</v>
          </cell>
        </row>
        <row r="1580">
          <cell r="J1580">
            <v>942</v>
          </cell>
          <cell r="K1580">
            <v>43139</v>
          </cell>
          <cell r="L1580" t="str">
            <v>LUZ NEIDA BARRAGAN GARCIA</v>
          </cell>
          <cell r="M1580">
            <v>31</v>
          </cell>
          <cell r="N1580" t="str">
            <v>RESOLUCION</v>
          </cell>
          <cell r="O1580">
            <v>554</v>
          </cell>
          <cell r="P1580">
            <v>43139</v>
          </cell>
          <cell r="Q1580" t="str">
            <v>AYUDA TEMPORAL A LAS FAMILIAS DE VARIAS LOCALIDADES, PARA RELOCALIZACIÓN DE HOGARES LOCALIZADOS EN ZONAS DE ALTO RIESGO NO MITIGABLE ID:2016-08-14904, LOCALIDAD:08 KENNEDY, UPZ:82 PATIO BONITO, SECTOR:PALMITAS</v>
          </cell>
          <cell r="R1580">
            <v>5466487</v>
          </cell>
          <cell r="S1580">
            <v>0</v>
          </cell>
          <cell r="T1580">
            <v>0</v>
          </cell>
          <cell r="U1580">
            <v>5466487</v>
          </cell>
          <cell r="V1580">
            <v>3363992</v>
          </cell>
        </row>
        <row r="1581">
          <cell r="J1581">
            <v>943</v>
          </cell>
          <cell r="K1581">
            <v>43139</v>
          </cell>
          <cell r="L1581" t="str">
            <v>NELVA  CASTRO TRUJILLO</v>
          </cell>
          <cell r="M1581">
            <v>31</v>
          </cell>
          <cell r="N1581" t="str">
            <v>RESOLUCION</v>
          </cell>
          <cell r="O1581">
            <v>555</v>
          </cell>
          <cell r="P1581">
            <v>43139</v>
          </cell>
          <cell r="Q1581" t="str">
            <v>AYUDA TEMPORAL A LAS FAMILIAS DE VARIAS LOCALIDADES, PARA RELOCALIZACIÓN DE HOGARES LOCALIZADOS EN ZONAS DE ALTO RIESGO NO MITIGABLE ID:2016-08-14886, LOCALIDAD:08 KENNEDY, UPZ:82 PATIO BONITO, SECTOR:PALMITAS</v>
          </cell>
          <cell r="R1581">
            <v>6453291</v>
          </cell>
          <cell r="S1581">
            <v>0</v>
          </cell>
          <cell r="T1581">
            <v>0</v>
          </cell>
          <cell r="U1581">
            <v>6453291</v>
          </cell>
          <cell r="V1581">
            <v>3971256</v>
          </cell>
        </row>
        <row r="1582">
          <cell r="J1582">
            <v>944</v>
          </cell>
          <cell r="K1582">
            <v>43139</v>
          </cell>
          <cell r="L1582" t="str">
            <v>TANIA JAEL MEDINA</v>
          </cell>
          <cell r="M1582">
            <v>31</v>
          </cell>
          <cell r="N1582" t="str">
            <v>RESOLUCION</v>
          </cell>
          <cell r="O1582">
            <v>556</v>
          </cell>
          <cell r="P1582">
            <v>43139</v>
          </cell>
          <cell r="Q1582" t="str">
            <v>AYUDA TEMPORAL A LAS FAMILIAS DE VARIAS LOCALIDADES, PARA RELOCALIZACIÓN DE HOGARES LOCALIZADOS EN ZONAS DE ALTO RIESGO NO MITIGABLE ID:2005-19-7653, LOCALIDAD:19 CIUDAD BOLÍVAR, UPZ:67 LUCERO</v>
          </cell>
          <cell r="R1582">
            <v>3473526</v>
          </cell>
          <cell r="S1582">
            <v>496218</v>
          </cell>
          <cell r="T1582">
            <v>0</v>
          </cell>
          <cell r="U1582">
            <v>2977308</v>
          </cell>
          <cell r="V1582">
            <v>2977308</v>
          </cell>
        </row>
        <row r="1583">
          <cell r="J1583">
            <v>945</v>
          </cell>
          <cell r="K1583">
            <v>43139</v>
          </cell>
          <cell r="L1583" t="str">
            <v>GRACIELA  RUIZ SEGURA</v>
          </cell>
          <cell r="M1583">
            <v>31</v>
          </cell>
          <cell r="N1583" t="str">
            <v>RESOLUCION</v>
          </cell>
          <cell r="O1583">
            <v>491</v>
          </cell>
          <cell r="P1583">
            <v>43139</v>
          </cell>
          <cell r="Q1583" t="str">
            <v>AYUDA TEMPORAL A LAS FAMILIAS DE VARIAS LOCALIDADES, PARA RELOCALIZACIÓN DE HOGARES LOCALIZADOS EN ZONAS DE ALTO RIESGO NO MITIGABLE ID:2009-5-11048, LOCALIDAD:05 USME, UPZ:57 GRAN YOMASA</v>
          </cell>
          <cell r="R1583">
            <v>3383254</v>
          </cell>
          <cell r="S1583">
            <v>483322</v>
          </cell>
          <cell r="T1583">
            <v>0</v>
          </cell>
          <cell r="U1583">
            <v>2899932</v>
          </cell>
          <cell r="V1583">
            <v>2899932</v>
          </cell>
        </row>
        <row r="1584">
          <cell r="J1584">
            <v>946</v>
          </cell>
          <cell r="K1584">
            <v>43139</v>
          </cell>
          <cell r="L1584" t="str">
            <v>ANGELA MARIA RODRIGUEZ RUBIANO</v>
          </cell>
          <cell r="M1584">
            <v>31</v>
          </cell>
          <cell r="N1584" t="str">
            <v>RESOLUCION</v>
          </cell>
          <cell r="O1584">
            <v>557</v>
          </cell>
          <cell r="P1584">
            <v>43139</v>
          </cell>
          <cell r="Q1584" t="str">
            <v>AYUDA TEMPORAL A LAS FAMILIAS DE VARIAS LOCALIDADES, PARA RELOCALIZACIÓN DE HOGARES LOCALIZADOS EN ZONAS DE ALTO RIESGO NO MITIGABLE ID:2014-Q09-00805, LOCALIDAD:19 CIUDAD BOLÍVAR, UPZ:67 LUCERO, SECTOR:QUEBRADA TROMPETA</v>
          </cell>
          <cell r="R1584">
            <v>3017000</v>
          </cell>
          <cell r="S1584">
            <v>431000</v>
          </cell>
          <cell r="T1584">
            <v>0</v>
          </cell>
          <cell r="U1584">
            <v>2586000</v>
          </cell>
          <cell r="V1584">
            <v>2586000</v>
          </cell>
        </row>
        <row r="1585">
          <cell r="J1585">
            <v>947</v>
          </cell>
          <cell r="K1585">
            <v>43139</v>
          </cell>
          <cell r="L1585" t="str">
            <v>GILMA  GIRALDO FLOREZ</v>
          </cell>
          <cell r="M1585">
            <v>31</v>
          </cell>
          <cell r="N1585" t="str">
            <v>RESOLUCION</v>
          </cell>
          <cell r="O1585">
            <v>492</v>
          </cell>
          <cell r="P1585">
            <v>43139</v>
          </cell>
          <cell r="Q1585" t="str">
            <v>AYUDA TEMPORAL A LAS FAMILIAS DE VARIAS LOCALIDADES, PARA RELOCALIZACIÓN DE HOGARES LOCALIZADOS EN ZONAS DE ALTO RIESGO NO MITIGABLE ID:2013-Q10-00199, LOCALIDAD:19 CIUDAD BOLÍVAR, UPZ:69 ISMAEL PERDOMO, SECTOR:ZANJÓN MURALLA</v>
          </cell>
          <cell r="R1585">
            <v>5863585</v>
          </cell>
          <cell r="S1585">
            <v>0</v>
          </cell>
          <cell r="T1585">
            <v>0</v>
          </cell>
          <cell r="U1585">
            <v>5863585</v>
          </cell>
          <cell r="V1585">
            <v>3608360</v>
          </cell>
        </row>
        <row r="1586">
          <cell r="J1586">
            <v>948</v>
          </cell>
          <cell r="K1586">
            <v>43139</v>
          </cell>
          <cell r="L1586" t="str">
            <v>LINA MARIA RIAZA CANO</v>
          </cell>
          <cell r="M1586">
            <v>31</v>
          </cell>
          <cell r="N1586" t="str">
            <v>RESOLUCION</v>
          </cell>
          <cell r="O1586">
            <v>558</v>
          </cell>
          <cell r="P1586">
            <v>43139</v>
          </cell>
          <cell r="Q1586" t="str">
            <v>AYUDA TEMPORAL A LAS FAMILIAS DE VARIAS LOCALIDADES, PARA RELOCALIZACIÓN DE HOGARES LOCALIZADOS EN ZONAS DE ALTO RIESGO NO MITIGABLE ID:2011-18-12426, LOCALIDAD:18 RAFAEL URIBE URIBE, UPZ:55 DIANA TURBAY, SECTOR:OLA INVERNAL 2010 FOPAE</v>
          </cell>
          <cell r="R1586">
            <v>3374280</v>
          </cell>
          <cell r="S1586">
            <v>482040</v>
          </cell>
          <cell r="T1586">
            <v>0</v>
          </cell>
          <cell r="U1586">
            <v>2892240</v>
          </cell>
          <cell r="V1586">
            <v>2892240</v>
          </cell>
        </row>
        <row r="1587">
          <cell r="J1587">
            <v>949</v>
          </cell>
          <cell r="K1587">
            <v>43139</v>
          </cell>
          <cell r="L1587" t="str">
            <v>JERSON FABIAN RODRIGUEZ VELASQUEZ</v>
          </cell>
          <cell r="M1587">
            <v>31</v>
          </cell>
          <cell r="N1587" t="str">
            <v>RESOLUCION</v>
          </cell>
          <cell r="O1587">
            <v>493</v>
          </cell>
          <cell r="P1587">
            <v>43139</v>
          </cell>
          <cell r="Q1587" t="str">
            <v>AYUDA TEMPORAL A LAS FAMILIAS DE VARIAS LOCALIDADES, PARA RELOCALIZACIÓN DE HOGARES LOCALIZADOS EN ZONAS DE ALTO RIESGO NO MITIGABLE ID:2015-OTR-01368, LOCALIDAD:11 SUBA, UPZ:71 TIBABUYES, SECTOR:GAVILANES</v>
          </cell>
          <cell r="R1587">
            <v>5946005</v>
          </cell>
          <cell r="S1587">
            <v>0</v>
          </cell>
          <cell r="T1587">
            <v>0</v>
          </cell>
          <cell r="U1587">
            <v>5946005</v>
          </cell>
          <cell r="V1587">
            <v>3659080</v>
          </cell>
        </row>
        <row r="1588">
          <cell r="J1588">
            <v>950</v>
          </cell>
          <cell r="K1588">
            <v>43139</v>
          </cell>
          <cell r="L1588" t="str">
            <v>GEIDY MARCELA SAGANOME CABRERA</v>
          </cell>
          <cell r="M1588">
            <v>31</v>
          </cell>
          <cell r="N1588" t="str">
            <v>RESOLUCION</v>
          </cell>
          <cell r="O1588">
            <v>507</v>
          </cell>
          <cell r="P1588">
            <v>43139</v>
          </cell>
          <cell r="Q1588" t="str">
            <v>AYUDA TEMPORAL A LAS FAMILIAS DE VARIAS LOCALIDADES, PARA RELOCALIZACIÓN DE HOGARES LOCALIZADOS EN ZONAS DE ALTO RIESGO NO MITIGABLE ID:2014-OTR-01193, LOCALIDAD:11 SUBA, UPZ:71 TIBABUYES, SECTOR:GAVILANES</v>
          </cell>
          <cell r="R1588">
            <v>2586000</v>
          </cell>
          <cell r="S1588">
            <v>431000</v>
          </cell>
          <cell r="T1588">
            <v>0</v>
          </cell>
          <cell r="U1588">
            <v>2155000</v>
          </cell>
          <cell r="V1588">
            <v>2155000</v>
          </cell>
        </row>
        <row r="1589">
          <cell r="J1589">
            <v>951</v>
          </cell>
          <cell r="K1589">
            <v>43139</v>
          </cell>
          <cell r="L1589" t="str">
            <v>LUZ MARITSA VALENCIA UYOKE</v>
          </cell>
          <cell r="M1589">
            <v>31</v>
          </cell>
          <cell r="N1589" t="str">
            <v>RESOLUCION</v>
          </cell>
          <cell r="O1589">
            <v>494</v>
          </cell>
          <cell r="P1589">
            <v>43139</v>
          </cell>
          <cell r="Q1589" t="str">
            <v>AYUDA TEMPORAL A LAS FAMILIAS DE VARIAS LOCALIDADES, PARA RELOCALIZACIÓN DE HOGARES LOCALIZADOS EN ZONAS DE ALTO RIESGO NO MITIGABLE ID:2015-W166-411, LOCALIDAD:04 SAN CRISTÓBAL, UPZ:32 SAN BLAS, SECTOR:UITOTO</v>
          </cell>
          <cell r="R1589">
            <v>5947019</v>
          </cell>
          <cell r="S1589">
            <v>0</v>
          </cell>
          <cell r="T1589">
            <v>0</v>
          </cell>
          <cell r="U1589">
            <v>5947019</v>
          </cell>
          <cell r="V1589">
            <v>3659704</v>
          </cell>
        </row>
        <row r="1590">
          <cell r="J1590">
            <v>952</v>
          </cell>
          <cell r="K1590">
            <v>43139</v>
          </cell>
          <cell r="L1590" t="str">
            <v>CLAUDIA PATRICIA POLOCHE</v>
          </cell>
          <cell r="M1590">
            <v>31</v>
          </cell>
          <cell r="N1590" t="str">
            <v>RESOLUCION</v>
          </cell>
          <cell r="O1590">
            <v>559</v>
          </cell>
          <cell r="P1590">
            <v>43139</v>
          </cell>
          <cell r="Q1590" t="str">
            <v>AYUDA TEMPORAL A LAS FAMILIAS DE VARIAS LOCALIDADES, PARA RELOCALIZACIÓN DE HOGARES LOCALIZADOS EN ZONAS DE ALTO RIESGO NO MITIGABLE ID:2010-4-11980, LOCALIDAD:04 SAN CRISTÓBAL, UPZ:32 SAN BLAS, SECTOR:OLA INVERNAL 2010 FOPAE</v>
          </cell>
          <cell r="R1590">
            <v>2845920</v>
          </cell>
          <cell r="S1590">
            <v>406560</v>
          </cell>
          <cell r="T1590">
            <v>0</v>
          </cell>
          <cell r="U1590">
            <v>2439360</v>
          </cell>
          <cell r="V1590">
            <v>2439360</v>
          </cell>
        </row>
        <row r="1591">
          <cell r="J1591">
            <v>953</v>
          </cell>
          <cell r="K1591">
            <v>43139</v>
          </cell>
          <cell r="L1591" t="str">
            <v>CILVINA  RODRIGUEZ ROMERO</v>
          </cell>
          <cell r="M1591">
            <v>31</v>
          </cell>
          <cell r="N1591" t="str">
            <v>RESOLUCION</v>
          </cell>
          <cell r="O1591">
            <v>495</v>
          </cell>
          <cell r="P1591">
            <v>43139</v>
          </cell>
          <cell r="Q1591" t="str">
            <v>AYUDA TEMPORAL A LAS FAMILIAS DE VARIAS LOCALIDADES, PARA RELOCALIZACIÓN DE HOGARES LOCALIZADOS EN ZONAS DE ALTO RIESGO NO MITIGABLE ID:2011-4-12707, LOCALIDAD:04 SAN CRISTÓBAL, UPZ:32 SAN BLAS</v>
          </cell>
          <cell r="R1591">
            <v>2977345</v>
          </cell>
          <cell r="S1591">
            <v>425335</v>
          </cell>
          <cell r="T1591">
            <v>0</v>
          </cell>
          <cell r="U1591">
            <v>2552010</v>
          </cell>
          <cell r="V1591">
            <v>2552010</v>
          </cell>
        </row>
        <row r="1592">
          <cell r="J1592">
            <v>954</v>
          </cell>
          <cell r="K1592">
            <v>43139</v>
          </cell>
          <cell r="L1592" t="str">
            <v>JUAN CARLOS PINILLA MONCADA</v>
          </cell>
          <cell r="M1592">
            <v>31</v>
          </cell>
          <cell r="N1592" t="str">
            <v>RESOLUCION</v>
          </cell>
          <cell r="O1592">
            <v>560</v>
          </cell>
          <cell r="P1592">
            <v>43139</v>
          </cell>
          <cell r="Q1592" t="str">
            <v>AYUDA TEMPORAL A LAS FAMILIAS DE VARIAS LOCALIDADES, PARA RELOCALIZACIÓN DE HOGARES LOCALIZADOS EN ZONAS DE ALTO RIESGO NO MITIGABLE ID:2011-4-12670, LOCALIDAD:04 SAN CRISTÓBAL, UPZ:32 SAN BLAS</v>
          </cell>
          <cell r="R1592">
            <v>4986969</v>
          </cell>
          <cell r="S1592">
            <v>0</v>
          </cell>
          <cell r="T1592">
            <v>0</v>
          </cell>
          <cell r="U1592">
            <v>4986969</v>
          </cell>
          <cell r="V1592">
            <v>3068904</v>
          </cell>
        </row>
        <row r="1593">
          <cell r="J1593">
            <v>955</v>
          </cell>
          <cell r="K1593">
            <v>43139</v>
          </cell>
          <cell r="L1593" t="str">
            <v>LILIANA MARCELA CADENA</v>
          </cell>
          <cell r="M1593">
            <v>31</v>
          </cell>
          <cell r="N1593" t="str">
            <v>RESOLUCION</v>
          </cell>
          <cell r="O1593">
            <v>496</v>
          </cell>
          <cell r="P1593">
            <v>43139</v>
          </cell>
          <cell r="Q1593" t="str">
            <v>AYUDA TEMPORAL A LAS FAMILIAS DE VARIAS LOCALIDADES, PARA RELOCALIZACIÓN DE HOGARES LOCALIZADOS EN ZONAS DE ALTO RIESGO NO MITIGABLE ID:2011-19-12742, LOCALIDAD:19 CIUDAD BOLÍVAR, UPZ:68 EL TESORO, SECTOR:QUEBRADA TROMPETA</v>
          </cell>
          <cell r="R1593">
            <v>2924376</v>
          </cell>
          <cell r="S1593">
            <v>0</v>
          </cell>
          <cell r="T1593">
            <v>0</v>
          </cell>
          <cell r="U1593">
            <v>2924376</v>
          </cell>
          <cell r="V1593">
            <v>2506608</v>
          </cell>
        </row>
        <row r="1594">
          <cell r="J1594">
            <v>956</v>
          </cell>
          <cell r="K1594">
            <v>43139</v>
          </cell>
          <cell r="L1594" t="str">
            <v>CARLOS JOSE DIMATE VILLARRAGA</v>
          </cell>
          <cell r="M1594">
            <v>31</v>
          </cell>
          <cell r="N1594" t="str">
            <v>RESOLUCION</v>
          </cell>
          <cell r="O1594">
            <v>561</v>
          </cell>
          <cell r="P1594">
            <v>43139</v>
          </cell>
          <cell r="Q1594" t="str">
            <v>AYUDA TEMPORAL A LAS FAMILIAS DE VARIAS LOCALIDADES, PARA RELOCALIZACIÓN DE HOGARES LOCALIZADOS EN ZONAS DE ALTO RIESGO NO MITIGABLE ID:2010-5-11555, LOCALIDAD:05 USME, UPZ:57 GRAN YOMASA, SECTOR:OLA INVERNAL 2010 FOPAE</v>
          </cell>
          <cell r="R1594">
            <v>2924376</v>
          </cell>
          <cell r="S1594">
            <v>417768</v>
          </cell>
          <cell r="T1594">
            <v>0</v>
          </cell>
          <cell r="U1594">
            <v>2506608</v>
          </cell>
          <cell r="V1594">
            <v>2506608</v>
          </cell>
        </row>
        <row r="1595">
          <cell r="J1595">
            <v>957</v>
          </cell>
          <cell r="K1595">
            <v>43139</v>
          </cell>
          <cell r="L1595" t="str">
            <v>MARIA MARGARITA COMESAQUIRA RISCANEVO</v>
          </cell>
          <cell r="M1595">
            <v>31</v>
          </cell>
          <cell r="N1595" t="str">
            <v>RESOLUCION</v>
          </cell>
          <cell r="O1595">
            <v>497</v>
          </cell>
          <cell r="P1595">
            <v>43139</v>
          </cell>
          <cell r="Q1595" t="str">
            <v>AYUDA TEMPORAL A LAS FAMILIAS DE VARIAS LOCALIDADES, PARA RELOCALIZACIÓN DE HOGARES LOCALIZADOS EN ZONAS DE ALTO RIESGO NO MITIGABLE ID:2012-19-14152, LOCALIDAD:19 CIUDAD BOLÍVAR, UPZ:68 EL TESORO, SECTOR:QUEBRADA TROMPETA</v>
          </cell>
          <cell r="R1595">
            <v>2582006</v>
          </cell>
          <cell r="S1595">
            <v>368858</v>
          </cell>
          <cell r="T1595">
            <v>0</v>
          </cell>
          <cell r="U1595">
            <v>2213148</v>
          </cell>
          <cell r="V1595">
            <v>2213148</v>
          </cell>
        </row>
        <row r="1596">
          <cell r="J1596">
            <v>958</v>
          </cell>
          <cell r="K1596">
            <v>43139</v>
          </cell>
          <cell r="L1596" t="str">
            <v>MARIA INES ISMARE PIRAZA</v>
          </cell>
          <cell r="M1596">
            <v>31</v>
          </cell>
          <cell r="N1596" t="str">
            <v>RESOLUCION</v>
          </cell>
          <cell r="O1596">
            <v>498</v>
          </cell>
          <cell r="P1596">
            <v>43139</v>
          </cell>
          <cell r="Q1596" t="str">
            <v>AYUDA TEMPORAL A LAS FAMILIAS DE VARIAS LOCALIDADES, PARA RELOCALIZACIÓN DE HOGARES LOCALIZADOS EN ZONAS DE ALTO RIESGO NO MITIGABLE ID:2014-W166-095, LOCALIDAD:19 CIUDAD BOLÍVAR, UPZ:68 EL TESORO, SECTOR:WOUNAAN</v>
          </cell>
          <cell r="R1596">
            <v>6236100</v>
          </cell>
          <cell r="S1596">
            <v>0</v>
          </cell>
          <cell r="T1596">
            <v>0</v>
          </cell>
          <cell r="U1596">
            <v>6236100</v>
          </cell>
          <cell r="V1596">
            <v>3837600</v>
          </cell>
        </row>
        <row r="1597">
          <cell r="J1597">
            <v>959</v>
          </cell>
          <cell r="K1597">
            <v>43139</v>
          </cell>
          <cell r="L1597" t="str">
            <v>ERSIN  MALAGA PIZARIO</v>
          </cell>
          <cell r="M1597">
            <v>31</v>
          </cell>
          <cell r="N1597" t="str">
            <v>RESOLUCION</v>
          </cell>
          <cell r="O1597">
            <v>499</v>
          </cell>
          <cell r="P1597">
            <v>43139</v>
          </cell>
          <cell r="Q1597" t="str">
            <v>AYUDA TEMPORAL A LAS FAMILIAS DE VARIAS LOCALIDADES, PARA RELOCALIZACIÓN DE HOGARES LOCALIZADOS EN ZONAS DE ALTO RIESGO NO MITIGABLE ID:2014-W166-056, LOCALIDAD:19 CIUDAD BOLÍVAR, UPZ:68 EL TESORO, SECTOR:WOUNAAN</v>
          </cell>
          <cell r="R1597">
            <v>4795154</v>
          </cell>
          <cell r="S1597">
            <v>0</v>
          </cell>
          <cell r="T1597">
            <v>0</v>
          </cell>
          <cell r="U1597">
            <v>4795154</v>
          </cell>
          <cell r="V1597">
            <v>2950864</v>
          </cell>
        </row>
        <row r="1598">
          <cell r="J1598">
            <v>960</v>
          </cell>
          <cell r="K1598">
            <v>43139</v>
          </cell>
          <cell r="L1598" t="str">
            <v>NANY  ISMARE PIRAZA</v>
          </cell>
          <cell r="M1598">
            <v>31</v>
          </cell>
          <cell r="N1598" t="str">
            <v>RESOLUCION</v>
          </cell>
          <cell r="O1598">
            <v>500</v>
          </cell>
          <cell r="P1598">
            <v>43139</v>
          </cell>
          <cell r="Q1598" t="str">
            <v>AYUDA TEMPORAL A LAS FAMILIAS DE VARIAS LOCALIDADES, PARA RELOCALIZACIÓN DE HOGARES LOCALIZADOS EN ZONAS DE ALTO RIESGO NO MITIGABLE ID:2014-W166-104, LOCALIDAD:19 CIUDAD BOLÍVAR, UPZ:67 LUCERO, SECTOR:WOUNAAN</v>
          </cell>
          <cell r="R1598">
            <v>5528393</v>
          </cell>
          <cell r="S1598">
            <v>0</v>
          </cell>
          <cell r="T1598">
            <v>0</v>
          </cell>
          <cell r="U1598">
            <v>5528393</v>
          </cell>
          <cell r="V1598">
            <v>3402088</v>
          </cell>
        </row>
        <row r="1599">
          <cell r="J1599">
            <v>961</v>
          </cell>
          <cell r="K1599">
            <v>43139</v>
          </cell>
          <cell r="L1599" t="str">
            <v>NELSY  CHOCHO MEMBACHE</v>
          </cell>
          <cell r="M1599">
            <v>31</v>
          </cell>
          <cell r="N1599" t="str">
            <v>RESOLUCION</v>
          </cell>
          <cell r="O1599">
            <v>508</v>
          </cell>
          <cell r="P1599">
            <v>43139</v>
          </cell>
          <cell r="Q1599" t="str">
            <v>AYUDA TEMPORAL A LAS FAMILIAS DE VARIAS LOCALIDADES, PARA RELOCALIZACIÓN DE HOGARES LOCALIZADOS EN ZONAS DE ALTO RIESGO NO MITIGABLE ID:2015-W166-435, LOCALIDAD:19 CIUDAD BOLÍVAR, UPZ:67 LUCERO, SECTOR:WOUNAAN</v>
          </cell>
          <cell r="R1599">
            <v>5947019</v>
          </cell>
          <cell r="S1599">
            <v>0</v>
          </cell>
          <cell r="T1599">
            <v>0</v>
          </cell>
          <cell r="U1599">
            <v>5947019</v>
          </cell>
          <cell r="V1599">
            <v>3659704</v>
          </cell>
        </row>
        <row r="1600">
          <cell r="J1600">
            <v>962</v>
          </cell>
          <cell r="K1600">
            <v>43139</v>
          </cell>
          <cell r="L1600" t="str">
            <v>ANA DOLORES BERNAL DE OÑATE</v>
          </cell>
          <cell r="M1600">
            <v>31</v>
          </cell>
          <cell r="N1600" t="str">
            <v>RESOLUCION</v>
          </cell>
          <cell r="O1600">
            <v>562</v>
          </cell>
          <cell r="P1600">
            <v>43139</v>
          </cell>
          <cell r="Q1600" t="str">
            <v>AYUDA TEMPORAL A LAS FAMILIAS DE VARIAS LOCALIDADES, PARA RELOCALIZACIÓN DE HOGARES LOCALIZADOS EN ZONAS DE ALTO RIESGO NO MITIGABLE ID:2011-4-13161, LOCALIDAD:04 SAN CRISTÓBAL, UPZ:34 20 DE JULIO</v>
          </cell>
          <cell r="R1600">
            <v>3041416</v>
          </cell>
          <cell r="S1600">
            <v>0</v>
          </cell>
          <cell r="T1600">
            <v>0</v>
          </cell>
          <cell r="U1600">
            <v>3041416</v>
          </cell>
          <cell r="V1600">
            <v>760354</v>
          </cell>
        </row>
        <row r="1601">
          <cell r="J1601">
            <v>963</v>
          </cell>
          <cell r="K1601">
            <v>43139</v>
          </cell>
          <cell r="L1601" t="str">
            <v>RODOLFO  CHIRIMIA MERCAZA</v>
          </cell>
          <cell r="M1601">
            <v>31</v>
          </cell>
          <cell r="N1601" t="str">
            <v>RESOLUCION</v>
          </cell>
          <cell r="O1601">
            <v>501</v>
          </cell>
          <cell r="P1601">
            <v>43139</v>
          </cell>
          <cell r="Q1601" t="str">
            <v>AYUDA TEMPORAL A LAS FAMILIAS DE VARIAS LOCALIDADES, PARA RELOCALIZACIÓN DE HOGARES LOCALIZADOS EN ZONAS DE ALTO RIESGO NO MITIGABLE ID:2014-W166-011, LOCALIDAD:19 CIUDAD BOLÍVAR, UPZ:68 EL TESORO, SECTOR:WOUNAAN</v>
          </cell>
          <cell r="R1601">
            <v>5285280</v>
          </cell>
          <cell r="S1601">
            <v>0</v>
          </cell>
          <cell r="T1601">
            <v>0</v>
          </cell>
          <cell r="U1601">
            <v>5285280</v>
          </cell>
          <cell r="V1601">
            <v>3252480</v>
          </cell>
        </row>
        <row r="1602">
          <cell r="J1602">
            <v>964</v>
          </cell>
          <cell r="K1602">
            <v>43139</v>
          </cell>
          <cell r="L1602" t="str">
            <v>SANDRA MILENA SANCHEZ RODRIGUEZ</v>
          </cell>
          <cell r="M1602">
            <v>31</v>
          </cell>
          <cell r="N1602" t="str">
            <v>RESOLUCION</v>
          </cell>
          <cell r="O1602">
            <v>563</v>
          </cell>
          <cell r="P1602">
            <v>43139</v>
          </cell>
          <cell r="Q1602" t="str">
            <v>AYUDA TEMPORAL A LAS FAMILIAS DE VARIAS LOCALIDADES, PARA RELOCALIZACIÓN DE HOGARES LOCALIZADOS EN ZONAS DE ALTO RIESGO NO MITIGABLE ID:2007-18-10201, LOCALIDAD:18 RAFAEL URIBE URIBE, UPZ:55 DIANA TURBAY</v>
          </cell>
          <cell r="R1602">
            <v>6233708</v>
          </cell>
          <cell r="S1602">
            <v>0</v>
          </cell>
          <cell r="T1602">
            <v>0</v>
          </cell>
          <cell r="U1602">
            <v>6233708</v>
          </cell>
          <cell r="V1602">
            <v>2397580</v>
          </cell>
        </row>
        <row r="1603">
          <cell r="J1603">
            <v>965</v>
          </cell>
          <cell r="K1603">
            <v>43139</v>
          </cell>
          <cell r="L1603" t="str">
            <v>SONIA PATRICIA PINILLA</v>
          </cell>
          <cell r="M1603">
            <v>31</v>
          </cell>
          <cell r="N1603" t="str">
            <v>RESOLUCION</v>
          </cell>
          <cell r="O1603">
            <v>502</v>
          </cell>
          <cell r="P1603">
            <v>43139</v>
          </cell>
          <cell r="Q1603" t="str">
            <v>AYUDA TEMPORAL A LAS FAMILIAS DE VARIAS LOCALIDADES, PARA RELOCALIZACIÓN DE HOGARES LOCALIZADOS EN ZONAS DE ALTO RIESGO NO MITIGABLE ID:2016-08-14790, LOCALIDAD:08 KENNEDY, UPZ:82 PATIO BONITO, SECTOR:PALMITAS</v>
          </cell>
          <cell r="R1603">
            <v>6713226</v>
          </cell>
          <cell r="S1603">
            <v>0</v>
          </cell>
          <cell r="T1603">
            <v>0</v>
          </cell>
          <cell r="U1603">
            <v>6713226</v>
          </cell>
          <cell r="V1603">
            <v>4131216</v>
          </cell>
        </row>
        <row r="1604">
          <cell r="J1604">
            <v>966</v>
          </cell>
          <cell r="K1604">
            <v>43139</v>
          </cell>
          <cell r="L1604" t="str">
            <v>YAMILE HELENA PEREZ LIZARAZO</v>
          </cell>
          <cell r="M1604">
            <v>31</v>
          </cell>
          <cell r="N1604" t="str">
            <v>RESOLUCION</v>
          </cell>
          <cell r="O1604">
            <v>509</v>
          </cell>
          <cell r="P1604">
            <v>43139</v>
          </cell>
          <cell r="Q1604" t="str">
            <v>AYUDA TEMPORAL A LAS FAMILIAS DE VARIAS LOCALIDADES, PARA RELOCALIZACIÓN DE HOGARES LOCALIZADOS EN ZONAS DE ALTO RIESGO NO MITIGABLE ID:2012-ALES-465, LOCALIDAD:19 CIUDAD BOLÍVAR, UPZ:69 ISMAEL PERDOMO, SECTOR:ALTOS DE LA ESTANCIA</v>
          </cell>
          <cell r="R1604">
            <v>3788778</v>
          </cell>
          <cell r="S1604">
            <v>0</v>
          </cell>
          <cell r="T1604">
            <v>0</v>
          </cell>
          <cell r="U1604">
            <v>3788778</v>
          </cell>
          <cell r="V1604">
            <v>2706270</v>
          </cell>
        </row>
        <row r="1605">
          <cell r="J1605">
            <v>967</v>
          </cell>
          <cell r="K1605">
            <v>43139</v>
          </cell>
          <cell r="L1605" t="str">
            <v>NOHORA LIGIA LONDOÑO RINCON</v>
          </cell>
          <cell r="M1605">
            <v>31</v>
          </cell>
          <cell r="N1605" t="str">
            <v>RESOLUCION</v>
          </cell>
          <cell r="O1605">
            <v>503</v>
          </cell>
          <cell r="P1605">
            <v>43139</v>
          </cell>
          <cell r="Q1605" t="str">
            <v>AYUDA TEMPORAL A LAS FAMILIAS DE VARIAS LOCALIDADES, PARA RELOCALIZACIÓN DE HOGARES LOCALIZADOS EN ZONAS DE ALTO RIESGO NO MITIGABLE ID:2012-19-14388, LOCALIDAD:19 CIUDAD BOLÍVAR, UPZ:68 EL TESORO</v>
          </cell>
          <cell r="R1605">
            <v>3136140</v>
          </cell>
          <cell r="S1605">
            <v>448020</v>
          </cell>
          <cell r="T1605">
            <v>0</v>
          </cell>
          <cell r="U1605">
            <v>2688120</v>
          </cell>
          <cell r="V1605">
            <v>2688120</v>
          </cell>
        </row>
        <row r="1606">
          <cell r="J1606">
            <v>968</v>
          </cell>
          <cell r="K1606">
            <v>43139</v>
          </cell>
          <cell r="L1606" t="str">
            <v>CLEMENTINA  CORDOBA TOQUICA</v>
          </cell>
          <cell r="M1606">
            <v>31</v>
          </cell>
          <cell r="N1606" t="str">
            <v>RESOLUCION</v>
          </cell>
          <cell r="O1606">
            <v>564</v>
          </cell>
          <cell r="P1606">
            <v>43139</v>
          </cell>
          <cell r="Q1606" t="str">
            <v>AYUDA TEMPORAL A LAS FAMILIAS DE VARIAS LOCALIDADES, PARA RELOCALIZACIÓN DE HOGARES LOCALIZADOS EN ZONAS DE ALTO RIESGO NO MITIGABLE ID:2013-Q21-00597, LOCALIDAD:19 CIUDAD BOLÍVAR, UPZ:67 LUCERO, SECTOR:BRAZO DERECHO DE LIMAS</v>
          </cell>
          <cell r="R1606">
            <v>3017000</v>
          </cell>
          <cell r="S1606">
            <v>431000</v>
          </cell>
          <cell r="T1606">
            <v>0</v>
          </cell>
          <cell r="U1606">
            <v>2586000</v>
          </cell>
          <cell r="V1606">
            <v>2586000</v>
          </cell>
        </row>
        <row r="1607">
          <cell r="J1607">
            <v>969</v>
          </cell>
          <cell r="K1607">
            <v>43139</v>
          </cell>
          <cell r="L1607" t="str">
            <v>FELICIANO  QUINTERO CHIRIPUA</v>
          </cell>
          <cell r="M1607">
            <v>31</v>
          </cell>
          <cell r="N1607" t="str">
            <v>RESOLUCION</v>
          </cell>
          <cell r="O1607">
            <v>504</v>
          </cell>
          <cell r="P1607">
            <v>43139</v>
          </cell>
          <cell r="Q1607" t="str">
            <v>AYUDA TEMPORAL A LAS FAMILIAS DE VARIAS LOCALIDADES, PARA RELOCALIZACIÓN DE HOGARES LOCALIZADOS EN ZONAS DE ALTO RIESGO NO MITIGABLE ID:2015-W166-425, LOCALIDAD:19 CIUDAD BOLÍVAR, UPZ:68 EL TESORO, SECTOR:WOUNAAN</v>
          </cell>
          <cell r="R1607">
            <v>7036432</v>
          </cell>
          <cell r="S1607">
            <v>0</v>
          </cell>
          <cell r="T1607">
            <v>0</v>
          </cell>
          <cell r="U1607">
            <v>7036432</v>
          </cell>
          <cell r="V1607">
            <v>4330112</v>
          </cell>
        </row>
        <row r="1608">
          <cell r="J1608">
            <v>970</v>
          </cell>
          <cell r="K1608">
            <v>43139</v>
          </cell>
          <cell r="L1608" t="str">
            <v>MARIA GUADALUPE PULIDO GONZALEZ</v>
          </cell>
          <cell r="M1608">
            <v>31</v>
          </cell>
          <cell r="N1608" t="str">
            <v>RESOLUCION</v>
          </cell>
          <cell r="O1608">
            <v>505</v>
          </cell>
          <cell r="P1608">
            <v>43139</v>
          </cell>
          <cell r="Q1608" t="str">
            <v>AYUDA TEMPORAL A LAS FAMILIAS DE VARIAS LOCALIDADES, PARA RELOCALIZACIÓN DE HOGARES LOCALIZADOS EN ZONAS DE ALTO RIESGO NO MITIGABLE ID:2015-OTR-01363, LOCALIDAD:19 CIUDAD BOLÍVAR, UPZ:67 LUCERO, SECTOR:TABOR ALTALOMA</v>
          </cell>
          <cell r="R1608">
            <v>4647615</v>
          </cell>
          <cell r="S1608">
            <v>663945</v>
          </cell>
          <cell r="T1608">
            <v>0</v>
          </cell>
          <cell r="U1608">
            <v>3983670</v>
          </cell>
          <cell r="V1608">
            <v>3983670</v>
          </cell>
        </row>
        <row r="1609">
          <cell r="J1609">
            <v>971</v>
          </cell>
          <cell r="K1609">
            <v>43139</v>
          </cell>
          <cell r="L1609" t="str">
            <v>MARIA KATHERINE GARCIA DEAZA</v>
          </cell>
          <cell r="M1609">
            <v>31</v>
          </cell>
          <cell r="N1609" t="str">
            <v>RESOLUCION</v>
          </cell>
          <cell r="O1609">
            <v>506</v>
          </cell>
          <cell r="P1609">
            <v>43139</v>
          </cell>
          <cell r="Q1609" t="str">
            <v>AYUDA TEMPORAL A LAS FAMILIAS DE VARIAS LOCALIDADES, PARA RELOCALIZACIÓN DE HOGARES LOCALIZADOS EN ZONAS DE ALTO RIESGO NO MITIGABLE ID:2016-08-14806, LOCALIDAD:08 KENNEDY, UPZ:82 PATIO BONITO, SECTOR:PALMITAS</v>
          </cell>
          <cell r="R1609">
            <v>5754190</v>
          </cell>
          <cell r="S1609">
            <v>0</v>
          </cell>
          <cell r="T1609">
            <v>0</v>
          </cell>
          <cell r="U1609">
            <v>5754190</v>
          </cell>
          <cell r="V1609">
            <v>2213150</v>
          </cell>
        </row>
        <row r="1610">
          <cell r="J1610">
            <v>972</v>
          </cell>
          <cell r="K1610">
            <v>43139</v>
          </cell>
          <cell r="L1610" t="str">
            <v>FLOR DABEIBA POSADA BEDOYA</v>
          </cell>
          <cell r="M1610">
            <v>31</v>
          </cell>
          <cell r="N1610" t="str">
            <v>RESOLUCION</v>
          </cell>
          <cell r="O1610">
            <v>510</v>
          </cell>
          <cell r="P1610">
            <v>43139</v>
          </cell>
          <cell r="Q1610" t="str">
            <v>AYUDA TEMPORAL A LAS FAMILIAS DE VARIAS LOCALIDADES, PARA RELOCALIZACIÓN DE HOGARES LOCALIZADOS EN ZONAS DE ALTO RIESGO NO MITIGABLE ID:2016-08-14908, LOCALIDAD:08 KENNEDY, UPZ:82 PATIO BONITO, SECTOR:PALMITAS</v>
          </cell>
          <cell r="R1610">
            <v>5178690</v>
          </cell>
          <cell r="S1610">
            <v>0</v>
          </cell>
          <cell r="T1610">
            <v>0</v>
          </cell>
          <cell r="U1610">
            <v>5178690</v>
          </cell>
          <cell r="V1610">
            <v>4603280</v>
          </cell>
        </row>
        <row r="1611">
          <cell r="J1611">
            <v>973</v>
          </cell>
          <cell r="K1611">
            <v>43139</v>
          </cell>
          <cell r="L1611" t="str">
            <v>HECTOR  DE LA CRUZ MONCAYO</v>
          </cell>
          <cell r="M1611">
            <v>31</v>
          </cell>
          <cell r="N1611" t="str">
            <v>RESOLUCION</v>
          </cell>
          <cell r="O1611">
            <v>511</v>
          </cell>
          <cell r="P1611">
            <v>43139</v>
          </cell>
          <cell r="Q1611" t="str">
            <v>AAYUDA TEMPORAL A LAS FAMILIAS DE VARIAS LOCALIDADES, PARA RELOCALIZACIÓN DE HOGARES LOCALIZADOS EN ZONAS DE ALTO RIESGO NO MITIGABLE ID:2015-D227-00058, LOCALIDAD:04 SAN CRISTÓBAL, UPZ:51 LOS LIBERTADORES, SECTOR:SANTA TERESITA</v>
          </cell>
          <cell r="R1611">
            <v>4774653</v>
          </cell>
          <cell r="S1611">
            <v>0</v>
          </cell>
          <cell r="T1611">
            <v>0</v>
          </cell>
          <cell r="U1611">
            <v>4774653</v>
          </cell>
          <cell r="V1611">
            <v>2938248</v>
          </cell>
        </row>
        <row r="1612">
          <cell r="J1612">
            <v>974</v>
          </cell>
          <cell r="K1612">
            <v>43139</v>
          </cell>
          <cell r="L1612" t="str">
            <v>WILMER  PIRAZA CARPIO</v>
          </cell>
          <cell r="M1612">
            <v>31</v>
          </cell>
          <cell r="N1612" t="str">
            <v>RESOLUCION</v>
          </cell>
          <cell r="O1612">
            <v>585</v>
          </cell>
          <cell r="P1612">
            <v>43139</v>
          </cell>
          <cell r="Q1612" t="str">
            <v>AYUDA TEMPORAL A LAS FAMILIAS DE VARIAS LOCALIDADES, PARA RELOCALIZACIÓN DE HOGARES LOCALIZADOS EN ZONAS DE ALTO RIESGO NO MITIGABLE ID:2014-W166-033, LOCALIDAD:19 CIUDAD BOLÍVAR, UPZ:67 LUCERO, SECTOR:WOUNAAN</v>
          </cell>
          <cell r="R1612">
            <v>5285280</v>
          </cell>
          <cell r="S1612">
            <v>0</v>
          </cell>
          <cell r="T1612">
            <v>0</v>
          </cell>
          <cell r="U1612">
            <v>5285280</v>
          </cell>
          <cell r="V1612">
            <v>3252480</v>
          </cell>
        </row>
        <row r="1613">
          <cell r="J1613">
            <v>975</v>
          </cell>
          <cell r="K1613">
            <v>43139</v>
          </cell>
          <cell r="L1613" t="str">
            <v>RUFINA  PAEZ MONTAÑA</v>
          </cell>
          <cell r="M1613">
            <v>31</v>
          </cell>
          <cell r="N1613" t="str">
            <v>RESOLUCION</v>
          </cell>
          <cell r="O1613">
            <v>586</v>
          </cell>
          <cell r="P1613">
            <v>43139</v>
          </cell>
          <cell r="Q1613" t="str">
            <v>AYUDA TEMPORAL A LAS FAMILIAS DE VARIAS LOCALIDADES, PARA RELOCALIZACIÓN DE HOGARES LOCALIZADOS EN ZONAS DE ALTO RIESGO NO MITIGABLE ID:2011-19-12511, LOCALIDAD:19 CIUDAD BOLÍVAR, UPZ:69 ISMAEL PERDOMO, SECTOR:OLA INVERNAL 2010 FOPAE</v>
          </cell>
          <cell r="R1613">
            <v>2723490</v>
          </cell>
          <cell r="S1613">
            <v>778140</v>
          </cell>
          <cell r="T1613">
            <v>0</v>
          </cell>
          <cell r="U1613">
            <v>1945350</v>
          </cell>
          <cell r="V1613">
            <v>1945350</v>
          </cell>
        </row>
        <row r="1614">
          <cell r="J1614">
            <v>976</v>
          </cell>
          <cell r="K1614">
            <v>43139</v>
          </cell>
          <cell r="L1614" t="str">
            <v>SANDRA JASDIBY VILLEGAS CASTRILLON</v>
          </cell>
          <cell r="M1614">
            <v>31</v>
          </cell>
          <cell r="N1614" t="str">
            <v>RESOLUCION</v>
          </cell>
          <cell r="O1614">
            <v>587</v>
          </cell>
          <cell r="P1614">
            <v>43139</v>
          </cell>
          <cell r="Q1614" t="str">
            <v>AYUDA TEMPORAL A LAS FAMILIAS DE VARIAS LOCALIDADES, PARA RELOCALIZACIÓN DE HOGARES LOCALIZADOS EN ZONAS DE ALTO RIESGO NO MITIGABLE ID:2012-19-13798, LOCALIDAD:19 CIUDAD BOLÍVAR, UPZ:67 LUCERO</v>
          </cell>
          <cell r="R1614">
            <v>5430984</v>
          </cell>
          <cell r="S1614">
            <v>0</v>
          </cell>
          <cell r="T1614">
            <v>0</v>
          </cell>
          <cell r="U1614">
            <v>5430984</v>
          </cell>
          <cell r="V1614">
            <v>3342144</v>
          </cell>
        </row>
        <row r="1615">
          <cell r="J1615">
            <v>977</v>
          </cell>
          <cell r="K1615">
            <v>43140</v>
          </cell>
          <cell r="L1615" t="str">
            <v>ANGELA PATRICIA GARZON VARGAS</v>
          </cell>
          <cell r="M1615">
            <v>31</v>
          </cell>
          <cell r="N1615" t="str">
            <v>RESOLUCION</v>
          </cell>
          <cell r="O1615">
            <v>565</v>
          </cell>
          <cell r="P1615">
            <v>43140</v>
          </cell>
          <cell r="Q1615" t="str">
            <v>AYUDA TEMPORAL A LAS FAMILIAS DE VARIAS LOCALIDADES, PARA RELOCALIZACIÓN DE HOGARES LOCALIZADOS EN ZONAS DE ALTO RIESGO NO MITIGABLE ID:2014-4-14692, LOCALIDAD:04 SAN CRISTÓBAL, UPZ:32 SAN BLAS</v>
          </cell>
          <cell r="R1615">
            <v>5603000</v>
          </cell>
          <cell r="S1615">
            <v>0</v>
          </cell>
          <cell r="T1615">
            <v>0</v>
          </cell>
          <cell r="U1615">
            <v>5603000</v>
          </cell>
          <cell r="V1615">
            <v>3448000</v>
          </cell>
        </row>
        <row r="1616">
          <cell r="J1616">
            <v>978</v>
          </cell>
          <cell r="K1616">
            <v>43140</v>
          </cell>
          <cell r="L1616" t="str">
            <v>BLANCA NIEVES GOMEZ PEDRAZA</v>
          </cell>
          <cell r="M1616">
            <v>31</v>
          </cell>
          <cell r="N1616" t="str">
            <v>RESOLUCION</v>
          </cell>
          <cell r="O1616">
            <v>566</v>
          </cell>
          <cell r="P1616">
            <v>43140</v>
          </cell>
          <cell r="Q1616" t="str">
            <v>AYUDA TEMPORAL A LAS FAMILIAS DE VARIAS LOCALIDADES, PARA RELOCALIZACIÓN DE HOGARES LOCALIZADOS EN ZONAS DE ALTO RIESGO NO MITIGABLE ID:2010-19-12181, LOCALIDAD:19 CIUDAD BOLÍVAR, UPZ:67 LUCERO, SECTOR:OLA INVERNAL 2010 FOPAE</v>
          </cell>
          <cell r="R1616">
            <v>5612893</v>
          </cell>
          <cell r="S1616">
            <v>0</v>
          </cell>
          <cell r="T1616">
            <v>0</v>
          </cell>
          <cell r="U1616">
            <v>5612893</v>
          </cell>
          <cell r="V1616">
            <v>3454088</v>
          </cell>
        </row>
        <row r="1617">
          <cell r="J1617">
            <v>979</v>
          </cell>
          <cell r="K1617">
            <v>43140</v>
          </cell>
          <cell r="L1617" t="str">
            <v>ANGELA  GARZON ROA</v>
          </cell>
          <cell r="M1617">
            <v>31</v>
          </cell>
          <cell r="N1617" t="str">
            <v>RESOLUCION</v>
          </cell>
          <cell r="O1617">
            <v>567</v>
          </cell>
          <cell r="P1617">
            <v>43140</v>
          </cell>
          <cell r="Q1617" t="str">
            <v>AYUDA TEMPORAL A LAS FAMILIAS DE VARIAS LOCALIDADES, PARA RELOCALIZACIÓN DE HOGARES LOCALIZADOS EN ZONAS DE ALTO RIESGO NO MITIGABLE ID:2013000262, LOCALIDAD:04 SAN CRISTÓBAL, UPZ:51 LOS LIBERTADORES, SECTOR:QUEBRADA VEREJONES</v>
          </cell>
          <cell r="R1617">
            <v>5031235</v>
          </cell>
          <cell r="S1617">
            <v>0</v>
          </cell>
          <cell r="T1617">
            <v>0</v>
          </cell>
          <cell r="U1617">
            <v>5031235</v>
          </cell>
          <cell r="V1617">
            <v>3659080</v>
          </cell>
        </row>
        <row r="1618">
          <cell r="J1618">
            <v>980</v>
          </cell>
          <cell r="K1618">
            <v>43140</v>
          </cell>
          <cell r="L1618" t="str">
            <v>NELIDA MARTHA CASTILLO HERNANDEZ</v>
          </cell>
          <cell r="M1618">
            <v>31</v>
          </cell>
          <cell r="N1618" t="str">
            <v>RESOLUCION</v>
          </cell>
          <cell r="O1618">
            <v>568</v>
          </cell>
          <cell r="P1618">
            <v>43140</v>
          </cell>
          <cell r="Q1618" t="str">
            <v>AYUDA TEMPORAL A LAS FAMILIAS DE VARIAS LOCALIDADES, PARA RELOCALIZACIÓN DE HOGARES LOCALIZADOS EN ZONAS DE ALTO RIESGO NO MITIGABLE ID:2011-18-12496, LOCALIDAD:18 RAFAEL URIBE URIBE, UPZ:53 MARCO FIDEL SUÁREZ, SECTOR:OLA INVERNAL 2010 FOPAE</v>
          </cell>
          <cell r="R1618">
            <v>3100419</v>
          </cell>
          <cell r="S1618">
            <v>442917</v>
          </cell>
          <cell r="T1618">
            <v>0</v>
          </cell>
          <cell r="U1618">
            <v>2657502</v>
          </cell>
          <cell r="V1618">
            <v>2657502</v>
          </cell>
        </row>
        <row r="1619">
          <cell r="J1619">
            <v>981</v>
          </cell>
          <cell r="K1619">
            <v>43140</v>
          </cell>
          <cell r="L1619" t="str">
            <v>JOSE ARTURO REINA SALGADO</v>
          </cell>
          <cell r="M1619">
            <v>31</v>
          </cell>
          <cell r="N1619" t="str">
            <v>RESOLUCION</v>
          </cell>
          <cell r="O1619">
            <v>569</v>
          </cell>
          <cell r="P1619">
            <v>43140</v>
          </cell>
          <cell r="Q1619" t="str">
            <v>AYUDA TEMPORAL A LAS FAMILIAS DE VARIAS LOCALIDADES, PARA RELOCALIZACIÓN DE HOGARES LOCALIZADOS EN ZONAS DE ALTO RIESGO NO MITIGABLE ID:2007-4-9377, LOCALIDAD:04 SAN CRISTÓBAL, UPZ:32 SAN BLAS</v>
          </cell>
          <cell r="R1619">
            <v>5222100</v>
          </cell>
          <cell r="S1619">
            <v>0</v>
          </cell>
          <cell r="T1619">
            <v>0</v>
          </cell>
          <cell r="U1619">
            <v>5222100</v>
          </cell>
          <cell r="V1619">
            <v>3213600</v>
          </cell>
        </row>
        <row r="1620">
          <cell r="J1620">
            <v>982</v>
          </cell>
          <cell r="K1620">
            <v>43140</v>
          </cell>
          <cell r="L1620" t="str">
            <v>MIGUEL ARCESIO CANIZALES MERCADO</v>
          </cell>
          <cell r="M1620">
            <v>31</v>
          </cell>
          <cell r="N1620" t="str">
            <v>RESOLUCION</v>
          </cell>
          <cell r="O1620">
            <v>570</v>
          </cell>
          <cell r="P1620">
            <v>43140</v>
          </cell>
          <cell r="Q1620" t="str">
            <v>AYUDA TEMPORAL A LAS FAMILIAS DE VARIAS LOCALIDADES, PARA RELOCALIZACIÓN DE HOGARES LOCALIZADOS EN ZONAS DE ALTO RIESGO NO MITIGABLE ID:2016-08-14770, LOCALIDAD:08 KENNEDY, UPZ:82 PATIO BONITO, SECTOR:PALMITAS</v>
          </cell>
          <cell r="R1620">
            <v>6713226</v>
          </cell>
          <cell r="S1620">
            <v>0</v>
          </cell>
          <cell r="T1620">
            <v>0</v>
          </cell>
          <cell r="U1620">
            <v>6713226</v>
          </cell>
          <cell r="V1620">
            <v>4131216</v>
          </cell>
        </row>
        <row r="1621">
          <cell r="J1621">
            <v>983</v>
          </cell>
          <cell r="K1621">
            <v>43140</v>
          </cell>
          <cell r="L1621" t="str">
            <v>SOCORRO  QUIROGA QUIROGA</v>
          </cell>
          <cell r="M1621">
            <v>31</v>
          </cell>
          <cell r="N1621" t="str">
            <v>RESOLUCION</v>
          </cell>
          <cell r="O1621">
            <v>571</v>
          </cell>
          <cell r="P1621">
            <v>43140</v>
          </cell>
          <cell r="Q1621" t="str">
            <v>AYUDA TEMPORAL A LAS FAMILIAS DE VARIAS LOCALIDADES, PARA RELOCALIZACIÓN DE HOGARES LOCALIZADOS EN ZONAS DE ALTO RIESGO NO MITIGABLE ID:2011-4-12923, LOCALIDAD:04 SAN CRISTÓBAL, UPZ:50 LA GLORIA</v>
          </cell>
          <cell r="R1621">
            <v>2895704</v>
          </cell>
          <cell r="S1621">
            <v>413672</v>
          </cell>
          <cell r="T1621">
            <v>0</v>
          </cell>
          <cell r="U1621">
            <v>2482032</v>
          </cell>
          <cell r="V1621">
            <v>2482032</v>
          </cell>
        </row>
        <row r="1622">
          <cell r="J1622">
            <v>984</v>
          </cell>
          <cell r="K1622">
            <v>43140</v>
          </cell>
          <cell r="L1622" t="str">
            <v>GLORIA CECILIA QUIMBAYO SUAREZ</v>
          </cell>
          <cell r="M1622">
            <v>31</v>
          </cell>
          <cell r="N1622" t="str">
            <v>RESOLUCION</v>
          </cell>
          <cell r="O1622">
            <v>572</v>
          </cell>
          <cell r="P1622">
            <v>43140</v>
          </cell>
          <cell r="Q1622" t="str">
            <v>AYUDA TEMPORAL A LAS FAMILIAS DE VARIAS LOCALIDADES, PARA RELOCALIZACIÓN DE HOGARES LOCALIZADOS EN ZONAS DE ALTO RIESGO NO MITIGABLE ID:2003-19-4618, LOCALIDAD:19 CIUDAD BOLÍVAR, UPZ:69 ISMAEL PERDOMO, SECTOR:ALTOS DE LA ESTANCIA</v>
          </cell>
          <cell r="R1622">
            <v>2845920</v>
          </cell>
          <cell r="S1622">
            <v>406560</v>
          </cell>
          <cell r="T1622">
            <v>0</v>
          </cell>
          <cell r="U1622">
            <v>2439360</v>
          </cell>
          <cell r="V1622">
            <v>2439360</v>
          </cell>
        </row>
        <row r="1623">
          <cell r="J1623">
            <v>985</v>
          </cell>
          <cell r="K1623">
            <v>43140</v>
          </cell>
          <cell r="L1623" t="str">
            <v>NANCY  SILVA CRISTIANO</v>
          </cell>
          <cell r="M1623">
            <v>31</v>
          </cell>
          <cell r="N1623" t="str">
            <v>RESOLUCION</v>
          </cell>
          <cell r="O1623">
            <v>573</v>
          </cell>
          <cell r="P1623">
            <v>43140</v>
          </cell>
          <cell r="Q1623" t="str">
            <v>AYUDA TEMPORAL A LAS FAMILIAS DE VARIAS LOCALIDADES, PARA RELOCALIZACIÓN DE HOGARES LOCALIZADOS EN ZONAS DE ALTO RIESGO NO MITIGABLE ID:2012-19-13922, LOCALIDAD:19 CIUDAD BOLÍVAR, UPZ:67 LUCERO</v>
          </cell>
          <cell r="R1623">
            <v>2849392</v>
          </cell>
          <cell r="S1623">
            <v>407056</v>
          </cell>
          <cell r="T1623">
            <v>0</v>
          </cell>
          <cell r="U1623">
            <v>2442336</v>
          </cell>
          <cell r="V1623">
            <v>2442336</v>
          </cell>
        </row>
        <row r="1624">
          <cell r="J1624">
            <v>986</v>
          </cell>
          <cell r="K1624">
            <v>43140</v>
          </cell>
          <cell r="L1624" t="str">
            <v>JOSE GRATINIANO BOJACA OLIVEROS</v>
          </cell>
          <cell r="M1624">
            <v>31</v>
          </cell>
          <cell r="N1624" t="str">
            <v>RESOLUCION</v>
          </cell>
          <cell r="O1624">
            <v>574</v>
          </cell>
          <cell r="P1624">
            <v>43140</v>
          </cell>
          <cell r="Q1624" t="str">
            <v>AYUDA TEMPORAL A LAS FAMILIAS DE VARIAS LOCALIDADES, PARA RELOCALIZACIÓN DE HOGARES LOCALIZADOS EN ZONAS DE ALTO RIESGO NO MITIGABLE ID:2016-04-14919, LOCALIDAD:04 SAN CRISTÓBAL, UPZ:32 SAN BLAS, SECTOR:TRIANGULO ALTO</v>
          </cell>
          <cell r="R1624">
            <v>5754190</v>
          </cell>
          <cell r="S1624">
            <v>0</v>
          </cell>
          <cell r="T1624">
            <v>0</v>
          </cell>
          <cell r="U1624">
            <v>5754190</v>
          </cell>
          <cell r="V1624">
            <v>3541040</v>
          </cell>
        </row>
        <row r="1625">
          <cell r="J1625">
            <v>987</v>
          </cell>
          <cell r="K1625">
            <v>43140</v>
          </cell>
          <cell r="L1625" t="str">
            <v>CARMEN ROSA HERNANDEZ TORRES</v>
          </cell>
          <cell r="M1625">
            <v>31</v>
          </cell>
          <cell r="N1625" t="str">
            <v>RESOLUCION</v>
          </cell>
          <cell r="O1625">
            <v>575</v>
          </cell>
          <cell r="P1625">
            <v>43140</v>
          </cell>
          <cell r="Q1625" t="str">
            <v>AYUDA TEMPORAL A LAS FAMILIAS DE VARIAS LOCALIDADES, PARA RELOCALIZACIÓN DE HOGARES LOCALIZADOS EN ZONAS DE ALTO RIESGO NO MITIGABLE ID:2015-Q03-03349, LOCALIDAD:19 CIUDAD BOLÍVAR, UPZ:67 LUCERO, SECTOR:LIMAS</v>
          </cell>
          <cell r="R1625">
            <v>6233708</v>
          </cell>
          <cell r="S1625">
            <v>0</v>
          </cell>
          <cell r="T1625">
            <v>0</v>
          </cell>
          <cell r="U1625">
            <v>6233708</v>
          </cell>
          <cell r="V1625">
            <v>3836128</v>
          </cell>
        </row>
        <row r="1626">
          <cell r="J1626">
            <v>988</v>
          </cell>
          <cell r="K1626">
            <v>43140</v>
          </cell>
          <cell r="L1626" t="str">
            <v>YECI PAOLA SAMUDIO SIPACON</v>
          </cell>
          <cell r="M1626">
            <v>31</v>
          </cell>
          <cell r="N1626" t="str">
            <v>RESOLUCION</v>
          </cell>
          <cell r="O1626">
            <v>576</v>
          </cell>
          <cell r="P1626">
            <v>43140</v>
          </cell>
          <cell r="Q1626" t="str">
            <v>AYUDA TEMPORAL A LAS FAMILIAS DE VARIAS LOCALIDADES, PARA RELOCALIZACIÓN DE HOGARES LOCALIZADOS EN ZONAS DE ALTO RIESGO NO MITIGABLE ID:2016-08-14773, LOCALIDAD:08 KENNEDY, UPZ:82 PATIO BONITO, SECTOR:PALMITAS</v>
          </cell>
          <cell r="R1626">
            <v>7480447</v>
          </cell>
          <cell r="S1626">
            <v>0</v>
          </cell>
          <cell r="T1626">
            <v>0</v>
          </cell>
          <cell r="U1626">
            <v>7480447</v>
          </cell>
          <cell r="V1626">
            <v>4603352</v>
          </cell>
        </row>
        <row r="1627">
          <cell r="J1627">
            <v>989</v>
          </cell>
          <cell r="K1627">
            <v>43140</v>
          </cell>
          <cell r="L1627" t="str">
            <v>FRAECEDIS  PACHECO TOVAR</v>
          </cell>
          <cell r="M1627">
            <v>31</v>
          </cell>
          <cell r="N1627" t="str">
            <v>RESOLUCION</v>
          </cell>
          <cell r="O1627">
            <v>577</v>
          </cell>
          <cell r="P1627">
            <v>43140</v>
          </cell>
          <cell r="Q1627" t="str">
            <v>AYUDA TEMPORAL A LAS FAMILIAS DE VARIAS LOCALIDADES, PARA RELOCALIZACIÓN DE HOGARES LOCALIZADOS EN ZONAS DE ALTO RIESGO NO MITIGABLE ID:2016-08-14907, LOCALIDAD:08 KENNEDY, UPZ:82 PATIO BONITO, SECTOR:PALMITAS</v>
          </cell>
          <cell r="R1627">
            <v>3873016</v>
          </cell>
          <cell r="S1627">
            <v>0</v>
          </cell>
          <cell r="T1627">
            <v>0</v>
          </cell>
          <cell r="U1627">
            <v>3873016</v>
          </cell>
          <cell r="V1627">
            <v>2766440</v>
          </cell>
        </row>
        <row r="1628">
          <cell r="J1628">
            <v>990</v>
          </cell>
          <cell r="K1628">
            <v>43140</v>
          </cell>
          <cell r="L1628" t="str">
            <v>MANUEL GUILLERMO PEÑA GONZALEZ</v>
          </cell>
          <cell r="M1628">
            <v>31</v>
          </cell>
          <cell r="N1628" t="str">
            <v>RESOLUCION</v>
          </cell>
          <cell r="O1628">
            <v>578</v>
          </cell>
          <cell r="P1628">
            <v>43140</v>
          </cell>
          <cell r="Q1628" t="str">
            <v>AYUDA TEMPORAL A LAS FAMILIAS DE VARIAS LOCALIDADES, PARA RELOCALIZACIÓN DE HOGARES LOCALIZADOS EN ZONAS DE ALTO RIESGO NO MITIGABLE ID:2014-Q07-00924, LOCALIDAD:19 CIUDAD BOLÍVAR, UPZ:67 LUCERO, SECTOR:QUEBRADA TROMPETA</v>
          </cell>
          <cell r="R1628">
            <v>2582006</v>
          </cell>
          <cell r="S1628">
            <v>368858</v>
          </cell>
          <cell r="T1628">
            <v>0</v>
          </cell>
          <cell r="U1628">
            <v>2213148</v>
          </cell>
          <cell r="V1628">
            <v>2213148</v>
          </cell>
        </row>
        <row r="1629">
          <cell r="J1629">
            <v>991</v>
          </cell>
          <cell r="K1629">
            <v>43140</v>
          </cell>
          <cell r="L1629" t="str">
            <v>BENEDICTO  VALBUENA LEON</v>
          </cell>
          <cell r="M1629">
            <v>31</v>
          </cell>
          <cell r="N1629" t="str">
            <v>RESOLUCION</v>
          </cell>
          <cell r="O1629">
            <v>579</v>
          </cell>
          <cell r="P1629">
            <v>43140</v>
          </cell>
          <cell r="Q1629" t="str">
            <v>AYUDA TEMPORAL A LAS FAMILIAS DE VARIAS LOCALIDADES, PARA RELOCALIZACIÓN DE HOGARES LOCALIZADOS EN ZONAS DE ALTO RIESGO NO MITIGABLE ID:2014-OTR-00978, LOCALIDAD:19 CIUDAD BOLÍVAR, UPZ:67 LUCERO, SECTOR:TABOR ALTALOMA</v>
          </cell>
          <cell r="R1629">
            <v>3017000</v>
          </cell>
          <cell r="S1629">
            <v>431000</v>
          </cell>
          <cell r="T1629">
            <v>0</v>
          </cell>
          <cell r="U1629">
            <v>2586000</v>
          </cell>
          <cell r="V1629">
            <v>2586000</v>
          </cell>
        </row>
        <row r="1630">
          <cell r="J1630">
            <v>992</v>
          </cell>
          <cell r="K1630">
            <v>43140</v>
          </cell>
          <cell r="L1630" t="str">
            <v>VICTOR MANUEL ARIZA CABREJO</v>
          </cell>
          <cell r="M1630">
            <v>31</v>
          </cell>
          <cell r="N1630" t="str">
            <v>RESOLUCION</v>
          </cell>
          <cell r="O1630">
            <v>580</v>
          </cell>
          <cell r="P1630">
            <v>43140</v>
          </cell>
          <cell r="Q1630" t="str">
            <v>AYUDA TEMPORAL A LAS FAMILIAS DE VARIAS LOCALIDADES, PARA RELOCALIZACIÓN DE HOGARES LOCALIZADOS EN ZONAS DE ALTO RIESGO NO MITIGABLE ID:2010-5-11546, LOCALIDAD:05 USME, UPZ:57 GRAN YOMASA, SECTOR:OLA INVERNAL 2010 FOPAE</v>
          </cell>
          <cell r="R1630">
            <v>2582006</v>
          </cell>
          <cell r="S1630">
            <v>1844290</v>
          </cell>
          <cell r="T1630">
            <v>0</v>
          </cell>
          <cell r="U1630">
            <v>737716</v>
          </cell>
          <cell r="V1630">
            <v>737716</v>
          </cell>
        </row>
        <row r="1631">
          <cell r="J1631">
            <v>993</v>
          </cell>
          <cell r="K1631">
            <v>43140</v>
          </cell>
          <cell r="L1631" t="str">
            <v>PAOLA KARINA ERASO</v>
          </cell>
          <cell r="M1631">
            <v>31</v>
          </cell>
          <cell r="N1631" t="str">
            <v>RESOLUCION</v>
          </cell>
          <cell r="O1631">
            <v>581</v>
          </cell>
          <cell r="P1631">
            <v>43140</v>
          </cell>
          <cell r="Q1631" t="str">
            <v>AYUDA TEMPORAL A LAS FAMILIAS DE VARIAS LOCALIDADES, PARA RELOCALIZACIÓN DE HOGARES LOCALIZADOS EN ZONAS DE ALTO RIESGO NO MITIGABLE ID:2013-Q17-00086, LOCALIDAD:19 CIUDAD BOLÍVAR, UPZ:67 LUCERO, SECTOR:QUEBRADA TROMPETA</v>
          </cell>
          <cell r="R1631">
            <v>3619000</v>
          </cell>
          <cell r="S1631">
            <v>1034000</v>
          </cell>
          <cell r="T1631">
            <v>0</v>
          </cell>
          <cell r="U1631">
            <v>2585000</v>
          </cell>
          <cell r="V1631">
            <v>2585000</v>
          </cell>
        </row>
        <row r="1632">
          <cell r="J1632">
            <v>994</v>
          </cell>
          <cell r="K1632">
            <v>43140</v>
          </cell>
          <cell r="L1632" t="str">
            <v>HARRISON DAVID BARBOSA RINCON</v>
          </cell>
          <cell r="M1632">
            <v>31</v>
          </cell>
          <cell r="N1632" t="str">
            <v>RESOLUCION</v>
          </cell>
          <cell r="O1632">
            <v>582</v>
          </cell>
          <cell r="P1632">
            <v>43140</v>
          </cell>
          <cell r="Q1632" t="str">
            <v>AYUDA TEMPORAL A LAS FAMILIAS DE VARIAS LOCALIDADES, PARA RELOCALIZACIÓN DE HOGARES LOCALIZADOS EN ZONAS DE ALTO RIESGO NO MITIGABLE ID:2010-18-12342, LOCALIDAD:18 RAFAEL URIBE URIBE, UPZ:55 DIANA TURBAY, SECTOR:OLA INVERNAL 2010 FOPAE</v>
          </cell>
          <cell r="R1632">
            <v>2887073</v>
          </cell>
          <cell r="S1632">
            <v>412439</v>
          </cell>
          <cell r="T1632">
            <v>0</v>
          </cell>
          <cell r="U1632">
            <v>2474634</v>
          </cell>
          <cell r="V1632">
            <v>2474634</v>
          </cell>
        </row>
        <row r="1633">
          <cell r="J1633">
            <v>995</v>
          </cell>
          <cell r="K1633">
            <v>43140</v>
          </cell>
          <cell r="L1633" t="str">
            <v>PAULA ANDREA OTALVARO TORRES</v>
          </cell>
          <cell r="M1633">
            <v>31</v>
          </cell>
          <cell r="N1633" t="str">
            <v>RESOLUCION</v>
          </cell>
          <cell r="O1633">
            <v>583</v>
          </cell>
          <cell r="P1633">
            <v>43140</v>
          </cell>
          <cell r="Q1633" t="str">
            <v>AYUDA TEMPORAL A LAS FAMILIAS DE VARIAS LOCALIDADES, PARA RELOCALIZACIÓN DE HOGARES LOCALIZADOS EN ZONAS DE ALTO RIESGO NO MITIGABLE ID:2016-08-14877, LOCALIDAD:08 KENNEDY, UPZ:82 PATIO BONITO, SECTOR:PALMITAS</v>
          </cell>
          <cell r="R1633">
            <v>5274659</v>
          </cell>
          <cell r="S1633">
            <v>0</v>
          </cell>
          <cell r="T1633">
            <v>0</v>
          </cell>
          <cell r="U1633">
            <v>5274659</v>
          </cell>
          <cell r="V1633">
            <v>3245944</v>
          </cell>
        </row>
        <row r="1634">
          <cell r="J1634">
            <v>996</v>
          </cell>
          <cell r="K1634">
            <v>43140</v>
          </cell>
          <cell r="L1634" t="str">
            <v>JORGE HERNANDO DIAZ SILVA</v>
          </cell>
          <cell r="M1634">
            <v>31</v>
          </cell>
          <cell r="N1634" t="str">
            <v>RESOLUCION</v>
          </cell>
          <cell r="O1634">
            <v>599</v>
          </cell>
          <cell r="P1634">
            <v>43140</v>
          </cell>
          <cell r="Q1634" t="str">
            <v>Asignacion del instrumento financiero a las familias ocupantes del predio que hayan superado la fase de verificacion dentro  del marco del Decreto 457 de 2017. LOCALIDAD: KENNEDY; BARRIO: VEREDITAS; ID: 2017-8-383896</v>
          </cell>
          <cell r="R1634">
            <v>54686940</v>
          </cell>
          <cell r="S1634">
            <v>0</v>
          </cell>
          <cell r="T1634">
            <v>0</v>
          </cell>
          <cell r="U1634">
            <v>54686940</v>
          </cell>
          <cell r="V1634">
            <v>54686940</v>
          </cell>
        </row>
        <row r="1635">
          <cell r="J1635">
            <v>997</v>
          </cell>
          <cell r="K1635">
            <v>43140</v>
          </cell>
          <cell r="L1635" t="str">
            <v>EGBERTO  URREGO VALBUENA</v>
          </cell>
          <cell r="M1635">
            <v>31</v>
          </cell>
          <cell r="N1635" t="str">
            <v>RESOLUCION</v>
          </cell>
          <cell r="O1635">
            <v>605</v>
          </cell>
          <cell r="P1635">
            <v>43140</v>
          </cell>
          <cell r="Q1635" t="str">
            <v>ADQUISICIÓN PREDIAL DTO. 511 DE 2010. LOCALIDAD: USAQUEN; BARRIO: CASA DE TEJA;ID: 2013-Q09-00140</v>
          </cell>
          <cell r="R1635">
            <v>113366000</v>
          </cell>
          <cell r="S1635">
            <v>113366000</v>
          </cell>
          <cell r="T1635">
            <v>0</v>
          </cell>
          <cell r="U1635">
            <v>0</v>
          </cell>
          <cell r="V1635">
            <v>0</v>
          </cell>
        </row>
        <row r="1636">
          <cell r="J1636">
            <v>998</v>
          </cell>
          <cell r="K1636">
            <v>43140</v>
          </cell>
          <cell r="L1636" t="str">
            <v>PASCUAL ALVEIRO SEMANATE ANACONA</v>
          </cell>
          <cell r="M1636">
            <v>31</v>
          </cell>
          <cell r="N1636" t="str">
            <v>RESOLUCION</v>
          </cell>
          <cell r="O1636">
            <v>606</v>
          </cell>
          <cell r="P1636">
            <v>43140</v>
          </cell>
          <cell r="Q1636" t="str">
            <v>VUR DE LA ACTUAL VIGENCIA DE ACUERDO CON EL DECRETO 255 DE 2013. LOCALIDAD: CIUDAD BOLIVAR; BARRIO:EL MIRADOR 3; ID: 2017-19-14960.</v>
          </cell>
          <cell r="R1636">
            <v>39062100</v>
          </cell>
          <cell r="S1636">
            <v>0</v>
          </cell>
          <cell r="T1636">
            <v>0</v>
          </cell>
          <cell r="U1636">
            <v>39062100</v>
          </cell>
          <cell r="V1636">
            <v>39062100</v>
          </cell>
        </row>
        <row r="1637">
          <cell r="J1637">
            <v>999</v>
          </cell>
          <cell r="K1637">
            <v>43140</v>
          </cell>
          <cell r="L1637" t="str">
            <v>EGBERTO  URREGO VALBUENA</v>
          </cell>
          <cell r="M1637">
            <v>31</v>
          </cell>
          <cell r="N1637" t="str">
            <v>RESOLUCION</v>
          </cell>
          <cell r="O1637">
            <v>605</v>
          </cell>
          <cell r="P1637">
            <v>43140</v>
          </cell>
          <cell r="Q1637" t="str">
            <v>ADQUISICIÓN PREDIAL DTO. 511 DE 2010. LOCALIDAD: USAQUEN; BARRIO: CASA DE TEJA;ID: 2013-Q09-00140</v>
          </cell>
          <cell r="R1637">
            <v>113366000</v>
          </cell>
          <cell r="S1637">
            <v>0</v>
          </cell>
          <cell r="T1637">
            <v>0</v>
          </cell>
          <cell r="U1637">
            <v>113366000</v>
          </cell>
          <cell r="V1637">
            <v>34009800</v>
          </cell>
        </row>
        <row r="1638">
          <cell r="J1638">
            <v>1000</v>
          </cell>
          <cell r="K1638">
            <v>43140</v>
          </cell>
          <cell r="L1638" t="str">
            <v>ERNESTO  BUITRAGO TORO</v>
          </cell>
          <cell r="M1638">
            <v>31</v>
          </cell>
          <cell r="N1638" t="str">
            <v>RESOLUCION</v>
          </cell>
          <cell r="O1638">
            <v>588</v>
          </cell>
          <cell r="P1638">
            <v>43140</v>
          </cell>
          <cell r="Q1638" t="str">
            <v>AYUDA TEMPORAL A LAS FAMILIAS DE VARIAS LOCALIDADES, PARA RELOCALIZACIÓN DE HOGARES LOCALIZADOS EN ZONAS DE ALTO RIESGO NO MITIGABLE ID:2014-Q17-01010, LOCALIDAD:19 CIUDAD BOLÍVAR, UPZ:67 LUCERO, SECTOR:ZANJÓN DEL AHORCADO</v>
          </cell>
          <cell r="R1638">
            <v>5946005</v>
          </cell>
          <cell r="S1638">
            <v>4573850</v>
          </cell>
          <cell r="T1638">
            <v>0</v>
          </cell>
          <cell r="U1638">
            <v>1372155</v>
          </cell>
          <cell r="V1638">
            <v>1372155</v>
          </cell>
        </row>
        <row r="1639">
          <cell r="J1639">
            <v>1001</v>
          </cell>
          <cell r="K1639">
            <v>43140</v>
          </cell>
          <cell r="L1639" t="str">
            <v>ALBA FLOR IBAÑEZ JIMENEZ</v>
          </cell>
          <cell r="M1639">
            <v>31</v>
          </cell>
          <cell r="N1639" t="str">
            <v>RESOLUCION</v>
          </cell>
          <cell r="O1639">
            <v>589</v>
          </cell>
          <cell r="P1639">
            <v>43140</v>
          </cell>
          <cell r="Q1639" t="str">
            <v>AYUDA TEMPORAL A LAS FAMILIAS DE VARIAS LOCALIDADES, PARA RELOCALIZACIÓN DE HOGARES LOCALIZADOS EN ZONAS DE ALTO RIESGO NO MITIGABLE ID:2014-Q20-01253, LOCALIDAD:04 SAN CRISTÓBAL, UPZ:50 LA GLORIA, SECTOR:LA CHIGUAZA</v>
          </cell>
          <cell r="R1639">
            <v>2992227</v>
          </cell>
          <cell r="S1639">
            <v>427461</v>
          </cell>
          <cell r="T1639">
            <v>0</v>
          </cell>
          <cell r="U1639">
            <v>2564766</v>
          </cell>
          <cell r="V1639">
            <v>2564766</v>
          </cell>
        </row>
        <row r="1640">
          <cell r="J1640">
            <v>1002</v>
          </cell>
          <cell r="K1640">
            <v>43140</v>
          </cell>
          <cell r="L1640" t="str">
            <v>EDGAR  FRANCO GAONA</v>
          </cell>
          <cell r="M1640">
            <v>31</v>
          </cell>
          <cell r="N1640" t="str">
            <v>RESOLUCION</v>
          </cell>
          <cell r="O1640">
            <v>590</v>
          </cell>
          <cell r="P1640">
            <v>43140</v>
          </cell>
          <cell r="Q1640" t="str">
            <v>AYUDA TEMPORAL A LAS FAMILIAS DE VARIAS LOCALIDADES, PARA RELOCALIZACIÓN DE HOGARES LOCALIZADOS EN ZONAS DE ALTO RIESGO NO MITIGABLE ID:2013-19-14624, LOCALIDAD:19 CIUDAD BOLÍVAR, UPZ:68 EL TESORO</v>
          </cell>
          <cell r="R1640">
            <v>2661659</v>
          </cell>
          <cell r="S1640">
            <v>380237</v>
          </cell>
          <cell r="T1640">
            <v>0</v>
          </cell>
          <cell r="U1640">
            <v>2281422</v>
          </cell>
          <cell r="V1640">
            <v>2281422</v>
          </cell>
        </row>
        <row r="1641">
          <cell r="J1641">
            <v>1003</v>
          </cell>
          <cell r="K1641">
            <v>43140</v>
          </cell>
          <cell r="L1641" t="str">
            <v>GLADYS  OCAMPO ESPINOSA</v>
          </cell>
          <cell r="M1641">
            <v>31</v>
          </cell>
          <cell r="N1641" t="str">
            <v>RESOLUCION</v>
          </cell>
          <cell r="O1641">
            <v>591</v>
          </cell>
          <cell r="P1641">
            <v>43140</v>
          </cell>
          <cell r="Q1641" t="str">
            <v>AYUDA TEMPORAL A LAS FAMILIAS DE VARIAS LOCALIDADES, PARA RELOCALIZACIÓN DE HOGARES LOCALIZADOS EN ZONAS DE ALTO RIESGO NO MITIGABLE ID:2014-Q01-01064, LOCALIDAD:05 USME, UPZ:56 DANUBIO, SECTOR:HOYA DEL RAMO</v>
          </cell>
          <cell r="R1641">
            <v>4131218</v>
          </cell>
          <cell r="S1641">
            <v>590174</v>
          </cell>
          <cell r="T1641">
            <v>0</v>
          </cell>
          <cell r="U1641">
            <v>3541044</v>
          </cell>
          <cell r="V1641">
            <v>3541044</v>
          </cell>
        </row>
        <row r="1642">
          <cell r="J1642">
            <v>1004</v>
          </cell>
          <cell r="K1642">
            <v>43140</v>
          </cell>
          <cell r="L1642" t="str">
            <v>LEIDI VIVIANA MARTINEZ AMEZQUITA</v>
          </cell>
          <cell r="M1642">
            <v>31</v>
          </cell>
          <cell r="N1642" t="str">
            <v>RESOLUCION</v>
          </cell>
          <cell r="O1642">
            <v>592</v>
          </cell>
          <cell r="P1642">
            <v>43140</v>
          </cell>
          <cell r="Q1642" t="str">
            <v>AYUDA TEMPORAL A LAS FAMILIAS DE VARIAS LOCALIDADES, PARA RELOCALIZACIÓN DE HOGARES LOCALIZADOS EN ZONAS DE ALTO RIESGO NO MITIGABLE ID:2016-08-14802, LOCALIDAD:08 KENNEDY, UPZ:82 PATIO BONITO, SECTOR:PALMITAS</v>
          </cell>
          <cell r="R1642">
            <v>5825885</v>
          </cell>
          <cell r="S1642">
            <v>0</v>
          </cell>
          <cell r="T1642">
            <v>0</v>
          </cell>
          <cell r="U1642">
            <v>5825885</v>
          </cell>
          <cell r="V1642">
            <v>896290</v>
          </cell>
        </row>
        <row r="1643">
          <cell r="J1643">
            <v>1005</v>
          </cell>
          <cell r="K1643">
            <v>43140</v>
          </cell>
          <cell r="L1643" t="str">
            <v>PILAR  RIVERA PELAEZ</v>
          </cell>
          <cell r="M1643">
            <v>31</v>
          </cell>
          <cell r="N1643" t="str">
            <v>RESOLUCION</v>
          </cell>
          <cell r="O1643">
            <v>593</v>
          </cell>
          <cell r="P1643">
            <v>43140</v>
          </cell>
          <cell r="Q1643" t="str">
            <v>AYUDA TEMPORAL A LAS FAMILIAS DE VARIAS LOCALIDADES, PARA RELOCALIZACIÓN DE HOGARES LOCALIZADOS EN ZONAS DE ALTO RIESGO NO MITIGABLE ID:2016-08-14836, LOCALIDAD:08 KENNEDY, UPZ:82 PATIO BONITO, SECTOR:PALMITAS</v>
          </cell>
          <cell r="R1643">
            <v>3873016</v>
          </cell>
          <cell r="S1643">
            <v>2213152</v>
          </cell>
          <cell r="T1643">
            <v>0</v>
          </cell>
          <cell r="U1643">
            <v>1659864</v>
          </cell>
          <cell r="V1643">
            <v>1659864</v>
          </cell>
        </row>
        <row r="1644">
          <cell r="J1644">
            <v>1006</v>
          </cell>
          <cell r="K1644">
            <v>43140</v>
          </cell>
          <cell r="L1644" t="str">
            <v>BEYANIRA  GRACIA BARRAGAN</v>
          </cell>
          <cell r="M1644">
            <v>31</v>
          </cell>
          <cell r="N1644" t="str">
            <v>RESOLUCION</v>
          </cell>
          <cell r="O1644">
            <v>594</v>
          </cell>
          <cell r="P1644">
            <v>43140</v>
          </cell>
          <cell r="Q1644" t="str">
            <v>AYUDA TEMPORAL A LAS FAMILIAS DE VARIAS LOCALIDADES, PARA RELOCALIZACIÓN DE HOGARES LOCALIZADOS EN ZONAS DE ALTO RIESGO NO MITIGABLE ID:2013-Q04-00310, LOCALIDAD:04 SAN CRISTÓBAL, UPZ:51 LOS LIBERTADORES, SECTOR:QUEBRADA VEREJONES</v>
          </cell>
          <cell r="R1644">
            <v>7036302</v>
          </cell>
          <cell r="S1644">
            <v>0</v>
          </cell>
          <cell r="T1644">
            <v>0</v>
          </cell>
          <cell r="U1644">
            <v>7036302</v>
          </cell>
          <cell r="V1644">
            <v>4330032</v>
          </cell>
        </row>
        <row r="1645">
          <cell r="J1645">
            <v>1007</v>
          </cell>
          <cell r="K1645">
            <v>43140</v>
          </cell>
          <cell r="L1645" t="str">
            <v>ANA BEATRIZ PEÑA TOVAR</v>
          </cell>
          <cell r="M1645">
            <v>31</v>
          </cell>
          <cell r="N1645" t="str">
            <v>RESOLUCION</v>
          </cell>
          <cell r="O1645">
            <v>595</v>
          </cell>
          <cell r="P1645">
            <v>43140</v>
          </cell>
          <cell r="Q1645" t="str">
            <v>AYUDA TEMPORAL A LAS FAMILIAS DE VARIAS LOCALIDADES, PARA RELOCALIZACIÓN DE HOGARES LOCALIZADOS EN ZONAS DE ALTO RIESGO NO MITIGABLE ID:2014-OTR-00905, LOCALIDAD:03 SANTA FE, UPZ:96 LOURDES, SECTOR:CASA 3</v>
          </cell>
          <cell r="R1645">
            <v>2975525</v>
          </cell>
          <cell r="S1645">
            <v>425075</v>
          </cell>
          <cell r="T1645">
            <v>0</v>
          </cell>
          <cell r="U1645">
            <v>2550450</v>
          </cell>
          <cell r="V1645">
            <v>2550450</v>
          </cell>
        </row>
        <row r="1646">
          <cell r="J1646">
            <v>1008</v>
          </cell>
          <cell r="K1646">
            <v>43140</v>
          </cell>
          <cell r="L1646" t="str">
            <v>MARIA EVANGELINA HERRERA HERRERA</v>
          </cell>
          <cell r="M1646">
            <v>31</v>
          </cell>
          <cell r="N1646" t="str">
            <v>RESOLUCION</v>
          </cell>
          <cell r="O1646">
            <v>596</v>
          </cell>
          <cell r="P1646">
            <v>43443</v>
          </cell>
          <cell r="Q1646" t="str">
            <v>AYUDA TEMPORAL A LAS FAMILIAS DE VARIAS LOCALIDADES, PARA RELOCALIZACIÓN DE HOGARES LOCALIZADOS EN ZONAS DE ALTO RIESGO NO MITIGABLE ID:2013000553, LOCALIDAD:19 CIUDAD BOLÍVAR, UPZ:67 LUCERO, SECTOR:QUEBRADA TROMPETA</v>
          </cell>
          <cell r="R1646">
            <v>3619637</v>
          </cell>
          <cell r="S1646">
            <v>0</v>
          </cell>
          <cell r="T1646">
            <v>0</v>
          </cell>
          <cell r="U1646">
            <v>3619637</v>
          </cell>
          <cell r="V1646">
            <v>1551273</v>
          </cell>
        </row>
        <row r="1647">
          <cell r="J1647">
            <v>1009</v>
          </cell>
          <cell r="K1647">
            <v>43140</v>
          </cell>
          <cell r="L1647" t="str">
            <v>BLANCA LUCIA GIRON ROSERO</v>
          </cell>
          <cell r="M1647">
            <v>31</v>
          </cell>
          <cell r="N1647" t="str">
            <v>RESOLUCION</v>
          </cell>
          <cell r="O1647">
            <v>602</v>
          </cell>
          <cell r="P1647">
            <v>43139</v>
          </cell>
          <cell r="Q1647" t="str">
            <v>AYUDA TEMPORAL A LAS FAMILIAS DE VARIAS LOCALIDADES, PARA RELOCALIZACIÓN DE HOGARES LOCALIZADOS EN ZONAS DE ALTO RIESGO NO MITIGABLE ID:2011-19-13373, LOCALIDAD:19 CIUDAD BOLÍVAR, UPZ:3 UPR RIO TUNJUELO</v>
          </cell>
          <cell r="R1647">
            <v>4027933</v>
          </cell>
          <cell r="S1647">
            <v>0</v>
          </cell>
          <cell r="T1647">
            <v>0</v>
          </cell>
          <cell r="U1647">
            <v>4027933</v>
          </cell>
          <cell r="V1647">
            <v>1726257</v>
          </cell>
        </row>
        <row r="1648">
          <cell r="J1648">
            <v>1010</v>
          </cell>
          <cell r="K1648">
            <v>43140</v>
          </cell>
          <cell r="L1648" t="str">
            <v>ESNEDA  LASSO MACHADO</v>
          </cell>
          <cell r="M1648">
            <v>31</v>
          </cell>
          <cell r="N1648" t="str">
            <v>RESOLUCION</v>
          </cell>
          <cell r="O1648">
            <v>603</v>
          </cell>
          <cell r="P1648">
            <v>43140</v>
          </cell>
          <cell r="Q1648" t="str">
            <v>AYUDA TEMPORAL A LAS FAMILIAS DE VARIAS LOCALIDADES, PARA RELOCALIZACIÓN DE HOGARES LOCALIZADOS EN ZONAS DE ALTO RIESGO NO MITIGABLE ID:2011-19-12866, LOCALIDAD:19 CIUDAD BOLÍVAR, UPZ:67 LUCERO</v>
          </cell>
          <cell r="R1648">
            <v>4795154</v>
          </cell>
          <cell r="S1648">
            <v>0</v>
          </cell>
          <cell r="T1648">
            <v>0</v>
          </cell>
          <cell r="U1648">
            <v>4795154</v>
          </cell>
          <cell r="V1648">
            <v>2582006</v>
          </cell>
        </row>
        <row r="1649">
          <cell r="J1649">
            <v>1011</v>
          </cell>
          <cell r="K1649">
            <v>43140</v>
          </cell>
          <cell r="L1649" t="str">
            <v>JOSE ANTONIO CASTEBLANCO CAMARGO</v>
          </cell>
          <cell r="M1649">
            <v>31</v>
          </cell>
          <cell r="N1649" t="str">
            <v>RESOLUCION</v>
          </cell>
          <cell r="O1649">
            <v>604</v>
          </cell>
          <cell r="P1649">
            <v>43140</v>
          </cell>
          <cell r="Q1649" t="str">
            <v>AYUDA TEMPORAL A LAS FAMILIAS DE VARIAS LOCALIDADES, PARA RELOCALIZACIÓN DE HOGARES LOCALIZADOS EN ZONAS DE ALTO RIESGO NO MITIGABLE ID:2013000167, LOCALIDAD:19 CIUDAD BOLÍVAR, UPZ:67 LUCERO, SECTOR:QUEBRADA TROMPETA</v>
          </cell>
          <cell r="R1649">
            <v>7077200</v>
          </cell>
          <cell r="S1649">
            <v>0</v>
          </cell>
          <cell r="T1649">
            <v>0</v>
          </cell>
          <cell r="U1649">
            <v>7077200</v>
          </cell>
          <cell r="V1649">
            <v>4355200</v>
          </cell>
        </row>
        <row r="1650">
          <cell r="J1650">
            <v>1012</v>
          </cell>
          <cell r="K1650">
            <v>43140</v>
          </cell>
          <cell r="L1650" t="str">
            <v>MARIELA  CHARRY PINTO</v>
          </cell>
          <cell r="M1650">
            <v>31</v>
          </cell>
          <cell r="N1650" t="str">
            <v>RESOLUCION</v>
          </cell>
          <cell r="O1650">
            <v>584</v>
          </cell>
          <cell r="P1650">
            <v>43140</v>
          </cell>
          <cell r="Q1650" t="str">
            <v>AYUDA TEMPORAL A LAS FAMILIAS DE VARIAS LOCALIDADES, PARA RELOCALIZACIÓN DE HOGARES LOCALIZADOS EN ZONAS DE ALTO RIESGO NO MITIGABLE ID:2012-18-14360, LOCALIDAD:18 RAFAEL URIBE URIBE, UPZ:55 DIANA TURBAY</v>
          </cell>
          <cell r="R1650">
            <v>3752413</v>
          </cell>
          <cell r="S1650">
            <v>536059</v>
          </cell>
          <cell r="T1650">
            <v>0</v>
          </cell>
          <cell r="U1650">
            <v>3216354</v>
          </cell>
          <cell r="V1650">
            <v>3216354</v>
          </cell>
        </row>
        <row r="1651">
          <cell r="J1651">
            <v>1013</v>
          </cell>
          <cell r="K1651">
            <v>43140</v>
          </cell>
          <cell r="L1651" t="str">
            <v>MARIA FANNY PERDOMO AMAYA</v>
          </cell>
          <cell r="M1651">
            <v>31</v>
          </cell>
          <cell r="N1651" t="str">
            <v>RESOLUCION</v>
          </cell>
          <cell r="O1651">
            <v>883</v>
          </cell>
          <cell r="P1651">
            <v>43140</v>
          </cell>
          <cell r="Q1651" t="str">
            <v>VUR de la actual vigencia de acuerdo con el Decreto 255 de 2013. LOCALIDAD: CIUDAD BOLIVAR; BARRIO: PARAISO QUIBA; ID: 2015-Q04-03692</v>
          </cell>
          <cell r="R1651">
            <v>39062100</v>
          </cell>
          <cell r="S1651">
            <v>0</v>
          </cell>
          <cell r="T1651">
            <v>0</v>
          </cell>
          <cell r="U1651">
            <v>39062100</v>
          </cell>
          <cell r="V1651">
            <v>39062100</v>
          </cell>
        </row>
        <row r="1652">
          <cell r="J1652">
            <v>1016</v>
          </cell>
          <cell r="K1652">
            <v>43140</v>
          </cell>
          <cell r="L1652" t="str">
            <v>ANGGIE JULIETH MARENTE BUSTOS</v>
          </cell>
          <cell r="M1652">
            <v>31</v>
          </cell>
          <cell r="N1652" t="str">
            <v>RESOLUCION</v>
          </cell>
          <cell r="O1652">
            <v>767</v>
          </cell>
          <cell r="P1652">
            <v>43140</v>
          </cell>
          <cell r="Q1652" t="str">
            <v>Asignacion del instrumento financiero a las familias ocupantes del predio que hayan superado la fase de verificacion dentro  del marco del Decreto 457 de 2017. LOCALIDAD: KENNEDY; BARRIO: VEREDITAS; ID: 2018-8-15017</v>
          </cell>
          <cell r="R1652">
            <v>54686940</v>
          </cell>
          <cell r="S1652">
            <v>0</v>
          </cell>
          <cell r="T1652">
            <v>0</v>
          </cell>
          <cell r="U1652">
            <v>54686940</v>
          </cell>
          <cell r="V1652">
            <v>54686940</v>
          </cell>
        </row>
        <row r="1653">
          <cell r="J1653">
            <v>1017</v>
          </cell>
          <cell r="K1653">
            <v>43140</v>
          </cell>
          <cell r="L1653" t="str">
            <v>BLANCA LEONOR AREVALO CAICEDO</v>
          </cell>
          <cell r="M1653">
            <v>31</v>
          </cell>
          <cell r="N1653" t="str">
            <v>RESOLUCION</v>
          </cell>
          <cell r="O1653">
            <v>766</v>
          </cell>
          <cell r="P1653">
            <v>43140</v>
          </cell>
          <cell r="Q1653" t="str">
            <v>Asignacion del instrumento financiero a las familias ocupantes del predio que hayan superado la fase de verificacion dentro  del marco del Decreto 457 de 2017. LOCALIDAD: KENNEDY; BARRIO: VEREDITAS; ID: 2018-8-383906</v>
          </cell>
          <cell r="R1653">
            <v>54686940</v>
          </cell>
          <cell r="S1653">
            <v>0</v>
          </cell>
          <cell r="T1653">
            <v>0</v>
          </cell>
          <cell r="U1653">
            <v>54686940</v>
          </cell>
          <cell r="V1653">
            <v>54686940</v>
          </cell>
        </row>
        <row r="1654">
          <cell r="J1654">
            <v>1018</v>
          </cell>
          <cell r="K1654">
            <v>43140</v>
          </cell>
          <cell r="L1654" t="str">
            <v>ANGELICA  CARO BERMUDEZ</v>
          </cell>
          <cell r="M1654">
            <v>31</v>
          </cell>
          <cell r="N1654" t="str">
            <v>RESOLUCION</v>
          </cell>
          <cell r="O1654">
            <v>765</v>
          </cell>
          <cell r="P1654">
            <v>43140</v>
          </cell>
          <cell r="Q1654" t="str">
            <v>Asignacion del instrumento financiero a las familias ocupantes del predio que hayan superado la fase de verificacion dentro  del marco del Decreto 457 de 2017. LOCALIDAD: KENNEDY; BARRIO: VEREDITAS; ID: 2018-8-383899</v>
          </cell>
          <cell r="R1654">
            <v>54686940</v>
          </cell>
          <cell r="S1654">
            <v>0</v>
          </cell>
          <cell r="T1654">
            <v>0</v>
          </cell>
          <cell r="U1654">
            <v>54686940</v>
          </cell>
          <cell r="V1654">
            <v>54686940</v>
          </cell>
        </row>
        <row r="1655">
          <cell r="J1655">
            <v>1020</v>
          </cell>
          <cell r="K1655">
            <v>43140</v>
          </cell>
          <cell r="L1655" t="str">
            <v>MARIA INES GALINDO CASTEBLANCO</v>
          </cell>
          <cell r="M1655">
            <v>31</v>
          </cell>
          <cell r="N1655" t="str">
            <v>RESOLUCION</v>
          </cell>
          <cell r="O1655">
            <v>764</v>
          </cell>
          <cell r="P1655">
            <v>43140</v>
          </cell>
          <cell r="Q1655" t="str">
            <v>Asignacion del instrumento financiero a las familias ocupantes del predio que hayan superado la fase de verificacion dentro  del marco del Decreto 457 de 2017. LOCALIDAD: KENNEDY; BARRIO: VEREDITAS; ID: 2017-8-383639</v>
          </cell>
          <cell r="R1655">
            <v>54686940</v>
          </cell>
          <cell r="S1655">
            <v>0</v>
          </cell>
          <cell r="T1655">
            <v>0</v>
          </cell>
          <cell r="U1655">
            <v>54686940</v>
          </cell>
          <cell r="V1655">
            <v>54686940</v>
          </cell>
        </row>
        <row r="1656">
          <cell r="J1656">
            <v>1023</v>
          </cell>
          <cell r="K1656">
            <v>43140</v>
          </cell>
          <cell r="L1656" t="str">
            <v>OLGA LUCIA MORALES RICO</v>
          </cell>
          <cell r="M1656">
            <v>31</v>
          </cell>
          <cell r="N1656" t="str">
            <v>RESOLUCION</v>
          </cell>
          <cell r="O1656">
            <v>763</v>
          </cell>
          <cell r="P1656">
            <v>43140</v>
          </cell>
          <cell r="Q1656" t="str">
            <v>Asignacion del instrumento financiero a las familias ocupantes del predio que hayan superado la fase de verificacion dentro  del marco del Decreto 457 de 2017. LOCALIDAD: KENNEDY; BARRIO: VEREDITAS; ID: 2017-8-383717</v>
          </cell>
          <cell r="R1656">
            <v>54686940</v>
          </cell>
          <cell r="S1656">
            <v>0</v>
          </cell>
          <cell r="T1656">
            <v>0</v>
          </cell>
          <cell r="U1656">
            <v>54686940</v>
          </cell>
          <cell r="V1656">
            <v>0</v>
          </cell>
        </row>
        <row r="1657">
          <cell r="J1657">
            <v>1024</v>
          </cell>
          <cell r="K1657">
            <v>43140</v>
          </cell>
          <cell r="L1657" t="str">
            <v>EDINSON  LOPEZ RODRIGUEZ</v>
          </cell>
          <cell r="M1657">
            <v>31</v>
          </cell>
          <cell r="N1657" t="str">
            <v>RESOLUCION</v>
          </cell>
          <cell r="O1657">
            <v>760</v>
          </cell>
          <cell r="P1657">
            <v>43140</v>
          </cell>
          <cell r="Q1657" t="str">
            <v>Asignacion del instrumento financiero a las familias ocupantes del predio que hayan superado la fase de verificacion dentro  del marco del Decreto 457 de 2017. LOCALIDAD: KENNEDY; BARRIO: VEREDITAS; ID: 2017-8-383895</v>
          </cell>
          <cell r="R1657">
            <v>54686940</v>
          </cell>
          <cell r="S1657">
            <v>0</v>
          </cell>
          <cell r="T1657">
            <v>0</v>
          </cell>
          <cell r="U1657">
            <v>54686940</v>
          </cell>
          <cell r="V1657">
            <v>54686940</v>
          </cell>
        </row>
        <row r="1658">
          <cell r="J1658">
            <v>1025</v>
          </cell>
          <cell r="K1658">
            <v>43140</v>
          </cell>
          <cell r="L1658" t="str">
            <v>EDWARD ANDRES MARENTE BUSTOS</v>
          </cell>
          <cell r="M1658">
            <v>31</v>
          </cell>
          <cell r="N1658" t="str">
            <v>RESOLUCION</v>
          </cell>
          <cell r="O1658">
            <v>761</v>
          </cell>
          <cell r="P1658">
            <v>43140</v>
          </cell>
          <cell r="Q1658" t="str">
            <v>Asignacion del instrumento financiero a las familias ocupantes del predio que hayan superado la fase de verificacion dentro  del marco del Decreto 457 de 2017. LOCALIDAD: KENNEDY; BARRIO: VEREDITAS; ID: 2018-8-15015</v>
          </cell>
          <cell r="R1658">
            <v>54686940</v>
          </cell>
          <cell r="S1658">
            <v>0</v>
          </cell>
          <cell r="T1658">
            <v>0</v>
          </cell>
          <cell r="U1658">
            <v>54686940</v>
          </cell>
          <cell r="V1658">
            <v>54686940</v>
          </cell>
        </row>
        <row r="1659">
          <cell r="J1659">
            <v>1026</v>
          </cell>
          <cell r="K1659">
            <v>43140</v>
          </cell>
          <cell r="L1659" t="str">
            <v>LIZETH PAOLA VILLA YAGUARA</v>
          </cell>
          <cell r="M1659">
            <v>31</v>
          </cell>
          <cell r="N1659" t="str">
            <v>RESOLUCION</v>
          </cell>
          <cell r="O1659">
            <v>759</v>
          </cell>
          <cell r="P1659">
            <v>43140</v>
          </cell>
          <cell r="Q1659" t="str">
            <v>Asignacion del instrumento financiero a las familias ocupantes del predio que hayan superado la fase de verificacion dentro  del marco del Decreto 457 de 2017. LOCALIDAD: KENNEDY; BARRIO: VEREDITAS; ID: 2017-8-383839</v>
          </cell>
          <cell r="R1659">
            <v>54686940</v>
          </cell>
          <cell r="S1659">
            <v>0</v>
          </cell>
          <cell r="T1659">
            <v>0</v>
          </cell>
          <cell r="U1659">
            <v>54686940</v>
          </cell>
          <cell r="V1659">
            <v>54686940</v>
          </cell>
        </row>
        <row r="1660">
          <cell r="J1660">
            <v>1027</v>
          </cell>
          <cell r="K1660">
            <v>43140</v>
          </cell>
          <cell r="L1660" t="str">
            <v>DOLORES  MUNAR DE LOMBANA</v>
          </cell>
          <cell r="M1660">
            <v>31</v>
          </cell>
          <cell r="N1660" t="str">
            <v>RESOLUCION</v>
          </cell>
          <cell r="O1660">
            <v>757</v>
          </cell>
          <cell r="P1660">
            <v>43140</v>
          </cell>
          <cell r="Q1660" t="str">
            <v>VUR de la actual vigencia de acuerdo con el Decreto 255 de 2013. LOCALIDAD: USAQUEN; BARRIO:CERRO NORTE; ID: 2006-1-9146</v>
          </cell>
          <cell r="R1660">
            <v>39062100</v>
          </cell>
          <cell r="S1660">
            <v>0</v>
          </cell>
          <cell r="T1660">
            <v>0</v>
          </cell>
          <cell r="U1660">
            <v>39062100</v>
          </cell>
          <cell r="V1660">
            <v>39062100</v>
          </cell>
        </row>
        <row r="1661">
          <cell r="J1661">
            <v>1030</v>
          </cell>
          <cell r="K1661">
            <v>43143</v>
          </cell>
          <cell r="L1661" t="str">
            <v>VICTOR JAVIER RODRIGUEZ GARZON</v>
          </cell>
          <cell r="M1661">
            <v>31</v>
          </cell>
          <cell r="N1661" t="str">
            <v>RESOLUCION</v>
          </cell>
          <cell r="O1661">
            <v>680</v>
          </cell>
          <cell r="P1661">
            <v>43143</v>
          </cell>
          <cell r="Q1661" t="str">
            <v>AYUDA TEMPORAL A LAS FAMILIAS DE VARIAS LOCALIDADES, PARA RELOCALIZACIÓN DE HOGARES LOCALIZADOS EN ZONAS DE ALTO RIESGO NO MITIGABLE ID:2012-18-14327, LOCALIDAD:18 RAFAEL URIBE URIBE, UPZ:55 DIANA TURBAY</v>
          </cell>
          <cell r="R1661">
            <v>4986969</v>
          </cell>
          <cell r="S1661">
            <v>0</v>
          </cell>
          <cell r="T1661">
            <v>0</v>
          </cell>
          <cell r="U1661">
            <v>4986969</v>
          </cell>
          <cell r="V1661">
            <v>3068904</v>
          </cell>
        </row>
        <row r="1662">
          <cell r="J1662">
            <v>1031</v>
          </cell>
          <cell r="K1662">
            <v>43143</v>
          </cell>
          <cell r="L1662" t="str">
            <v>ANA GLORIA GIRALDO ROJAS</v>
          </cell>
          <cell r="M1662">
            <v>31</v>
          </cell>
          <cell r="N1662" t="str">
            <v>RESOLUCION</v>
          </cell>
          <cell r="O1662">
            <v>681</v>
          </cell>
          <cell r="P1662">
            <v>43143</v>
          </cell>
          <cell r="Q1662" t="str">
            <v>AYUDA TEMPORAL A LAS FAMILIAS DE VARIAS LOCALIDADES, PARA RELOCALIZACIÓN DE HOGARES LOCALIZADOS EN ZONAS DE ALTO RIESGO NO MITIGABLE ID:2012-5-14149, LOCALIDAD:05 USME, UPZ:56 DANUBIO</v>
          </cell>
          <cell r="R1662">
            <v>3094182</v>
          </cell>
          <cell r="S1662">
            <v>0</v>
          </cell>
          <cell r="T1662">
            <v>0</v>
          </cell>
          <cell r="U1662">
            <v>3094182</v>
          </cell>
          <cell r="V1662">
            <v>1326078</v>
          </cell>
        </row>
        <row r="1663">
          <cell r="J1663">
            <v>1032</v>
          </cell>
          <cell r="K1663">
            <v>43143</v>
          </cell>
          <cell r="L1663" t="str">
            <v>GLORIA INES RICO BERNAL</v>
          </cell>
          <cell r="M1663">
            <v>31</v>
          </cell>
          <cell r="N1663" t="str">
            <v>RESOLUCION</v>
          </cell>
          <cell r="O1663">
            <v>649</v>
          </cell>
          <cell r="P1663">
            <v>43143</v>
          </cell>
          <cell r="Q1663" t="str">
            <v>AYUDA TEMPORAL A LAS FAMILIAS DE VARIAS LOCALIDADES, PARA RELOCALIZACIÓN DE HOGARES LOCALIZADOS EN ZONAS DE ALTO RIESGO NO MITIGABLE ID:2012-4-14203, LOCALIDAD:04 SAN CRISTÓBAL, UPZ:32 SAN BLAS, SECTOR:</v>
          </cell>
          <cell r="R1663">
            <v>5598996</v>
          </cell>
          <cell r="S1663">
            <v>0</v>
          </cell>
          <cell r="T1663">
            <v>0</v>
          </cell>
          <cell r="U1663">
            <v>5598996</v>
          </cell>
          <cell r="V1663">
            <v>3445536</v>
          </cell>
        </row>
        <row r="1664">
          <cell r="J1664">
            <v>1033</v>
          </cell>
          <cell r="K1664">
            <v>43143</v>
          </cell>
          <cell r="L1664" t="str">
            <v>MARTHA CECILIA LASSO MACHADO</v>
          </cell>
          <cell r="M1664">
            <v>31</v>
          </cell>
          <cell r="N1664" t="str">
            <v>RESOLUCION</v>
          </cell>
          <cell r="O1664">
            <v>648</v>
          </cell>
          <cell r="P1664">
            <v>43143</v>
          </cell>
          <cell r="Q1664" t="str">
            <v>AYUDA TEMPORAL A LAS FAMILIAS DE VARIAS LOCALIDADES, PARA RELOCALIZACIÓN DE HOGARES LOCALIZADOS EN ZONAS DE ALTO RIESGO NO MITIGABLE ID:2011-19-12867, LOCALIDAD:19 CIUDAD BOLÍVAR, UPZ:67 LUCERO, SECTOR:</v>
          </cell>
          <cell r="R1664">
            <v>2924376</v>
          </cell>
          <cell r="S1664">
            <v>417768</v>
          </cell>
          <cell r="T1664">
            <v>0</v>
          </cell>
          <cell r="U1664">
            <v>2506608</v>
          </cell>
          <cell r="V1664">
            <v>2506608</v>
          </cell>
        </row>
        <row r="1665">
          <cell r="J1665">
            <v>1034</v>
          </cell>
          <cell r="K1665">
            <v>43143</v>
          </cell>
          <cell r="L1665" t="str">
            <v>FIDELIA  OTAVO</v>
          </cell>
          <cell r="M1665">
            <v>31</v>
          </cell>
          <cell r="N1665" t="str">
            <v>RESOLUCION</v>
          </cell>
          <cell r="O1665">
            <v>682</v>
          </cell>
          <cell r="P1665">
            <v>43143</v>
          </cell>
          <cell r="Q1665" t="str">
            <v>AYUDA TEMPORAL A LAS FAMILIAS DE VARIAS LOCALIDADES, PARA RELOCALIZACIÓN DE HOGARES LOCALIZADOS EN ZONAS DE ALTO RIESGO NO MITIGABLE ID:2011-19-13704, LOCALIDAD:19 CIUDAD BOLÍVAR, UPZ:67 LUCERO,</v>
          </cell>
          <cell r="R1665">
            <v>2924376</v>
          </cell>
          <cell r="S1665">
            <v>835536</v>
          </cell>
          <cell r="T1665">
            <v>0</v>
          </cell>
          <cell r="U1665">
            <v>2088840</v>
          </cell>
          <cell r="V1665">
            <v>2088840</v>
          </cell>
        </row>
        <row r="1666">
          <cell r="J1666">
            <v>1035</v>
          </cell>
          <cell r="K1666">
            <v>43143</v>
          </cell>
          <cell r="L1666" t="str">
            <v>PEDRO ISMAEL RICO BERNAL</v>
          </cell>
          <cell r="M1666">
            <v>31</v>
          </cell>
          <cell r="N1666" t="str">
            <v>RESOLUCION</v>
          </cell>
          <cell r="O1666">
            <v>620</v>
          </cell>
          <cell r="P1666">
            <v>43143</v>
          </cell>
          <cell r="Q1666" t="str">
            <v>AYUDA TEMPORAL A LAS FAMILIAS DE VARIAS LOCALIDADES, PARA RELOCALIZACIÓN DE HOGARES LOCALIZADOS EN ZONAS DE ALTO RIESGO NO MITIGABLE ID:2012-4-14205, LOCALIDAD:04 SAN CRISTÓBAL, UPZ:32 SAN BLAS, SECTOR:</v>
          </cell>
          <cell r="R1666">
            <v>4795154</v>
          </cell>
          <cell r="S1666">
            <v>0</v>
          </cell>
          <cell r="T1666">
            <v>0</v>
          </cell>
          <cell r="U1666">
            <v>4795154</v>
          </cell>
          <cell r="V1666">
            <v>1475432</v>
          </cell>
        </row>
        <row r="1667">
          <cell r="J1667">
            <v>1036</v>
          </cell>
          <cell r="K1667">
            <v>43143</v>
          </cell>
          <cell r="L1667" t="str">
            <v>DIANA PAOLA ARIAS CASTILLO</v>
          </cell>
          <cell r="M1667">
            <v>31</v>
          </cell>
          <cell r="N1667" t="str">
            <v>RESOLUCION</v>
          </cell>
          <cell r="O1667">
            <v>683</v>
          </cell>
          <cell r="P1667">
            <v>43143</v>
          </cell>
          <cell r="Q1667" t="str">
            <v>AYUDA TEMPORAL A LAS FAMILIAS DE VARIAS LOCALIDADES, PARA RELOCALIZACIÓN DE HOGARES LOCALIZADOS EN ZONAS DE ALTO RIESGO NO MITIGABLE ID:2012-ALES-231, LOCALIDAD:19 CIUDAD BOLÍVAR, UPZ:69 ISMAEL PERDOMO</v>
          </cell>
          <cell r="R1667">
            <v>3157315</v>
          </cell>
          <cell r="S1667">
            <v>451045</v>
          </cell>
          <cell r="T1667">
            <v>0</v>
          </cell>
          <cell r="U1667">
            <v>2706270</v>
          </cell>
          <cell r="V1667">
            <v>2706270</v>
          </cell>
        </row>
        <row r="1668">
          <cell r="J1668">
            <v>1037</v>
          </cell>
          <cell r="K1668">
            <v>43143</v>
          </cell>
          <cell r="L1668" t="str">
            <v>OLGA LUCIA GONZALEZ AREVALO</v>
          </cell>
          <cell r="M1668">
            <v>31</v>
          </cell>
          <cell r="N1668" t="str">
            <v>RESOLUCION</v>
          </cell>
          <cell r="O1668">
            <v>621</v>
          </cell>
          <cell r="P1668">
            <v>43143</v>
          </cell>
          <cell r="Q1668" t="str">
            <v>AYUDA TEMPORAL A LAS FAMILIAS DE VARIAS LOCALIDADES, PARA RELOCALIZACIÓN DE HOGARES LOCALIZADOS EN ZONAS DE ALTO RIESGO NO MITIGABLE ID:2003-19-5062, LOCALIDAD:19 CIUDAD BOLÍVAR, UPZ:69 ISMAEL PERDOMO, SECTOR:ALTOS DE LA ESTANCIA</v>
          </cell>
          <cell r="R1668">
            <v>3383254</v>
          </cell>
          <cell r="S1668">
            <v>0</v>
          </cell>
          <cell r="T1668">
            <v>0</v>
          </cell>
          <cell r="U1668">
            <v>3383254</v>
          </cell>
          <cell r="V1668">
            <v>1449966</v>
          </cell>
        </row>
        <row r="1669">
          <cell r="J1669">
            <v>1038</v>
          </cell>
          <cell r="K1669">
            <v>43143</v>
          </cell>
          <cell r="L1669" t="str">
            <v>ANA CRISTINA GONZALEZ ESTRADA</v>
          </cell>
          <cell r="M1669">
            <v>31</v>
          </cell>
          <cell r="N1669" t="str">
            <v>RESOLUCION</v>
          </cell>
          <cell r="O1669">
            <v>622</v>
          </cell>
          <cell r="P1669">
            <v>43143</v>
          </cell>
          <cell r="Q1669" t="str">
            <v>AYUDA TEMPORAL A LAS FAMILIAS DE VARIAS LOCALIDADES, PARA RELOCALIZACIÓN DE HOGARES LOCALIZADOS EN ZONAS DE ALTO RIESGO NO MITIGABLE ID:2011-4-12696, LOCALIDAD:04 SAN CRISTÓBAL, UPZ:32 SAN BLAS, SECTOR:</v>
          </cell>
          <cell r="R1669">
            <v>2582006</v>
          </cell>
          <cell r="S1669">
            <v>368858</v>
          </cell>
          <cell r="T1669">
            <v>0</v>
          </cell>
          <cell r="U1669">
            <v>2213148</v>
          </cell>
          <cell r="V1669">
            <v>2213148</v>
          </cell>
        </row>
        <row r="1670">
          <cell r="J1670">
            <v>1039</v>
          </cell>
          <cell r="K1670">
            <v>43143</v>
          </cell>
          <cell r="L1670" t="str">
            <v>MARIA STELLA PEÑA VELOSA</v>
          </cell>
          <cell r="M1670">
            <v>31</v>
          </cell>
          <cell r="N1670" t="str">
            <v>RESOLUCION</v>
          </cell>
          <cell r="O1670">
            <v>684</v>
          </cell>
          <cell r="P1670">
            <v>43143</v>
          </cell>
          <cell r="Q1670" t="str">
            <v>AYUDA TEMPORAL A LAS FAMILIAS DE VARIAS LOCALIDADES, PARA RELOCALIZACIÓN DE HOGARES LOCALIZADOS EN ZONAS DE ALTO RIESGO NO MITIGABLE ID:2011-4-12659, LOCALIDAD:04 SAN CRISTÓBAL, UPZ:32 SAN BLAS.</v>
          </cell>
          <cell r="R1670">
            <v>6233708</v>
          </cell>
          <cell r="S1670">
            <v>0</v>
          </cell>
          <cell r="T1670">
            <v>0</v>
          </cell>
          <cell r="U1670">
            <v>6233708</v>
          </cell>
          <cell r="V1670">
            <v>3836128</v>
          </cell>
        </row>
        <row r="1671">
          <cell r="J1671">
            <v>1040</v>
          </cell>
          <cell r="K1671">
            <v>43143</v>
          </cell>
          <cell r="L1671" t="str">
            <v>MARTHA CECILIA RUBIO ALVIS</v>
          </cell>
          <cell r="M1671">
            <v>31</v>
          </cell>
          <cell r="N1671" t="str">
            <v>RESOLUCION</v>
          </cell>
          <cell r="O1671">
            <v>623</v>
          </cell>
          <cell r="P1671">
            <v>43143</v>
          </cell>
          <cell r="Q1671" t="str">
            <v>AYUDA TEMPORAL A LAS FAMILIAS DE VARIAS LOCALIDADES, PARA RELOCALIZACIÓN DE HOGARES LOCALIZADOS EN ZONAS DE ALTO RIESGO NO MITIGABLE ID:2015-Q09-03181, LOCALIDAD:19 CIUDAD BOLÍVAR, UPZ:68 EL TESORO, SECTOR:QUEBRADA TROMPETA</v>
          </cell>
          <cell r="R1671">
            <v>6713226</v>
          </cell>
          <cell r="S1671">
            <v>0</v>
          </cell>
          <cell r="T1671">
            <v>0</v>
          </cell>
          <cell r="U1671">
            <v>6713226</v>
          </cell>
          <cell r="V1671">
            <v>4131216</v>
          </cell>
        </row>
        <row r="1672">
          <cell r="J1672">
            <v>1041</v>
          </cell>
          <cell r="K1672">
            <v>43143</v>
          </cell>
          <cell r="L1672" t="str">
            <v>SANDRA MILENA LESMES RODRIGUEZ</v>
          </cell>
          <cell r="M1672">
            <v>31</v>
          </cell>
          <cell r="N1672" t="str">
            <v>RESOLUCION</v>
          </cell>
          <cell r="O1672">
            <v>685</v>
          </cell>
          <cell r="P1672">
            <v>43143</v>
          </cell>
          <cell r="Q1672" t="str">
            <v>AYUDA TEMPORAL A LAS FAMILIAS DE VARIAS LOCALIDADES, PARA RELOCALIZACIÓN DE HOGARES LOCALIZADOS EN ZONAS DE ALTO RIESGO NO MITIGABLE ID:2011-19-12628, LOCALIDAD:19 CIUDAD BOLÍVAR, UPZ:68 EL TESORO, SECTOR:OLA INVERNAL 2010 FOPAE</v>
          </cell>
          <cell r="R1672">
            <v>2845920</v>
          </cell>
          <cell r="S1672">
            <v>406560</v>
          </cell>
          <cell r="T1672">
            <v>0</v>
          </cell>
          <cell r="U1672">
            <v>2439360</v>
          </cell>
          <cell r="V1672">
            <v>2439360</v>
          </cell>
        </row>
        <row r="1673">
          <cell r="J1673">
            <v>1042</v>
          </cell>
          <cell r="K1673">
            <v>43143</v>
          </cell>
          <cell r="L1673" t="str">
            <v>ADELA  BERMUDEZ FORERO</v>
          </cell>
          <cell r="M1673">
            <v>31</v>
          </cell>
          <cell r="N1673" t="str">
            <v>RESOLUCION</v>
          </cell>
          <cell r="O1673">
            <v>686</v>
          </cell>
          <cell r="P1673">
            <v>43143</v>
          </cell>
          <cell r="Q1673" t="str">
            <v>AYUDA TEMPORAL A LAS FAMILIAS DE VARIAS LOCALIDADES, PARA RELOCALIZACIÓN DE HOGARES LOCALIZADOS EN ZONAS DE ALTO RIESGO NO MITIGABLE ID:2016-08-14824, LOCALIDAD:08 KENNEDY, UPZ:82 PATIO BONITO, SECTOR:PALMITAS</v>
          </cell>
          <cell r="R1673">
            <v>4986969</v>
          </cell>
          <cell r="S1673">
            <v>0</v>
          </cell>
          <cell r="T1673">
            <v>0</v>
          </cell>
          <cell r="U1673">
            <v>4986969</v>
          </cell>
          <cell r="V1673">
            <v>3068904</v>
          </cell>
        </row>
        <row r="1674">
          <cell r="J1674">
            <v>1043</v>
          </cell>
          <cell r="K1674">
            <v>43143</v>
          </cell>
          <cell r="L1674" t="str">
            <v>HUMBERTO  LOZANO SILVA</v>
          </cell>
          <cell r="M1674">
            <v>31</v>
          </cell>
          <cell r="N1674" t="str">
            <v>RESOLUCION</v>
          </cell>
          <cell r="O1674">
            <v>687</v>
          </cell>
          <cell r="P1674">
            <v>43143</v>
          </cell>
          <cell r="Q1674" t="str">
            <v>AYUDA TEMPORAL A LAS FAMILIAS DE VARIAS LOCALIDADES, PARA RELOCALIZACIÓN DE HOGARES LOCALIZADOS EN ZONAS DE ALTO RIESGO NO MITIGABLE ID:2015-Q03-03386, LOCALIDAD:19 CIUDAD BOLÍVAR, UPZ:67 LUCERO, SECTOR:LIMAS</v>
          </cell>
          <cell r="R1674">
            <v>5612594</v>
          </cell>
          <cell r="S1674">
            <v>0</v>
          </cell>
          <cell r="T1674">
            <v>0</v>
          </cell>
          <cell r="U1674">
            <v>5612594</v>
          </cell>
          <cell r="V1674">
            <v>3453904</v>
          </cell>
        </row>
        <row r="1675">
          <cell r="J1675">
            <v>1044</v>
          </cell>
          <cell r="K1675">
            <v>43143</v>
          </cell>
          <cell r="L1675" t="str">
            <v>LUZ MARINA DIOSA RENDON</v>
          </cell>
          <cell r="M1675">
            <v>31</v>
          </cell>
          <cell r="N1675" t="str">
            <v>RESOLUCION</v>
          </cell>
          <cell r="O1675">
            <v>624</v>
          </cell>
          <cell r="P1675">
            <v>43143</v>
          </cell>
          <cell r="Q1675" t="str">
            <v>AYUDA TEMPORAL A LAS FAMILIAS DE VARIAS LOCALIDADES, PARA RELOCALIZACIÓN DE HOGARES LOCALIZADOS EN ZONAS DE ALTO RIESGO NO MITIGABLE ID:2014-Q21-00704, LOCALIDAD:19 CIUDAD BOLÍVAR, UPZ:67 LUCERO, SECTOR:PEÑA COLORADA</v>
          </cell>
          <cell r="R1675">
            <v>920976</v>
          </cell>
          <cell r="S1675">
            <v>460488</v>
          </cell>
          <cell r="T1675">
            <v>0</v>
          </cell>
          <cell r="U1675">
            <v>460488</v>
          </cell>
          <cell r="V1675">
            <v>460488</v>
          </cell>
        </row>
        <row r="1676">
          <cell r="J1676">
            <v>1045</v>
          </cell>
          <cell r="K1676">
            <v>43143</v>
          </cell>
          <cell r="L1676" t="str">
            <v>MARIA INES MARTINEZ PINTO</v>
          </cell>
          <cell r="M1676">
            <v>31</v>
          </cell>
          <cell r="N1676" t="str">
            <v>RESOLUCION</v>
          </cell>
          <cell r="O1676">
            <v>688</v>
          </cell>
          <cell r="P1676">
            <v>43143</v>
          </cell>
          <cell r="Q1676" t="str">
            <v>AYUDA TEMPORAL A LAS FAMILIAS DE VARIAS LOCALIDADES, PARA RELOCALIZACIÓN DE HOGARES LOCALIZADOS EN ZONAS DE ALTO RIESGO NO MITIGABLE ID:2013000530, LOCALIDAD:19 CIUDAD BOLÍVAR, UPZ:67 LUCERO, SECTOR:QUEBRADA TROMPETA</v>
          </cell>
          <cell r="R1676">
            <v>6721000</v>
          </cell>
          <cell r="S1676">
            <v>0</v>
          </cell>
          <cell r="T1676">
            <v>0</v>
          </cell>
          <cell r="U1676">
            <v>6721000</v>
          </cell>
          <cell r="V1676">
            <v>4136000</v>
          </cell>
        </row>
        <row r="1677">
          <cell r="J1677">
            <v>1046</v>
          </cell>
          <cell r="K1677">
            <v>43143</v>
          </cell>
          <cell r="L1677" t="str">
            <v>ANADELIA  MELO JOYA</v>
          </cell>
          <cell r="M1677">
            <v>31</v>
          </cell>
          <cell r="N1677" t="str">
            <v>RESOLUCION</v>
          </cell>
          <cell r="O1677">
            <v>652</v>
          </cell>
          <cell r="P1677">
            <v>43143</v>
          </cell>
          <cell r="Q1677" t="str">
            <v>AYUDA TEMPORAL A LAS FAMILIAS DE VARIAS LOCALIDADES, PARA RELOCALIZACIÓN DE HOGARES LOCALIZADOS EN ZONAS DE ALTO RIESGO NO MITIGABLE ID:2003-19-5220, LOCALIDAD:19 CIUDAD BOLÍVAR, UPZ:69 ISMAEL PERDOMO, SECTOR:ALTOS DE LA ESTANCIA</v>
          </cell>
          <cell r="R1677">
            <v>3363507</v>
          </cell>
          <cell r="S1677">
            <v>480501</v>
          </cell>
          <cell r="T1677">
            <v>0</v>
          </cell>
          <cell r="U1677">
            <v>2883006</v>
          </cell>
          <cell r="V1677">
            <v>2883006</v>
          </cell>
        </row>
        <row r="1678">
          <cell r="J1678">
            <v>1047</v>
          </cell>
          <cell r="K1678">
            <v>43143</v>
          </cell>
          <cell r="L1678" t="str">
            <v>LUZ MARINA DIOSA RENDON</v>
          </cell>
          <cell r="M1678">
            <v>31</v>
          </cell>
          <cell r="N1678" t="str">
            <v>RESOLUCION</v>
          </cell>
          <cell r="O1678">
            <v>625</v>
          </cell>
          <cell r="P1678">
            <v>43143</v>
          </cell>
          <cell r="Q1678" t="str">
            <v>AYUDA TEMPORAL A LAS FAMILIAS DE VARIAS LOCALIDADES, PARA RELOCALIZACIÓN DE HOGARES LOCALIZADOS EN ZONAS DE ALTO RIESGO NO MITIGABLE ID:2014-Q21-00704, LOCALIDAD:19 CIUDAD BOLÍVAR, UPZ:67 LUCERO, SECTOR:PEÑA COLORADA</v>
          </cell>
          <cell r="R1678">
            <v>5525856</v>
          </cell>
          <cell r="S1678">
            <v>0</v>
          </cell>
          <cell r="T1678">
            <v>0</v>
          </cell>
          <cell r="U1678">
            <v>5525856</v>
          </cell>
          <cell r="V1678">
            <v>3223416</v>
          </cell>
        </row>
        <row r="1679">
          <cell r="J1679">
            <v>1048</v>
          </cell>
          <cell r="K1679">
            <v>43143</v>
          </cell>
          <cell r="L1679" t="str">
            <v>BARBARA  BOHORQUEZ CABALLERO</v>
          </cell>
          <cell r="M1679">
            <v>31</v>
          </cell>
          <cell r="N1679" t="str">
            <v>RESOLUCION</v>
          </cell>
          <cell r="O1679">
            <v>689</v>
          </cell>
          <cell r="P1679">
            <v>43143</v>
          </cell>
          <cell r="Q1679" t="str">
            <v>AYUDA TEMPORAL A LAS FAMILIAS DE VARIAS LOCALIDADES, PARA RELOCALIZACIÓN DE HOGARES LOCALIZADOS EN ZONAS DE ALTO RIESGO NO MITIGABLE ID:2004-5-5564, LOCALIDAD:05 USME, UPZ:57 GRAN YOMASA,</v>
          </cell>
          <cell r="R1679">
            <v>3523107</v>
          </cell>
          <cell r="S1679">
            <v>2516505</v>
          </cell>
          <cell r="T1679">
            <v>0</v>
          </cell>
          <cell r="U1679">
            <v>1006602</v>
          </cell>
          <cell r="V1679">
            <v>1006602</v>
          </cell>
        </row>
        <row r="1680">
          <cell r="J1680">
            <v>1049</v>
          </cell>
          <cell r="K1680">
            <v>43143</v>
          </cell>
          <cell r="L1680" t="str">
            <v>ARACELY  ARCE AGUDELO</v>
          </cell>
          <cell r="M1680">
            <v>31</v>
          </cell>
          <cell r="N1680" t="str">
            <v>RESOLUCION</v>
          </cell>
          <cell r="O1680">
            <v>653</v>
          </cell>
          <cell r="P1680">
            <v>43143</v>
          </cell>
          <cell r="Q1680" t="str">
            <v>AYUDA TEMPORAL A LAS FAMILIAS DE VARIAS LOCALIDADES, PARA RELOCALIZACIÓN DE HOGARES LOCALIZADOS EN ZONAS DE ALTO RIESGO NO MITIGABLE ID:2013000473, LOCALIDAD:19 CIUDAD BOLÍVAR, UPZ:67 LUCERO, SECTOR:QUEBRADA TROMPETA</v>
          </cell>
          <cell r="R1680">
            <v>3017000</v>
          </cell>
          <cell r="S1680">
            <v>862000</v>
          </cell>
          <cell r="T1680">
            <v>0</v>
          </cell>
          <cell r="U1680">
            <v>2155000</v>
          </cell>
          <cell r="V1680">
            <v>2155000</v>
          </cell>
        </row>
        <row r="1681">
          <cell r="J1681">
            <v>1050</v>
          </cell>
          <cell r="K1681">
            <v>43143</v>
          </cell>
          <cell r="L1681" t="str">
            <v>ALBERTO  CARDONA</v>
          </cell>
          <cell r="M1681">
            <v>31</v>
          </cell>
          <cell r="N1681" t="str">
            <v>RESOLUCION</v>
          </cell>
          <cell r="O1681">
            <v>626</v>
          </cell>
          <cell r="P1681">
            <v>43143</v>
          </cell>
          <cell r="Q1681" t="str">
            <v>AYUDA TEMPORAL A LAS FAMILIAS DE VARIAS LOCALIDADES, PARA RELOCALIZACIÓN DE HOGARES LOCALIZADOS EN ZONAS DE ALTO RIESGO NO MITIGABLE ID:2007-4-9373, LOCALIDAD:04 SAN CRISTÓBAL, UPZ:32 SAN BLAS, SECTOR:</v>
          </cell>
          <cell r="R1681">
            <v>2582006</v>
          </cell>
          <cell r="S1681">
            <v>368858</v>
          </cell>
          <cell r="T1681">
            <v>0</v>
          </cell>
          <cell r="U1681">
            <v>2213148</v>
          </cell>
          <cell r="V1681">
            <v>2213148</v>
          </cell>
        </row>
        <row r="1682">
          <cell r="J1682">
            <v>1051</v>
          </cell>
          <cell r="K1682">
            <v>43143</v>
          </cell>
          <cell r="L1682" t="str">
            <v>HILDA MARLENY PEREZ</v>
          </cell>
          <cell r="M1682">
            <v>31</v>
          </cell>
          <cell r="N1682" t="str">
            <v>RESOLUCION</v>
          </cell>
          <cell r="O1682">
            <v>654</v>
          </cell>
          <cell r="P1682">
            <v>43143</v>
          </cell>
          <cell r="Q1682" t="str">
            <v>AYUDA TEMPORAL A LAS FAMILIAS DE VARIAS LOCALIDADES, PARA RELOCALIZACIÓN DE HOGARES LOCALIZADOS EN ZONAS DE ALTO RIESGO NO MITIGABLE ID:2013000267, LOCALIDAD:04 SAN CRISTÓBAL, UPZ:51 LOS LIBERTADORES, SECTOR:QUEBRADA VEREJONES</v>
          </cell>
          <cell r="R1682">
            <v>5780541</v>
          </cell>
          <cell r="S1682">
            <v>0</v>
          </cell>
          <cell r="T1682">
            <v>0</v>
          </cell>
          <cell r="U1682">
            <v>5780541</v>
          </cell>
          <cell r="V1682">
            <v>3112599</v>
          </cell>
        </row>
        <row r="1683">
          <cell r="J1683">
            <v>1052</v>
          </cell>
          <cell r="K1683">
            <v>43143</v>
          </cell>
          <cell r="L1683" t="str">
            <v>YURY GISELL BERMUDEZ FORERO</v>
          </cell>
          <cell r="M1683">
            <v>31</v>
          </cell>
          <cell r="N1683" t="str">
            <v>RESOLUCION</v>
          </cell>
          <cell r="O1683">
            <v>690</v>
          </cell>
          <cell r="P1683">
            <v>43143</v>
          </cell>
          <cell r="Q1683" t="str">
            <v>AYUDA TEMPORAL A LAS FAMILIAS DE VARIAS LOCALIDADES, PARA RELOCALIZACIÓN DE HOGARES LOCALIZADOS EN ZONAS DE ALTO RIESGO NO MITIGABLE ID:2016-08-14813, LOCALIDAD:08 KENNEDY, UPZ:82 PATIO BONITO, SECTOR:PALMITAS</v>
          </cell>
          <cell r="R1683">
            <v>4929600</v>
          </cell>
          <cell r="S1683">
            <v>0</v>
          </cell>
          <cell r="T1683">
            <v>0</v>
          </cell>
          <cell r="U1683">
            <v>4929600</v>
          </cell>
          <cell r="V1683">
            <v>3033600</v>
          </cell>
        </row>
        <row r="1684">
          <cell r="J1684">
            <v>1053</v>
          </cell>
          <cell r="K1684">
            <v>43143</v>
          </cell>
          <cell r="L1684" t="str">
            <v>ALEXANDER JOAQUIN RODRIGUEZ LOPEZ</v>
          </cell>
          <cell r="M1684">
            <v>31</v>
          </cell>
          <cell r="N1684" t="str">
            <v>RESOLUCION</v>
          </cell>
          <cell r="O1684">
            <v>627</v>
          </cell>
          <cell r="P1684">
            <v>43143</v>
          </cell>
          <cell r="Q1684" t="str">
            <v>AYUDA TEMPORAL A LAS FAMILIAS DE VARIAS LOCALIDADES, PARA RELOCALIZACIÓN DE HOGARES LOCALIZADOS EN ZONAS DE ALTO RIESGO NO MITIGABLE ID:2014-Q03-01109, LOCALIDAD:19 CIUDAD BOLÍVAR, UPZ:66 SAN FRANCISCO, SECTOR:LIMAS</v>
          </cell>
          <cell r="R1684">
            <v>3157315</v>
          </cell>
          <cell r="S1684">
            <v>451045</v>
          </cell>
          <cell r="T1684">
            <v>0</v>
          </cell>
          <cell r="U1684">
            <v>2706270</v>
          </cell>
          <cell r="V1684">
            <v>2706270</v>
          </cell>
        </row>
        <row r="1685">
          <cell r="J1685">
            <v>1054</v>
          </cell>
          <cell r="K1685">
            <v>43143</v>
          </cell>
          <cell r="L1685" t="str">
            <v>JESUS LIBORIO GONZALEZ GALEANO</v>
          </cell>
          <cell r="M1685">
            <v>31</v>
          </cell>
          <cell r="N1685" t="str">
            <v>RESOLUCION</v>
          </cell>
          <cell r="O1685">
            <v>655</v>
          </cell>
          <cell r="P1685">
            <v>43143</v>
          </cell>
          <cell r="Q1685" t="str">
            <v>AYUDA TEMPORAL A LAS FAMILIAS DE VARIAS LOCALIDADES, PARA RELOCALIZACIÓN DE HOGARES LOCALIZADOS EN ZONAS DE ALTO RIESGO NO MITIGABLE ID:2012-ALES-65, LOCALIDAD:19 CIUDAD BOLÍVAR, UPZ:69 ISMAEL PERDOMO, SECTOR:ALTOS DE LA ESTANCIA</v>
          </cell>
          <cell r="R1685">
            <v>4329855</v>
          </cell>
          <cell r="S1685">
            <v>0</v>
          </cell>
          <cell r="T1685">
            <v>0</v>
          </cell>
          <cell r="U1685">
            <v>4329855</v>
          </cell>
          <cell r="V1685">
            <v>3848760</v>
          </cell>
        </row>
        <row r="1686">
          <cell r="J1686">
            <v>1055</v>
          </cell>
          <cell r="K1686">
            <v>43143</v>
          </cell>
          <cell r="L1686" t="str">
            <v>ALVARO  GUTIERREZ ARTUNDUAGA</v>
          </cell>
          <cell r="M1686">
            <v>31</v>
          </cell>
          <cell r="N1686" t="str">
            <v>RESOLUCION</v>
          </cell>
          <cell r="O1686">
            <v>628</v>
          </cell>
          <cell r="P1686">
            <v>43143</v>
          </cell>
          <cell r="Q1686" t="str">
            <v>AYUDA TEMPORAL A LAS FAMILIAS DE VARIAS LOCALIDADES, PARA RELOCALIZACIÓN DE HOGARES LOCALIZADOS EN ZONAS DE ALTO RIESGO NO MITIGABLE ID:2013000411, LOCALIDAD:04 SAN CRISTÓBAL, UPZ:51 LOS LIBERTADORES, SECTOR:QUEBRADA VEREJONES</v>
          </cell>
          <cell r="R1686">
            <v>3038112</v>
          </cell>
          <cell r="S1686">
            <v>434016</v>
          </cell>
          <cell r="T1686">
            <v>0</v>
          </cell>
          <cell r="U1686">
            <v>2604096</v>
          </cell>
          <cell r="V1686">
            <v>2604096</v>
          </cell>
        </row>
        <row r="1687">
          <cell r="J1687">
            <v>1056</v>
          </cell>
          <cell r="K1687">
            <v>43143</v>
          </cell>
          <cell r="L1687" t="str">
            <v>ELIZABETH  VEGA PARRA</v>
          </cell>
          <cell r="M1687">
            <v>31</v>
          </cell>
          <cell r="N1687" t="str">
            <v>RESOLUCION</v>
          </cell>
          <cell r="O1687">
            <v>691</v>
          </cell>
          <cell r="P1687">
            <v>43143</v>
          </cell>
          <cell r="Q1687" t="str">
            <v>AYUDA TEMPORAL A LAS FAMILIAS DE VARIAS LOCALIDADES, PARA RELOCALIZACIÓN DE HOGARES LOCALIZADOS EN ZONAS DE ALTO RIESGO NO MITIGABLE ID:2012-18-14356, LOCALIDAD:18 RAFAEL URIBE URIBE, UPZ:55 DIANA TURBAY, SECTOR:</v>
          </cell>
          <cell r="R1687">
            <v>6713226</v>
          </cell>
          <cell r="S1687">
            <v>0</v>
          </cell>
          <cell r="T1687">
            <v>0</v>
          </cell>
          <cell r="U1687">
            <v>6713226</v>
          </cell>
          <cell r="V1687">
            <v>4131216</v>
          </cell>
        </row>
        <row r="1688">
          <cell r="J1688">
            <v>1057</v>
          </cell>
          <cell r="K1688">
            <v>43143</v>
          </cell>
          <cell r="L1688" t="str">
            <v>YUDI KATERINE RAMIREZ RODRIGUEZ</v>
          </cell>
          <cell r="M1688">
            <v>31</v>
          </cell>
          <cell r="N1688" t="str">
            <v>RESOLUCION</v>
          </cell>
          <cell r="O1688">
            <v>656</v>
          </cell>
          <cell r="P1688">
            <v>43143</v>
          </cell>
          <cell r="Q1688" t="str">
            <v>AYUDA TEMPORAL A LAS FAMILIAS DE VARIAS LOCALIDADES, PARA RELOCALIZACIÓN DE HOGARES LOCALIZADOS EN ZONAS DE ALTO RIESGO NO MITIGABLE ID:2014-OTR-00882, LOCALIDAD:03 SANTA FE, UPZ:96 LOURDES, SECTOR:CASA 2</v>
          </cell>
          <cell r="R1688">
            <v>3518186</v>
          </cell>
          <cell r="S1688">
            <v>502598</v>
          </cell>
          <cell r="T1688">
            <v>0</v>
          </cell>
          <cell r="U1688">
            <v>3015588</v>
          </cell>
          <cell r="V1688">
            <v>3015588</v>
          </cell>
        </row>
        <row r="1689">
          <cell r="J1689">
            <v>1058</v>
          </cell>
          <cell r="K1689">
            <v>43143</v>
          </cell>
          <cell r="L1689" t="str">
            <v>MARINELA  GAONA GONZALEZ</v>
          </cell>
          <cell r="M1689">
            <v>31</v>
          </cell>
          <cell r="N1689" t="str">
            <v>RESOLUCION</v>
          </cell>
          <cell r="O1689">
            <v>629</v>
          </cell>
          <cell r="P1689">
            <v>43143</v>
          </cell>
          <cell r="Q1689" t="str">
            <v>AYUDA TEMPORAL A LAS FAMILIAS DE VARIAS LOCALIDADES, PARA RELOCALIZACIÓN DE HOGARES LOCALIZADOS EN ZONAS DE ALTO RIESGO NO MITIGABLE ID:2012-4-14293, LOCALIDAD:04 SAN CRISTÓBAL, UPZ:50 LA GLORIA, SECTOR:</v>
          </cell>
          <cell r="R1689">
            <v>3017000</v>
          </cell>
          <cell r="S1689">
            <v>431000</v>
          </cell>
          <cell r="T1689">
            <v>0</v>
          </cell>
          <cell r="U1689">
            <v>2586000</v>
          </cell>
          <cell r="V1689">
            <v>2586000</v>
          </cell>
        </row>
        <row r="1690">
          <cell r="J1690">
            <v>1059</v>
          </cell>
          <cell r="K1690">
            <v>43143</v>
          </cell>
          <cell r="L1690" t="str">
            <v>VICTORIA EUGENIA BENITEZ BASTIDAS</v>
          </cell>
          <cell r="M1690">
            <v>31</v>
          </cell>
          <cell r="N1690" t="str">
            <v>RESOLUCION</v>
          </cell>
          <cell r="O1690">
            <v>657</v>
          </cell>
          <cell r="P1690">
            <v>43143</v>
          </cell>
          <cell r="Q1690" t="str">
            <v>AYUDA TEMPORAL A LAS FAMILIAS DE VARIAS LOCALIDADES, PARA RELOCALIZACIÓN DE HOGARES LOCALIZADOS EN ZONAS DE ALTO RIESGO NO MITIGABLE ID:2012-19-14380, LOCALIDAD:19 CIUDAD BOLÍVAR, UPZ:68 EL TESORO</v>
          </cell>
          <cell r="R1690">
            <v>3698947</v>
          </cell>
          <cell r="S1690">
            <v>528421</v>
          </cell>
          <cell r="T1690">
            <v>0</v>
          </cell>
          <cell r="U1690">
            <v>3170526</v>
          </cell>
          <cell r="V1690">
            <v>3170526</v>
          </cell>
        </row>
        <row r="1691">
          <cell r="J1691">
            <v>1060</v>
          </cell>
          <cell r="K1691">
            <v>43143</v>
          </cell>
          <cell r="L1691" t="str">
            <v>MYRIAM JACQUELINE ABRIL CRUZ</v>
          </cell>
          <cell r="M1691">
            <v>31</v>
          </cell>
          <cell r="N1691" t="str">
            <v>RESOLUCION</v>
          </cell>
          <cell r="O1691">
            <v>692</v>
          </cell>
          <cell r="P1691">
            <v>43143</v>
          </cell>
          <cell r="Q1691" t="str">
            <v>AYUDA TEMPORAL A LAS FAMILIAS DE VARIAS LOCALIDADES, PARA RELOCALIZACIÓN DE HOGARES LOCALIZADOS EN ZONAS DE ALTO RIESGO NO MITIGABLE ID:2012-18-14319, LOCALIDAD:18 RAFAEL URIBE URIBE, UPZ:55 DIANA TURBAY,</v>
          </cell>
          <cell r="R1691">
            <v>3094182</v>
          </cell>
          <cell r="S1691">
            <v>442026</v>
          </cell>
          <cell r="T1691">
            <v>0</v>
          </cell>
          <cell r="U1691">
            <v>2652156</v>
          </cell>
          <cell r="V1691">
            <v>2652156</v>
          </cell>
        </row>
        <row r="1692">
          <cell r="J1692">
            <v>1061</v>
          </cell>
          <cell r="K1692">
            <v>43143</v>
          </cell>
          <cell r="L1692" t="str">
            <v>ERIKA STELLA RIOS WILCHES</v>
          </cell>
          <cell r="M1692">
            <v>31</v>
          </cell>
          <cell r="N1692" t="str">
            <v>RESOLUCION</v>
          </cell>
          <cell r="O1692">
            <v>658</v>
          </cell>
          <cell r="P1692">
            <v>43143</v>
          </cell>
          <cell r="Q1692" t="str">
            <v>AYUDA TEMPORAL A LAS FAMILIAS DE VARIAS LOCALIDADES, PARA RELOCALIZACIÓN DE HOGARES LOCALIZADOS EN ZONAS DE ALTO RIESGO NO MITIGABLE ID:2011-19-13384, LOCALIDAD:19 CIUDAD BOLÍVAR, UPZ:68 EL TESORO.</v>
          </cell>
          <cell r="R1692">
            <v>5754190</v>
          </cell>
          <cell r="S1692">
            <v>0</v>
          </cell>
          <cell r="T1692">
            <v>0</v>
          </cell>
          <cell r="U1692">
            <v>5754190</v>
          </cell>
          <cell r="V1692">
            <v>3541040</v>
          </cell>
        </row>
        <row r="1693">
          <cell r="J1693">
            <v>1062</v>
          </cell>
          <cell r="K1693">
            <v>43143</v>
          </cell>
          <cell r="L1693" t="str">
            <v>ALBA MARINA ARIAS DIAZ</v>
          </cell>
          <cell r="M1693">
            <v>31</v>
          </cell>
          <cell r="N1693" t="str">
            <v>RESOLUCION</v>
          </cell>
          <cell r="O1693">
            <v>693</v>
          </cell>
          <cell r="P1693">
            <v>43143</v>
          </cell>
          <cell r="Q1693" t="str">
            <v>AYUDA TEMPORAL A LAS FAMILIAS DE VARIAS LOCALIDADES, PARA RELOCALIZACIÓN DE HOGARES LOCALIZADOS EN ZONAS DE ALTO RIESGO NO MITIGABLE ID:2016-08-14804, LOCALIDAD:08 KENNEDY, UPZ:82 PATIO BONITO, SECTOR:PALMITAS</v>
          </cell>
          <cell r="R1693">
            <v>7480447</v>
          </cell>
          <cell r="S1693">
            <v>0</v>
          </cell>
          <cell r="T1693">
            <v>0</v>
          </cell>
          <cell r="U1693">
            <v>7480447</v>
          </cell>
          <cell r="V1693">
            <v>4603352</v>
          </cell>
        </row>
        <row r="1694">
          <cell r="J1694">
            <v>1063</v>
          </cell>
          <cell r="K1694">
            <v>43143</v>
          </cell>
          <cell r="L1694" t="str">
            <v>LUIS ALBERTO URREA LEMUS</v>
          </cell>
          <cell r="M1694">
            <v>31</v>
          </cell>
          <cell r="N1694" t="str">
            <v>RESOLUCION</v>
          </cell>
          <cell r="O1694">
            <v>650</v>
          </cell>
          <cell r="P1694">
            <v>43143</v>
          </cell>
          <cell r="Q1694" t="str">
            <v>AYUDA TEMPORAL A LAS FAMILIAS DE VARIAS LOCALIDADES, PARA RELOCALIZACIÓN DE HOGARES LOCALIZADOS EN ZONAS DE ALTO RIESGO NO MITIGABLE ID:2013-Q21-00354, LOCALIDAD:19 CIUDAD BOLÍVAR, UPZ:67 LUCERO, SECTOR:BRAZO DERECHO DE LIMAS</v>
          </cell>
          <cell r="R1694">
            <v>2586752</v>
          </cell>
          <cell r="S1694">
            <v>369536</v>
          </cell>
          <cell r="T1694">
            <v>0</v>
          </cell>
          <cell r="U1694">
            <v>2217216</v>
          </cell>
          <cell r="V1694">
            <v>2217216</v>
          </cell>
        </row>
        <row r="1695">
          <cell r="J1695">
            <v>1064</v>
          </cell>
          <cell r="K1695">
            <v>43143</v>
          </cell>
          <cell r="L1695" t="str">
            <v>JOSE BERCELI MOSUCHA MOYA</v>
          </cell>
          <cell r="M1695">
            <v>31</v>
          </cell>
          <cell r="N1695" t="str">
            <v>RESOLUCION</v>
          </cell>
          <cell r="O1695">
            <v>651</v>
          </cell>
          <cell r="P1695">
            <v>43143</v>
          </cell>
          <cell r="Q1695" t="str">
            <v>AYUDA TEMPORAL A LAS FAMILIAS DE VARIAS LOCALIDADES, PARA RELOCALIZACIÓN DE HOGARES LOCALIZADOS EN ZONAS DE ALTO RIESGO NO MITIGABLE ID:2013-Q22-00622, LOCALIDAD:04 SAN CRISTÓBAL, UPZ:32 SAN BLAS, SECTOR:FUCHA</v>
          </cell>
          <cell r="R1695">
            <v>3713850</v>
          </cell>
          <cell r="S1695">
            <v>0</v>
          </cell>
          <cell r="T1695">
            <v>0</v>
          </cell>
          <cell r="U1695">
            <v>3713850</v>
          </cell>
          <cell r="V1695">
            <v>1591650</v>
          </cell>
        </row>
        <row r="1696">
          <cell r="J1696">
            <v>1065</v>
          </cell>
          <cell r="K1696">
            <v>43143</v>
          </cell>
          <cell r="L1696" t="str">
            <v>JOSE LEONARDO LOZANO GUTIERREZ</v>
          </cell>
          <cell r="M1696">
            <v>31</v>
          </cell>
          <cell r="N1696" t="str">
            <v>RESOLUCION</v>
          </cell>
          <cell r="O1696">
            <v>659</v>
          </cell>
          <cell r="P1696">
            <v>43143</v>
          </cell>
          <cell r="Q1696" t="str">
            <v>AYUDA TEMPORAL A LAS FAMILIAS DE VARIAS LOCALIDADES, PARA RELOCALIZACIÓN DE HOGARES LOCALIZADOS EN ZONAS DE ALTO RIESGO NO MITIGABLE ID:2013000321, LOCALIDAD:19 CIUDAD BOLÍVAR, UPZ:67 LUCERO, SECTOR:PEÑA COLORADA</v>
          </cell>
          <cell r="R1696">
            <v>3463215</v>
          </cell>
          <cell r="S1696">
            <v>989490</v>
          </cell>
          <cell r="T1696">
            <v>0</v>
          </cell>
          <cell r="U1696">
            <v>2473725</v>
          </cell>
          <cell r="V1696">
            <v>2473725</v>
          </cell>
        </row>
        <row r="1697">
          <cell r="J1697">
            <v>1066</v>
          </cell>
          <cell r="K1697">
            <v>43143</v>
          </cell>
          <cell r="L1697" t="str">
            <v>JEINNY ANDREA NAVARRETE</v>
          </cell>
          <cell r="M1697">
            <v>31</v>
          </cell>
          <cell r="N1697" t="str">
            <v>RESOLUCION</v>
          </cell>
          <cell r="O1697">
            <v>694</v>
          </cell>
          <cell r="P1697">
            <v>43143</v>
          </cell>
          <cell r="Q1697" t="str">
            <v>AYUDA TEMPORAL A LAS FAMILIAS DE VARIAS LOCALIDADES, PARA RELOCALIZACIÓN DE HOGARES LOCALIZADOS EN ZONAS DE ALTO RIESGO NO MITIGABLE ID:2014-OTR-00898, LOCALIDAD:03 SANTA FE, UPZ:96 LOURDES, SECTOR:CASA 3</v>
          </cell>
          <cell r="R1697">
            <v>2582006</v>
          </cell>
          <cell r="S1697">
            <v>368858</v>
          </cell>
          <cell r="T1697">
            <v>0</v>
          </cell>
          <cell r="U1697">
            <v>2213148</v>
          </cell>
          <cell r="V1697">
            <v>2213148</v>
          </cell>
        </row>
        <row r="1698">
          <cell r="J1698">
            <v>1067</v>
          </cell>
          <cell r="K1698">
            <v>43143</v>
          </cell>
          <cell r="L1698" t="str">
            <v>DIEGO LEONARDO PEÑA PEÑA</v>
          </cell>
          <cell r="M1698">
            <v>31</v>
          </cell>
          <cell r="N1698" t="str">
            <v>RESOLUCION</v>
          </cell>
          <cell r="O1698">
            <v>708</v>
          </cell>
          <cell r="P1698">
            <v>43143</v>
          </cell>
          <cell r="Q1698" t="str">
            <v>AYUDA TEMPORAL A LAS FAMILIAS DE VARIAS LOCALIDADES, PARA RELOCALIZACIÓN DE HOGARES LOCALIZADOS EN ZONAS DE ALTO RIESGO NO MITIGABLE ID:2016-08-14791, LOCALIDAD:08 KENNEDY, UPZ:82 PATIO BONITO, SECTOR:PALMITAS</v>
          </cell>
          <cell r="R1698">
            <v>3201695</v>
          </cell>
          <cell r="S1698">
            <v>1372155</v>
          </cell>
          <cell r="T1698">
            <v>0</v>
          </cell>
          <cell r="U1698">
            <v>1829540</v>
          </cell>
          <cell r="V1698">
            <v>1829540</v>
          </cell>
        </row>
        <row r="1699">
          <cell r="J1699">
            <v>1068</v>
          </cell>
          <cell r="K1699">
            <v>43143</v>
          </cell>
          <cell r="L1699" t="str">
            <v>SANDRA CEILIA ZAMUDIO VARGAS</v>
          </cell>
          <cell r="M1699">
            <v>31</v>
          </cell>
          <cell r="N1699" t="str">
            <v>RESOLUCION</v>
          </cell>
          <cell r="O1699">
            <v>630</v>
          </cell>
          <cell r="P1699">
            <v>43143</v>
          </cell>
          <cell r="Q1699" t="str">
            <v>AYUDA TEMPORAL A LAS FAMILIAS DE VARIAS LOCALIDADES, PARA RELOCALIZACIÓN DE HOGARES LOCALIZADOS EN ZONAS DE ALTO RIESGO NO MITIGABLE ID:2015-Q03-01306, LOCALIDAD:19 CIUDAD BOLÍVAR, UPZ:67 LUCERO, SECTOR:LIMAS</v>
          </cell>
          <cell r="R1699">
            <v>6041906</v>
          </cell>
          <cell r="S1699">
            <v>0</v>
          </cell>
          <cell r="T1699">
            <v>0</v>
          </cell>
          <cell r="U1699">
            <v>6041906</v>
          </cell>
          <cell r="V1699">
            <v>2323810</v>
          </cell>
        </row>
        <row r="1700">
          <cell r="J1700">
            <v>1069</v>
          </cell>
          <cell r="K1700">
            <v>43143</v>
          </cell>
          <cell r="L1700" t="str">
            <v>MARIA ISABEL CUELLAR GOMEZ</v>
          </cell>
          <cell r="M1700">
            <v>31</v>
          </cell>
          <cell r="N1700" t="str">
            <v>RESOLUCION</v>
          </cell>
          <cell r="O1700">
            <v>660</v>
          </cell>
          <cell r="P1700">
            <v>43143</v>
          </cell>
          <cell r="Q1700" t="str">
            <v>AYUDA TEMPORAL A LAS FAMILIAS DE VARIAS LOCALIDADES, PARA RELOCALIZACIÓN DE HOGARES LOCALIZADOS EN ZONAS DE ALTO RIESGO NO MITIGABLE ID:2013-Q09-00152, LOCALIDAD:19 CIUDAD BOLÍVAR, UPZ:67 LUCERO, SECTOR:QUEBRADA TROMPETA</v>
          </cell>
          <cell r="R1700">
            <v>2685291</v>
          </cell>
          <cell r="S1700">
            <v>0</v>
          </cell>
          <cell r="T1700">
            <v>0</v>
          </cell>
          <cell r="U1700">
            <v>2685291</v>
          </cell>
          <cell r="V1700">
            <v>1150839</v>
          </cell>
        </row>
        <row r="1701">
          <cell r="J1701">
            <v>1070</v>
          </cell>
          <cell r="K1701">
            <v>43143</v>
          </cell>
          <cell r="L1701" t="str">
            <v>GLORIA INES SANCHEZ RODRIGUEZ</v>
          </cell>
          <cell r="M1701">
            <v>31</v>
          </cell>
          <cell r="N1701" t="str">
            <v>RESOLUCION</v>
          </cell>
          <cell r="O1701">
            <v>631</v>
          </cell>
          <cell r="P1701">
            <v>43143</v>
          </cell>
          <cell r="Q1701" t="str">
            <v>AYUDA TEMPORAL A LAS FAMILIAS DE VARIAS LOCALIDADES, PARA RELOCALIZACIÓN DE HOGARES LOCALIZADOS EN ZONAS DE ALTO RIESGO NO MITIGABLE ID:2010-5-11596, LOCALIDAD:05 USME, UPZ:57 GRAN YOMASA, SECTOR:OLA INVERNAL 2010 FOPAE</v>
          </cell>
          <cell r="R1701">
            <v>3374280</v>
          </cell>
          <cell r="S1701">
            <v>482040</v>
          </cell>
          <cell r="T1701">
            <v>0</v>
          </cell>
          <cell r="U1701">
            <v>2892240</v>
          </cell>
          <cell r="V1701">
            <v>2892240</v>
          </cell>
        </row>
        <row r="1702">
          <cell r="J1702">
            <v>1071</v>
          </cell>
          <cell r="K1702">
            <v>43143</v>
          </cell>
          <cell r="L1702" t="str">
            <v>YOLANDA  VELASQUEZ SIERRA</v>
          </cell>
          <cell r="M1702">
            <v>31</v>
          </cell>
          <cell r="N1702" t="str">
            <v>RESOLUCION</v>
          </cell>
          <cell r="O1702">
            <v>661</v>
          </cell>
          <cell r="P1702">
            <v>43143</v>
          </cell>
          <cell r="Q1702" t="str">
            <v>AYUDA TEMPORAL A LAS FAMILIAS DE VARIAS LOCALIDADES, PARA RELOCALIZACIÓN DE HOGARES LOCALIZADOS EN ZONAS DE ALTO RIESGO NO MITIGABLE ID:2013-Q21-00478, LOCALIDAD:19 CIUDAD BOLÍVAR, UPZ:67 LUCERO, SECTOR:BRAZO DERECHO DE LIMAS</v>
          </cell>
          <cell r="R1702">
            <v>2582006</v>
          </cell>
          <cell r="S1702">
            <v>368858</v>
          </cell>
          <cell r="T1702">
            <v>0</v>
          </cell>
          <cell r="U1702">
            <v>2213148</v>
          </cell>
          <cell r="V1702">
            <v>2213148</v>
          </cell>
        </row>
        <row r="1703">
          <cell r="J1703">
            <v>1072</v>
          </cell>
          <cell r="K1703">
            <v>43143</v>
          </cell>
          <cell r="L1703" t="str">
            <v>JAIME ALBERTO MOLINA</v>
          </cell>
          <cell r="M1703">
            <v>31</v>
          </cell>
          <cell r="N1703" t="str">
            <v>RESOLUCION</v>
          </cell>
          <cell r="O1703">
            <v>696</v>
          </cell>
          <cell r="P1703">
            <v>43143</v>
          </cell>
          <cell r="Q1703" t="str">
            <v>AYUDA TEMPORAL A LAS FAMILIAS DE VARIAS LOCALIDADES, PARA RELOCALIZACIÓN DE HOGARES LOCALIZADOS EN ZONAS DE ALTO RIESGO NO MITIGABLE ID:2002-4-2657, LOCALIDAD:04 SAN CRISTÓBAL, UPZ:32 SAN BLAS,</v>
          </cell>
          <cell r="R1703">
            <v>5430984</v>
          </cell>
          <cell r="S1703">
            <v>0</v>
          </cell>
          <cell r="T1703">
            <v>0</v>
          </cell>
          <cell r="U1703">
            <v>5430984</v>
          </cell>
          <cell r="V1703">
            <v>3342144</v>
          </cell>
        </row>
        <row r="1704">
          <cell r="J1704">
            <v>1073</v>
          </cell>
          <cell r="K1704">
            <v>43143</v>
          </cell>
          <cell r="L1704" t="str">
            <v>JOSE MIGUEL VILLALOBOS HIGUERA</v>
          </cell>
          <cell r="M1704">
            <v>31</v>
          </cell>
          <cell r="N1704" t="str">
            <v>RESOLUCION</v>
          </cell>
          <cell r="O1704">
            <v>632</v>
          </cell>
          <cell r="P1704">
            <v>43143</v>
          </cell>
          <cell r="Q1704" t="str">
            <v>AYUDA TEMPORAL A LAS FAMILIAS DE VARIAS LOCALIDADES, PARA RELOCALIZACIÓN DE HOGARES LOCALIZADOS EN ZONAS DE ALTO RIESGO NO MITIGABLE ID:2016-08-14794, LOCALIDAD:08 KENNEDY, UPZ:82 PATIO BONITO, SECTOR:PALMITAS</v>
          </cell>
          <cell r="R1704">
            <v>6901440</v>
          </cell>
          <cell r="S1704">
            <v>0</v>
          </cell>
          <cell r="T1704">
            <v>0</v>
          </cell>
          <cell r="U1704">
            <v>6901440</v>
          </cell>
          <cell r="V1704">
            <v>4247040</v>
          </cell>
        </row>
        <row r="1705">
          <cell r="J1705">
            <v>1074</v>
          </cell>
          <cell r="K1705">
            <v>43143</v>
          </cell>
          <cell r="L1705" t="str">
            <v>LUIS AUDICEL MELO MARTIN</v>
          </cell>
          <cell r="M1705">
            <v>31</v>
          </cell>
          <cell r="N1705" t="str">
            <v>RESOLUCION</v>
          </cell>
          <cell r="O1705">
            <v>662</v>
          </cell>
          <cell r="P1705">
            <v>43143</v>
          </cell>
          <cell r="Q1705" t="str">
            <v>AYUDA TEMPORAL A LAS FAMILIAS DE VARIAS LOCALIDADES, PARA RELOCALIZACIÓN DE HOGARES LOCALIZADOS EN ZONAS DE ALTO RIESGO NO MITIGABLE ID:2017-19-14969, LOCALIDAD:19 CIUDAD BOLÍVAR, UPZ:67 LUCERO, SECTOR:LAS MANITAS II</v>
          </cell>
          <cell r="R1705">
            <v>4131218</v>
          </cell>
          <cell r="S1705">
            <v>590174</v>
          </cell>
          <cell r="T1705">
            <v>0</v>
          </cell>
          <cell r="U1705">
            <v>3541044</v>
          </cell>
          <cell r="V1705">
            <v>3541044</v>
          </cell>
        </row>
        <row r="1706">
          <cell r="J1706">
            <v>1075</v>
          </cell>
          <cell r="K1706">
            <v>43143</v>
          </cell>
          <cell r="L1706" t="str">
            <v>CARLOS ALBERTO MARTINEZ MORENO</v>
          </cell>
          <cell r="M1706">
            <v>31</v>
          </cell>
          <cell r="N1706" t="str">
            <v>RESOLUCION</v>
          </cell>
          <cell r="O1706">
            <v>697</v>
          </cell>
          <cell r="P1706">
            <v>43143</v>
          </cell>
          <cell r="Q1706" t="str">
            <v>AYUDA TEMPORAL A LAS FAMILIAS DE VARIAS LOCALIDADES, PARA RELOCALIZACIÓN DE HOGARES LOCALIZADOS EN ZONAS DE ALTO RIESGO NO MITIGABLE ID:2014-Q06-01006, LOCALIDAD:19 CIUDAD BOLÍVAR, UPZ:67 LUCERO, SECTOR:QUEBRADA EL INFIERNO</v>
          </cell>
          <cell r="R1706">
            <v>5612893</v>
          </cell>
          <cell r="S1706">
            <v>0</v>
          </cell>
          <cell r="T1706">
            <v>0</v>
          </cell>
          <cell r="U1706">
            <v>5612893</v>
          </cell>
          <cell r="V1706">
            <v>2158805</v>
          </cell>
        </row>
        <row r="1707">
          <cell r="J1707">
            <v>1076</v>
          </cell>
          <cell r="K1707">
            <v>43143</v>
          </cell>
          <cell r="L1707" t="str">
            <v>EDITH  MALAGON RINCON</v>
          </cell>
          <cell r="M1707">
            <v>31</v>
          </cell>
          <cell r="N1707" t="str">
            <v>RESOLUCION</v>
          </cell>
          <cell r="O1707">
            <v>663</v>
          </cell>
          <cell r="P1707">
            <v>43143</v>
          </cell>
          <cell r="Q1707" t="str">
            <v>AYUDA TEMPORAL A LAS FAMILIAS DE VARIAS LOCALIDADES, PARA RELOCALIZACIÓN DE HOGARES LOCALIZADOS EN ZONAS DE ALTO RIESGO NO MITIGABLE ID:2016-08-14829, LOCALIDAD:08 KENNEDY, UPZ:82 PATIO BONITO, SECTOR:PALMITAS</v>
          </cell>
          <cell r="R1707">
            <v>3098410</v>
          </cell>
          <cell r="S1707">
            <v>442630</v>
          </cell>
          <cell r="T1707">
            <v>0</v>
          </cell>
          <cell r="U1707">
            <v>2655780</v>
          </cell>
          <cell r="V1707">
            <v>2655780</v>
          </cell>
        </row>
        <row r="1708">
          <cell r="J1708">
            <v>1077</v>
          </cell>
          <cell r="K1708">
            <v>43143</v>
          </cell>
          <cell r="L1708" t="str">
            <v>UBERTO GABRIEL SERPA JIMENEZ</v>
          </cell>
          <cell r="M1708">
            <v>31</v>
          </cell>
          <cell r="N1708" t="str">
            <v>RESOLUCION</v>
          </cell>
          <cell r="O1708">
            <v>633</v>
          </cell>
          <cell r="P1708">
            <v>43143</v>
          </cell>
          <cell r="Q1708" t="str">
            <v>AYUDA TEMPORAL A LAS FAMILIAS DE VARIAS LOCALIDADES, PARA RELOCALIZACIÓN DE HOGARES LOCALIZADOS EN ZONAS DE ALTO RIESGO NO MITIGABLE ID:2016-08-14872, LOCALIDAD:08 KENNEDY, UPZ:82 PATIO BONITO, SECTOR:PALMITAS</v>
          </cell>
          <cell r="R1708">
            <v>5311566</v>
          </cell>
          <cell r="S1708">
            <v>0</v>
          </cell>
          <cell r="T1708">
            <v>0</v>
          </cell>
          <cell r="U1708">
            <v>5311566</v>
          </cell>
          <cell r="V1708">
            <v>4721392</v>
          </cell>
        </row>
        <row r="1709">
          <cell r="J1709">
            <v>1078</v>
          </cell>
          <cell r="K1709">
            <v>43143</v>
          </cell>
          <cell r="L1709" t="str">
            <v>ABELARDO  CHOCO CHIRIVIRO</v>
          </cell>
          <cell r="M1709">
            <v>31</v>
          </cell>
          <cell r="N1709" t="str">
            <v>RESOLUCION</v>
          </cell>
          <cell r="O1709">
            <v>709</v>
          </cell>
          <cell r="P1709">
            <v>43143</v>
          </cell>
          <cell r="Q1709" t="str">
            <v>AYUDA TEMPORAL A LAS FAMILIAS DE VARIAS LOCALIDADES, PARA RELOCALIZACIÓN DE HOGARES LOCALIZADOS EN ZONAS DE ALTO RIESGO NO MITIGABLE ID:2014-W166-046, LOCALIDAD:19 CIUDAD BOLÍVAR, UPZ:68 EL TESORO, SECTOR:WOUNAAN</v>
          </cell>
          <cell r="R1709">
            <v>7202000</v>
          </cell>
          <cell r="S1709">
            <v>0</v>
          </cell>
          <cell r="T1709">
            <v>0</v>
          </cell>
          <cell r="U1709">
            <v>7202000</v>
          </cell>
          <cell r="V1709">
            <v>4432000</v>
          </cell>
        </row>
        <row r="1710">
          <cell r="J1710">
            <v>1079</v>
          </cell>
          <cell r="K1710">
            <v>43143</v>
          </cell>
          <cell r="L1710" t="str">
            <v>ADONAY  ESCALANTE DOMINGUEZ</v>
          </cell>
          <cell r="M1710">
            <v>31</v>
          </cell>
          <cell r="N1710" t="str">
            <v>RESOLUCION</v>
          </cell>
          <cell r="O1710">
            <v>664</v>
          </cell>
          <cell r="P1710">
            <v>43143</v>
          </cell>
          <cell r="Q1710" t="str">
            <v>AYUDA TEMPORAL A LAS FAMILIAS DE VARIAS LOCALIDADES, PARA RELOCALIZACIÓN DE HOGARES LOCALIZADOS EN ZONAS DE ALTO RIESGO NO MITIGABLE ID:2011-19-12824, LOCALIDAD:19 CIUDAD BOLÍVAR, UPZ:68 EL TESORO, SECTOR:QUEBRADA TROMPETA</v>
          </cell>
          <cell r="R1710">
            <v>5291728</v>
          </cell>
          <cell r="S1710">
            <v>0</v>
          </cell>
          <cell r="T1710">
            <v>0</v>
          </cell>
          <cell r="U1710">
            <v>5291728</v>
          </cell>
          <cell r="V1710">
            <v>3256448</v>
          </cell>
        </row>
        <row r="1711">
          <cell r="J1711">
            <v>1080</v>
          </cell>
          <cell r="K1711">
            <v>43143</v>
          </cell>
          <cell r="L1711" t="str">
            <v>AMANDA  GONZALEZ</v>
          </cell>
          <cell r="M1711">
            <v>31</v>
          </cell>
          <cell r="N1711" t="str">
            <v>RESOLUCION</v>
          </cell>
          <cell r="O1711">
            <v>710</v>
          </cell>
          <cell r="P1711">
            <v>43143</v>
          </cell>
          <cell r="Q1711" t="str">
            <v>AYUDA TEMPORAL A LAS FAMILIAS DE VARIAS LOCALIDADES, PARA RELOCALIZACIÓN DE HOGARES LOCALIZADOS EN ZONAS DE ALTO RIESGO NO MITIGABLE ID:2014-Q09-01206, LOCALIDAD:19 CIUDAD BOLÍVAR, UPZ:67 LUCERO, SECTOR:QUEBRADA TROMPETA</v>
          </cell>
          <cell r="R1711">
            <v>3157315</v>
          </cell>
          <cell r="S1711">
            <v>451045</v>
          </cell>
          <cell r="T1711">
            <v>0</v>
          </cell>
          <cell r="U1711">
            <v>2706270</v>
          </cell>
          <cell r="V1711">
            <v>2706270</v>
          </cell>
        </row>
        <row r="1712">
          <cell r="J1712">
            <v>1081</v>
          </cell>
          <cell r="K1712">
            <v>43143</v>
          </cell>
          <cell r="L1712" t="str">
            <v>MATILDE  HERREÑO SUAREZ</v>
          </cell>
          <cell r="M1712">
            <v>31</v>
          </cell>
          <cell r="N1712" t="str">
            <v>RESOLUCION</v>
          </cell>
          <cell r="O1712">
            <v>634</v>
          </cell>
          <cell r="P1712">
            <v>43143</v>
          </cell>
          <cell r="Q1712" t="str">
            <v>AYUDA TEMPORAL A LAS FAMILIAS DE VARIAS LOCALIDADES, PARA RELOCALIZACIÓN DE HOGARES LOCALIZADOS EN ZONAS DE ALTO RIESGO NO MITIGABLE ID:2010-19-12001, LOCALIDAD:19 CIUDAD BOLÍVAR, UPZ:68 EL TESORO, SECTOR:OLA INVERNAL 2010 FOPAE</v>
          </cell>
          <cell r="R1712">
            <v>2582006</v>
          </cell>
          <cell r="S1712">
            <v>0</v>
          </cell>
          <cell r="T1712">
            <v>0</v>
          </cell>
          <cell r="U1712">
            <v>2582006</v>
          </cell>
          <cell r="V1712">
            <v>1475432</v>
          </cell>
        </row>
        <row r="1713">
          <cell r="J1713">
            <v>1082</v>
          </cell>
          <cell r="K1713">
            <v>43143</v>
          </cell>
          <cell r="L1713" t="str">
            <v>YOLANDA  DAZA RAMIREZ</v>
          </cell>
          <cell r="M1713">
            <v>31</v>
          </cell>
          <cell r="N1713" t="str">
            <v>RESOLUCION</v>
          </cell>
          <cell r="O1713">
            <v>698</v>
          </cell>
          <cell r="P1713">
            <v>43143</v>
          </cell>
          <cell r="Q1713" t="str">
            <v>AYUDA TEMPORAL A LAS FAMILIAS DE VARIAS LOCALIDADES, PARA RELOCALIZACIÓN DE HOGARES LOCALIZADOS EN ZONAS DE ALTO RIESGO NO MITIGABLE ID:2016-08-14849, LOCALIDAD:08 KENNEDY, UPZ:82 PATIO BONITO, SECTOR:PALMITAS</v>
          </cell>
          <cell r="R1713">
            <v>7192744</v>
          </cell>
          <cell r="S1713">
            <v>0</v>
          </cell>
          <cell r="T1713">
            <v>0</v>
          </cell>
          <cell r="U1713">
            <v>7192744</v>
          </cell>
          <cell r="V1713">
            <v>2766440</v>
          </cell>
        </row>
        <row r="1714">
          <cell r="J1714">
            <v>1083</v>
          </cell>
          <cell r="K1714">
            <v>43143</v>
          </cell>
          <cell r="L1714" t="str">
            <v>PEDRO MIGUEL GONZALEZ</v>
          </cell>
          <cell r="M1714">
            <v>31</v>
          </cell>
          <cell r="N1714" t="str">
            <v>RESOLUCION</v>
          </cell>
          <cell r="O1714">
            <v>711</v>
          </cell>
          <cell r="P1714">
            <v>43143</v>
          </cell>
          <cell r="Q1714" t="str">
            <v>AYUDA TEMPORAL A LAS FAMILIAS DE VARIAS LOCALIDADES, PARA RELOCALIZACIÓN DE HOGARES LOCALIZADOS EN ZONAS DE ALTO RIESGO NO MITIGABLE ID:2013-Q04-00107, LOCALIDAD:04 SAN CRISTÓBAL, UPZ:51 LOS LIBERTADORES, SECTOR:QUEBRADA VEREJONES</v>
          </cell>
          <cell r="R1714">
            <v>5285280</v>
          </cell>
          <cell r="S1714">
            <v>0</v>
          </cell>
          <cell r="T1714">
            <v>0</v>
          </cell>
          <cell r="U1714">
            <v>5285280</v>
          </cell>
          <cell r="V1714">
            <v>3252480</v>
          </cell>
        </row>
        <row r="1715">
          <cell r="J1715">
            <v>1084</v>
          </cell>
          <cell r="K1715">
            <v>43143</v>
          </cell>
          <cell r="L1715" t="str">
            <v>LUZ GIOVANNA HERNANDEZ GUTIERREZ</v>
          </cell>
          <cell r="M1715">
            <v>31</v>
          </cell>
          <cell r="N1715" t="str">
            <v>RESOLUCION</v>
          </cell>
          <cell r="O1715">
            <v>665</v>
          </cell>
          <cell r="P1715">
            <v>43143</v>
          </cell>
          <cell r="Q1715" t="str">
            <v>AYUDA TEMPORAL A LAS FAMILIAS DE VARIAS LOCALIDADES, PARA RELOCALIZACIÓN DE HOGARES LOCALIZADOS EN ZONAS DE ALTO RIESGO NO MITIGABLE ID:2014-OTR-00951, LOCALIDAD:19 CIUDAD BOLÍVAR, UPZ:67 LUCERO, SECTOR:TABOR ALTALOMA</v>
          </cell>
          <cell r="R1715">
            <v>3112599</v>
          </cell>
          <cell r="S1715">
            <v>444657</v>
          </cell>
          <cell r="T1715">
            <v>0</v>
          </cell>
          <cell r="U1715">
            <v>2667942</v>
          </cell>
          <cell r="V1715">
            <v>2667942</v>
          </cell>
        </row>
        <row r="1716">
          <cell r="J1716">
            <v>1085</v>
          </cell>
          <cell r="K1716">
            <v>43143</v>
          </cell>
          <cell r="L1716" t="str">
            <v>EDGAR GERMAN LEON HERNANDEZ</v>
          </cell>
          <cell r="M1716">
            <v>31</v>
          </cell>
          <cell r="N1716" t="str">
            <v>RESOLUCION</v>
          </cell>
          <cell r="O1716">
            <v>635</v>
          </cell>
          <cell r="P1716">
            <v>43143</v>
          </cell>
          <cell r="Q1716" t="str">
            <v>AYUDA TEMPORAL A LAS FAMILIAS DE VARIAS LOCALIDADES, PARA RELOCALIZACIÓN DE HOGARES LOCALIZADOS EN ZONAS DE ALTO RIESGO NO MITIGABLE ID:2011-19-13539, LOCALIDAD:19 CIUDAD BOLÍVAR, UPZ:68 EL TESORO, SECTOR:</v>
          </cell>
          <cell r="R1716">
            <v>2582006</v>
          </cell>
          <cell r="S1716">
            <v>368858</v>
          </cell>
          <cell r="T1716">
            <v>0</v>
          </cell>
          <cell r="U1716">
            <v>2213148</v>
          </cell>
          <cell r="V1716">
            <v>2213148</v>
          </cell>
        </row>
        <row r="1717">
          <cell r="J1717">
            <v>1086</v>
          </cell>
          <cell r="K1717">
            <v>43143</v>
          </cell>
          <cell r="L1717" t="str">
            <v>JOSE HERESMILDO CRUZ AVILA</v>
          </cell>
          <cell r="M1717">
            <v>31</v>
          </cell>
          <cell r="N1717" t="str">
            <v>RESOLUCION</v>
          </cell>
          <cell r="O1717">
            <v>712</v>
          </cell>
          <cell r="P1717">
            <v>43143</v>
          </cell>
          <cell r="Q1717" t="str">
            <v>AYUDA TEMPORAL A LAS FAMILIAS DE VARIAS LOCALIDADES, PARA RELOCALIZACIÓN DE HOGARES LOCALIZADOS EN ZONAS DE ALTO RIESGO NO MITIGABLE ID:2013000378, LOCALIDAD:19 CIUDAD BOLÍVAR, UPZ:67 LUCERO, SECTOR:PEÑA COLORADA</v>
          </cell>
          <cell r="R1717">
            <v>7170319</v>
          </cell>
          <cell r="S1717">
            <v>0</v>
          </cell>
          <cell r="T1717">
            <v>0</v>
          </cell>
          <cell r="U1717">
            <v>7170319</v>
          </cell>
          <cell r="V1717">
            <v>4412504</v>
          </cell>
        </row>
        <row r="1718">
          <cell r="J1718">
            <v>1087</v>
          </cell>
          <cell r="K1718">
            <v>43143</v>
          </cell>
          <cell r="L1718" t="str">
            <v>LUZ ADRIANA LAGUNA CUELLAR</v>
          </cell>
          <cell r="M1718">
            <v>31</v>
          </cell>
          <cell r="N1718" t="str">
            <v>RESOLUCION</v>
          </cell>
          <cell r="O1718">
            <v>666</v>
          </cell>
          <cell r="P1718">
            <v>43143</v>
          </cell>
          <cell r="Q1718" t="str">
            <v>AYUDA TEMPORAL A LAS FAMILIAS DE VARIAS LOCALIDADES, PARA RELOCALIZACIÓN DE HOGARES LOCALIZADOS EN ZONAS DE ALTO RIESGO NO MITIGABLE ID:2016-Q09-14768, LOCALIDAD:19 CIUDAD BOLÍVAR, UPZ:67 LUCERO, SECTOR:QUEBRADA TROMPETA</v>
          </cell>
          <cell r="R1718">
            <v>5754190</v>
          </cell>
          <cell r="S1718">
            <v>0</v>
          </cell>
          <cell r="T1718">
            <v>0</v>
          </cell>
          <cell r="U1718">
            <v>5754190</v>
          </cell>
          <cell r="V1718">
            <v>3541040</v>
          </cell>
        </row>
        <row r="1719">
          <cell r="J1719">
            <v>1088</v>
          </cell>
          <cell r="K1719">
            <v>43143</v>
          </cell>
          <cell r="L1719" t="str">
            <v>AYDA LUZ PIAMBA MAJIN</v>
          </cell>
          <cell r="M1719">
            <v>31</v>
          </cell>
          <cell r="N1719" t="str">
            <v>RESOLUCION</v>
          </cell>
          <cell r="O1719">
            <v>636</v>
          </cell>
          <cell r="P1719">
            <v>43143</v>
          </cell>
          <cell r="Q1719" t="str">
            <v>AYUDA TEMPORAL A LAS FAMILIAS DE VARIAS LOCALIDADES, PARA RELOCALIZACIÓN DE HOGARES LOCALIZADOS EN ZONAS DE ALTO RIESGO NO MITIGABLE ID:2011-4-13076, LOCALIDAD:04 SAN CRISTÓBAL, UPZ:51 LOS LIBERTADORES, SECTOR:QUEBRADA VEREJONES</v>
          </cell>
          <cell r="R1719">
            <v>2924376</v>
          </cell>
          <cell r="S1719">
            <v>417768</v>
          </cell>
          <cell r="T1719">
            <v>0</v>
          </cell>
          <cell r="U1719">
            <v>2506608</v>
          </cell>
          <cell r="V1719">
            <v>2506608</v>
          </cell>
        </row>
        <row r="1720">
          <cell r="J1720">
            <v>1089</v>
          </cell>
          <cell r="K1720">
            <v>43143</v>
          </cell>
          <cell r="L1720" t="str">
            <v>ARAMINTA  PIÑEROS MARTIN</v>
          </cell>
          <cell r="M1720">
            <v>31</v>
          </cell>
          <cell r="N1720" t="str">
            <v>RESOLUCION</v>
          </cell>
          <cell r="O1720">
            <v>713</v>
          </cell>
          <cell r="P1720">
            <v>43143</v>
          </cell>
          <cell r="Q1720" t="str">
            <v>AYUDA TEMPORAL A LAS FAMILIAS DE VARIAS LOCALIDADES, PARA RELOCALIZACIÓN DE HOGARES LOCALIZADOS EN ZONAS DE ALTO RIESGO NO MITIGABLE ID:2011-5-13039, LOCALIDAD:05 USME, UPZ:56 DANUBIO, SECTOR:</v>
          </cell>
          <cell r="R1720">
            <v>3201695</v>
          </cell>
          <cell r="S1720">
            <v>457385</v>
          </cell>
          <cell r="T1720">
            <v>0</v>
          </cell>
          <cell r="U1720">
            <v>2744310</v>
          </cell>
          <cell r="V1720">
            <v>2744310</v>
          </cell>
        </row>
        <row r="1721">
          <cell r="J1721">
            <v>1090</v>
          </cell>
          <cell r="K1721">
            <v>43143</v>
          </cell>
          <cell r="L1721" t="str">
            <v>FRANCISCO ALBERTO BANDERA MARTINEZ</v>
          </cell>
          <cell r="M1721">
            <v>31</v>
          </cell>
          <cell r="N1721" t="str">
            <v>RESOLUCION</v>
          </cell>
          <cell r="O1721">
            <v>637</v>
          </cell>
          <cell r="P1721">
            <v>43143</v>
          </cell>
          <cell r="Q1721" t="str">
            <v>AYUDA TEMPORAL A LAS FAMILIAS DE VARIAS LOCALIDADES, PARA RELOCALIZACIÓN DE HOGARES LOCALIZADOS EN ZONAS DE ALTO RIESGO NO MITIGABLE ID:2011-4-13552, LOCALIDAD:04 SAN CRISTÓBAL, UPZ:51 LOS LIBERTADORES, SECTOR:QUEBRADA VEREJONES</v>
          </cell>
          <cell r="R1721">
            <v>2582006</v>
          </cell>
          <cell r="S1721">
            <v>368858</v>
          </cell>
          <cell r="T1721">
            <v>0</v>
          </cell>
          <cell r="U1721">
            <v>2213148</v>
          </cell>
          <cell r="V1721">
            <v>2213148</v>
          </cell>
        </row>
        <row r="1722">
          <cell r="J1722">
            <v>1091</v>
          </cell>
          <cell r="K1722">
            <v>43143</v>
          </cell>
          <cell r="L1722" t="str">
            <v>MARLENY  GUTIERREZ SANCHEZ</v>
          </cell>
          <cell r="M1722">
            <v>31</v>
          </cell>
          <cell r="N1722" t="str">
            <v>RESOLUCION</v>
          </cell>
          <cell r="O1722">
            <v>667</v>
          </cell>
          <cell r="P1722">
            <v>43143</v>
          </cell>
          <cell r="Q1722" t="str">
            <v>AYUDA TEMPORAL A LAS FAMILIAS DE VARIAS LOCALIDADES, PARA RELOCALIZACIÓN DE HOGARES LOCALIZADOS EN ZONAS DE ALTO RIESGO NO MITIGABLE ID:2014-OTR-00953, LOCALIDAD:19 CIUDAD BOLÍVAR, UPZ:67 LUCERO, SECTOR:TABOR ALTALOMA</v>
          </cell>
          <cell r="R1722">
            <v>6721000</v>
          </cell>
          <cell r="S1722">
            <v>0</v>
          </cell>
          <cell r="T1722">
            <v>0</v>
          </cell>
          <cell r="U1722">
            <v>6721000</v>
          </cell>
          <cell r="V1722">
            <v>4136000</v>
          </cell>
        </row>
        <row r="1723">
          <cell r="J1723">
            <v>1092</v>
          </cell>
          <cell r="K1723">
            <v>43143</v>
          </cell>
          <cell r="L1723" t="str">
            <v>MIGUEL ANGEL BELTRAN CASTRO</v>
          </cell>
          <cell r="M1723">
            <v>86</v>
          </cell>
          <cell r="N1723" t="str">
            <v>ESCRITURA PUBLICA</v>
          </cell>
          <cell r="O1723">
            <v>714</v>
          </cell>
          <cell r="P1723">
            <v>43143</v>
          </cell>
          <cell r="Q1723" t="str">
            <v>AYUDA TEMPORAL A LAS FAMILIAS DE VARIAS LOCALIDADES, PARA RELOCALIZACIÓN DE HOGARES LOCALIZADOS EN ZONAS DE ALTO RIESGO NO MITIGABLE ID:2014-OTR-01026, LOCALIDAD:19 CIUDAD BOLÍVAR, UPZ:67 LUCERO, SECTOR:TABOR ALTALOMA</v>
          </cell>
          <cell r="R1723">
            <v>3157315</v>
          </cell>
          <cell r="S1723">
            <v>3157315</v>
          </cell>
          <cell r="T1723">
            <v>0</v>
          </cell>
          <cell r="U1723">
            <v>0</v>
          </cell>
          <cell r="V1723">
            <v>0</v>
          </cell>
        </row>
        <row r="1724">
          <cell r="J1724">
            <v>1093</v>
          </cell>
          <cell r="K1724">
            <v>43143</v>
          </cell>
          <cell r="L1724" t="str">
            <v>RUTH  PEREIRA CAMACHO</v>
          </cell>
          <cell r="M1724">
            <v>31</v>
          </cell>
          <cell r="N1724" t="str">
            <v>RESOLUCION</v>
          </cell>
          <cell r="O1724">
            <v>638</v>
          </cell>
          <cell r="P1724">
            <v>43143</v>
          </cell>
          <cell r="Q1724" t="str">
            <v>AYUDA TEMPORAL A LAS FAMILIAS DE VARIAS LOCALIDADES, PARA RELOCALIZACIÓN DE HOGARES LOCALIZADOS EN ZONAS DE ALTO RIESGO NO MITIGABLE ID:2015-Q10-01506, LOCALIDAD:04 SAN CRISTÓBAL, UPZ:51 LOS LIBERTADORES, SECTOR:QUEBRADA VEREJONES</v>
          </cell>
          <cell r="R1724">
            <v>5361707</v>
          </cell>
          <cell r="S1724">
            <v>0</v>
          </cell>
          <cell r="T1724">
            <v>0</v>
          </cell>
          <cell r="U1724">
            <v>5361707</v>
          </cell>
          <cell r="V1724">
            <v>3299512</v>
          </cell>
        </row>
        <row r="1725">
          <cell r="J1725">
            <v>1094</v>
          </cell>
          <cell r="K1725">
            <v>43143</v>
          </cell>
          <cell r="L1725" t="str">
            <v>BLANCA NUBIA RODRIGUEZ CABRERA</v>
          </cell>
          <cell r="M1725">
            <v>31</v>
          </cell>
          <cell r="N1725" t="str">
            <v>RESOLUCION</v>
          </cell>
          <cell r="O1725">
            <v>668</v>
          </cell>
          <cell r="P1725">
            <v>43143</v>
          </cell>
          <cell r="Q1725" t="str">
            <v>AYUDA TEMPORAL A LAS FAMILIAS DE VARIAS LOCALIDADES, PARA RELOCALIZACIÓN DE HOGARES LOCALIZADOS EN ZONAS DE ALTO RIESGO NO MITIGABLE ID:2006-4-8967, LOCALIDAD:04 SAN CRISTÓBAL, UPZ:32 SAN BLAS</v>
          </cell>
          <cell r="R1725">
            <v>5612893</v>
          </cell>
          <cell r="S1725">
            <v>0</v>
          </cell>
          <cell r="T1725">
            <v>0</v>
          </cell>
          <cell r="U1725">
            <v>5612893</v>
          </cell>
          <cell r="V1725">
            <v>3454088</v>
          </cell>
        </row>
        <row r="1726">
          <cell r="J1726">
            <v>1095</v>
          </cell>
          <cell r="K1726">
            <v>43143</v>
          </cell>
          <cell r="L1726" t="str">
            <v>MARIA LUCRECIA LOPEZ TORRES</v>
          </cell>
          <cell r="M1726">
            <v>31</v>
          </cell>
          <cell r="N1726" t="str">
            <v>RESOLUCION</v>
          </cell>
          <cell r="O1726">
            <v>639</v>
          </cell>
          <cell r="P1726">
            <v>43143</v>
          </cell>
          <cell r="Q1726" t="str">
            <v>AYUDA TEMPORAL A LAS FAMILIAS DE VARIAS LOCALIDADES, PARA RELOCALIZACIÓN DE HOGARES LOCALIZADOS EN ZONAS DE ALTO RIESGO NO MITIGABLE ID:2014-Q09-00913, LOCALIDAD:19 CIUDAD BOLÍVAR, UPZ:67 LUCERO, SECTOR:QUEBRADA TROMPETA</v>
          </cell>
          <cell r="R1726">
            <v>3463222</v>
          </cell>
          <cell r="S1726">
            <v>494746</v>
          </cell>
          <cell r="T1726">
            <v>0</v>
          </cell>
          <cell r="U1726">
            <v>2968476</v>
          </cell>
          <cell r="V1726">
            <v>2968476</v>
          </cell>
        </row>
        <row r="1727">
          <cell r="J1727">
            <v>1096</v>
          </cell>
          <cell r="K1727">
            <v>43143</v>
          </cell>
          <cell r="L1727" t="str">
            <v>ADRIANA  ALARCON GIRON</v>
          </cell>
          <cell r="M1727">
            <v>31</v>
          </cell>
          <cell r="N1727" t="str">
            <v>RESOLUCION</v>
          </cell>
          <cell r="O1727">
            <v>699</v>
          </cell>
          <cell r="P1727">
            <v>43143</v>
          </cell>
          <cell r="Q1727" t="str">
            <v>AYUDA TEMPORAL A LAS FAMILIAS DE VARIAS LOCALIDADES, PARA RELOCALIZACIÓN DE HOGARES LOCALIZADOS EN ZONAS DE ALTO RIESGO NO MITIGABLE ID:2012-19-13841, LOCALIDAD:19 CIUDAD BOLÍVAR, UPZ:67 LUCERO,</v>
          </cell>
          <cell r="R1727">
            <v>2887073</v>
          </cell>
          <cell r="S1727">
            <v>0</v>
          </cell>
          <cell r="T1727">
            <v>0</v>
          </cell>
          <cell r="U1727">
            <v>2887073</v>
          </cell>
          <cell r="V1727">
            <v>2062195</v>
          </cell>
        </row>
        <row r="1728">
          <cell r="J1728">
            <v>1097</v>
          </cell>
          <cell r="K1728">
            <v>43143</v>
          </cell>
          <cell r="L1728" t="str">
            <v>OMAR  PRIETO DIAZ</v>
          </cell>
          <cell r="M1728">
            <v>31</v>
          </cell>
          <cell r="N1728" t="str">
            <v>RESOLUCION</v>
          </cell>
          <cell r="O1728">
            <v>669</v>
          </cell>
          <cell r="P1728">
            <v>43143</v>
          </cell>
          <cell r="Q1728" t="str">
            <v>AYUDA TEMPORAL A LAS FAMILIAS DE VARIAS LOCALIDADES, PARA RELOCALIZACIÓN DE HOGARES LOCALIZADOS EN ZONAS DE ALTO RIESGO NO MITIGABLE ID:2013000209, LOCALIDAD:19 CIUDAD BOLÍVAR, UPZ:67 LUCERO, SECTOR:QUEBRADA EL INFIERNO</v>
          </cell>
          <cell r="R1728">
            <v>6713226</v>
          </cell>
          <cell r="S1728">
            <v>0</v>
          </cell>
          <cell r="T1728">
            <v>0</v>
          </cell>
          <cell r="U1728">
            <v>6713226</v>
          </cell>
          <cell r="V1728">
            <v>4131216</v>
          </cell>
        </row>
        <row r="1729">
          <cell r="J1729">
            <v>1098</v>
          </cell>
          <cell r="K1729">
            <v>43143</v>
          </cell>
          <cell r="L1729" t="str">
            <v>MIGUEL ANGEL BELTRAN CASTRO</v>
          </cell>
          <cell r="M1729">
            <v>31</v>
          </cell>
          <cell r="N1729" t="str">
            <v>RESOLUCION</v>
          </cell>
          <cell r="O1729">
            <v>714</v>
          </cell>
          <cell r="P1729">
            <v>43143</v>
          </cell>
          <cell r="Q1729" t="str">
            <v>AYUDA TEMPORAL A LAS FAMILIAS DE VARIAS LOCALIDADES, PARA RELOCALIZACIÓN DE HOGARES LOCALIZADOS EN ZONAS DE ALTO RIESGO NO MITIGABLE ID:2014-OTR-01026, LOCALIDAD:19 CIUDAD BOLÍVAR, UPZ:67 LUCERO, SECTOR:TABOR ALTALOMA</v>
          </cell>
          <cell r="R1729">
            <v>3157315</v>
          </cell>
          <cell r="S1729">
            <v>451045</v>
          </cell>
          <cell r="T1729">
            <v>0</v>
          </cell>
          <cell r="U1729">
            <v>2706270</v>
          </cell>
          <cell r="V1729">
            <v>2706270</v>
          </cell>
        </row>
        <row r="1730">
          <cell r="J1730">
            <v>1099</v>
          </cell>
          <cell r="K1730">
            <v>43143</v>
          </cell>
          <cell r="L1730" t="str">
            <v>LURENCITA  CHAMAPURO PEÑA</v>
          </cell>
          <cell r="M1730">
            <v>31</v>
          </cell>
          <cell r="N1730" t="str">
            <v>RESOLUCION</v>
          </cell>
          <cell r="O1730">
            <v>640</v>
          </cell>
          <cell r="P1730">
            <v>43143</v>
          </cell>
          <cell r="Q1730" t="str">
            <v>AYUDA TEMPORAL A LAS FAMILIAS DE VARIAS LOCALIDADES, PARA RELOCALIZACIÓN DE HOGARES LOCALIZADOS EN ZONAS DE ALTO RIESGO NO MITIGABLE ID:2015-W166-414, LOCALIDAD:19 CIUDAD BOLÍVAR, UPZ:67 LUCERO, SECTOR:WOUNAAN</v>
          </cell>
          <cell r="R1730">
            <v>7706738</v>
          </cell>
          <cell r="S1730">
            <v>0</v>
          </cell>
          <cell r="T1730">
            <v>0</v>
          </cell>
          <cell r="U1730">
            <v>7706738</v>
          </cell>
          <cell r="V1730">
            <v>4742608</v>
          </cell>
        </row>
        <row r="1731">
          <cell r="J1731">
            <v>1100</v>
          </cell>
          <cell r="K1731">
            <v>43143</v>
          </cell>
          <cell r="L1731" t="str">
            <v>MABEL  MONTOYA RAMIREZ</v>
          </cell>
          <cell r="M1731">
            <v>31</v>
          </cell>
          <cell r="N1731" t="str">
            <v>RESOLUCION</v>
          </cell>
          <cell r="O1731">
            <v>670</v>
          </cell>
          <cell r="P1731">
            <v>43143</v>
          </cell>
          <cell r="Q1731" t="str">
            <v>AYUDA TEMPORAL A LAS FAMILIAS DE VARIAS LOCALIDADES, PARA RELOCALIZACIÓN DE HOGARES LOCALIZADOS EN ZONAS DE ALTO RIESGO NO MITIGABLE ID:2007-4-10216, LOCALIDAD:04 SAN CRISTÓBAL, UPZ:32 SAN BLAS</v>
          </cell>
          <cell r="R1731">
            <v>5430984</v>
          </cell>
          <cell r="S1731">
            <v>0</v>
          </cell>
          <cell r="T1731">
            <v>0</v>
          </cell>
          <cell r="U1731">
            <v>5430984</v>
          </cell>
          <cell r="V1731">
            <v>3342144</v>
          </cell>
        </row>
        <row r="1732">
          <cell r="J1732">
            <v>1101</v>
          </cell>
          <cell r="K1732">
            <v>43143</v>
          </cell>
          <cell r="L1732" t="str">
            <v>FRANCY  QUEVEDO DAZA</v>
          </cell>
          <cell r="M1732">
            <v>31</v>
          </cell>
          <cell r="N1732" t="str">
            <v>RESOLUCION</v>
          </cell>
          <cell r="O1732">
            <v>700</v>
          </cell>
          <cell r="P1732">
            <v>43143</v>
          </cell>
          <cell r="Q1732" t="str">
            <v>AYUDA TEMPORAL A LAS FAMILIAS DE VARIAS LOCALIDADES, PARA RELOCALIZACIÓN DE HOGARES LOCALIZADOS EN ZONAS DE ALTO RIESGO NO MITIGABLE ID:2016-08-14852, LOCALIDAD:08 KENNEDY, UPZ:82 PATIO BONITO, SECTOR:PALMITAS</v>
          </cell>
          <cell r="R1732">
            <v>5466487</v>
          </cell>
          <cell r="S1732">
            <v>0</v>
          </cell>
          <cell r="T1732">
            <v>0</v>
          </cell>
          <cell r="U1732">
            <v>5466487</v>
          </cell>
          <cell r="V1732">
            <v>3363992</v>
          </cell>
        </row>
        <row r="1733">
          <cell r="J1733">
            <v>1102</v>
          </cell>
          <cell r="K1733">
            <v>43143</v>
          </cell>
          <cell r="L1733" t="str">
            <v>FLOR MARINA MARTIN PIÑEROS</v>
          </cell>
          <cell r="M1733">
            <v>31</v>
          </cell>
          <cell r="N1733" t="str">
            <v>RESOLUCION</v>
          </cell>
          <cell r="O1733">
            <v>715</v>
          </cell>
          <cell r="P1733">
            <v>43143</v>
          </cell>
          <cell r="Q1733" t="str">
            <v>AYUDA TEMPORAL A LAS FAMILIAS DE VARIAS LOCALIDADES, PARA RELOCALIZACIÓN DE HOGARES LOCALIZADOS EN ZONAS DE ALTO RIESGO NO MITIGABLE ID:2011-5-13083, LOCALIDAD:05 USME, UPZ:56 DANUBIO</v>
          </cell>
          <cell r="R1733">
            <v>3718092</v>
          </cell>
          <cell r="S1733">
            <v>0</v>
          </cell>
          <cell r="T1733">
            <v>0</v>
          </cell>
          <cell r="U1733">
            <v>3718092</v>
          </cell>
          <cell r="V1733">
            <v>1593468</v>
          </cell>
        </row>
        <row r="1734">
          <cell r="J1734">
            <v>1103</v>
          </cell>
          <cell r="K1734">
            <v>43143</v>
          </cell>
          <cell r="L1734" t="str">
            <v>YURY TATIANA VILLALOBOS HIGUERA</v>
          </cell>
          <cell r="M1734">
            <v>31</v>
          </cell>
          <cell r="N1734" t="str">
            <v>RESOLUCION</v>
          </cell>
          <cell r="O1734">
            <v>641</v>
          </cell>
          <cell r="P1734">
            <v>43143</v>
          </cell>
          <cell r="Q1734" t="str">
            <v>AYUDA TEMPORAL A LAS FAMILIAS DE VARIAS LOCALIDADES, PARA RELOCALIZACIÓN DE HOGARES LOCALIZADOS EN ZONAS DE ALTO RIESGO NO MITIGABLE ID:2016-08-14785, LOCALIDAD:08 KENNEDY, UPZ:82 PATIO BONITO, SECTOR:PALMITAS</v>
          </cell>
          <cell r="R1734">
            <v>5946005</v>
          </cell>
          <cell r="S1734">
            <v>0</v>
          </cell>
          <cell r="T1734">
            <v>0</v>
          </cell>
          <cell r="U1734">
            <v>5946005</v>
          </cell>
          <cell r="V1734">
            <v>3659080</v>
          </cell>
        </row>
        <row r="1735">
          <cell r="J1735">
            <v>1104</v>
          </cell>
          <cell r="K1735">
            <v>43143</v>
          </cell>
          <cell r="L1735" t="str">
            <v>GEORGINA  HERNANDEZ</v>
          </cell>
          <cell r="M1735">
            <v>31</v>
          </cell>
          <cell r="N1735" t="str">
            <v>RESOLUCION</v>
          </cell>
          <cell r="O1735">
            <v>716</v>
          </cell>
          <cell r="P1735">
            <v>43143</v>
          </cell>
          <cell r="Q1735" t="str">
            <v>AYUDA TEMPORAL A LAS FAMILIAS DE VARIAS LOCALIDADES, PARA RELOCALIZACIÓN DE HOGARES LOCALIZADOS EN ZONAS DE ALTO RIESGO NO MITIGABLE ID:2013000463, LOCALIDAD:04 SAN CRISTÓBAL, UPZ:51 LOS LIBERTADORES, SECTOR:QUEBRADA VEREJONES</v>
          </cell>
          <cell r="R1735">
            <v>6030557</v>
          </cell>
          <cell r="S1735">
            <v>0</v>
          </cell>
          <cell r="T1735">
            <v>0</v>
          </cell>
          <cell r="U1735">
            <v>6030557</v>
          </cell>
          <cell r="V1735">
            <v>3711112</v>
          </cell>
        </row>
        <row r="1736">
          <cell r="J1736">
            <v>1105</v>
          </cell>
          <cell r="K1736">
            <v>43143</v>
          </cell>
          <cell r="L1736" t="str">
            <v>MARIBEL  GONZALEZ CUBILLOS</v>
          </cell>
          <cell r="M1736">
            <v>31</v>
          </cell>
          <cell r="N1736" t="str">
            <v>RESOLUCION</v>
          </cell>
          <cell r="O1736">
            <v>671</v>
          </cell>
          <cell r="P1736">
            <v>43143</v>
          </cell>
          <cell r="Q1736" t="str">
            <v>AYUDA TEMPORAL A LAS FAMILIAS DE VARIAS LOCALIDADES, PARA RELOCALIZACIÓN DE HOGARES LOCALIZADOS EN ZONAS DE ALTO RIESGO NO MITIGABLE ID:2012-19-13820, LOCALIDAD:19 CIUDAD BOLÍVAR, UPZ:67 LUCERO.</v>
          </cell>
          <cell r="R1736">
            <v>4795154</v>
          </cell>
          <cell r="S1736">
            <v>0</v>
          </cell>
          <cell r="T1736">
            <v>0</v>
          </cell>
          <cell r="U1736">
            <v>4795154</v>
          </cell>
          <cell r="V1736">
            <v>2582006</v>
          </cell>
        </row>
        <row r="1737">
          <cell r="J1737">
            <v>1106</v>
          </cell>
          <cell r="K1737">
            <v>43143</v>
          </cell>
          <cell r="L1737" t="str">
            <v>DIANA DEL PILAR GALINDO GONZALEZ</v>
          </cell>
          <cell r="M1737">
            <v>31</v>
          </cell>
          <cell r="N1737" t="str">
            <v>RESOLUCION</v>
          </cell>
          <cell r="O1737">
            <v>717</v>
          </cell>
          <cell r="P1737">
            <v>43143</v>
          </cell>
          <cell r="Q1737" t="str">
            <v>AYUDA TEMPORAL A LAS FAMILIAS DE VARIAS LOCALIDADES, PARA RELOCALIZACIÓN DE HOGARES LOCALIZADOS EN ZONAS DE ALTO RIESGO NO MITIGABLE ID:2014-OTR-00946, LOCALIDAD:19 CIUDAD BOLÍVAR, UPZ:67 LUCERO, SECTOR:TABOR ALTALOMA</v>
          </cell>
          <cell r="R1737">
            <v>3248007</v>
          </cell>
          <cell r="S1737">
            <v>464001</v>
          </cell>
          <cell r="T1737">
            <v>0</v>
          </cell>
          <cell r="U1737">
            <v>2784006</v>
          </cell>
          <cell r="V1737">
            <v>2784006</v>
          </cell>
        </row>
        <row r="1738">
          <cell r="J1738">
            <v>1107</v>
          </cell>
          <cell r="K1738">
            <v>43143</v>
          </cell>
          <cell r="L1738" t="str">
            <v>JOSUE  MERCAZA PIRAZA</v>
          </cell>
          <cell r="M1738">
            <v>31</v>
          </cell>
          <cell r="N1738" t="str">
            <v>RESOLUCION</v>
          </cell>
          <cell r="O1738">
            <v>642</v>
          </cell>
          <cell r="P1738">
            <v>43143</v>
          </cell>
          <cell r="Q1738" t="str">
            <v>AYUDA TEMPORAL A LAS FAMILIAS DE VARIAS LOCALIDADES, PARA RELOCALIZACIÓN DE HOGARES LOCALIZADOS EN ZONAS DE ALTO RIESGO NO MITIGABLE ID:2014-W166-074, LOCALIDAD:19 CIUDAD BOLÍVAR, UPZ:68 EL TESORO, SECTOR:WOUNAAN</v>
          </cell>
          <cell r="R1738">
            <v>7000929</v>
          </cell>
          <cell r="S1738">
            <v>0</v>
          </cell>
          <cell r="T1738">
            <v>0</v>
          </cell>
          <cell r="U1738">
            <v>7000929</v>
          </cell>
          <cell r="V1738">
            <v>4308264</v>
          </cell>
        </row>
        <row r="1739">
          <cell r="J1739">
            <v>1108</v>
          </cell>
          <cell r="K1739">
            <v>43143</v>
          </cell>
          <cell r="L1739" t="str">
            <v>ANA LIBIA GORDILLO LEON</v>
          </cell>
          <cell r="M1739">
            <v>31</v>
          </cell>
          <cell r="N1739" t="str">
            <v>RESOLUCION</v>
          </cell>
          <cell r="O1739">
            <v>701</v>
          </cell>
          <cell r="P1739">
            <v>43143</v>
          </cell>
          <cell r="Q1739" t="str">
            <v>AYUDA TEMPORAL A LAS FAMILIAS DE VARIAS LOCALIDADES, PARA RELOCALIZACIÓN DE HOGARES LOCALIZADOS EN ZONAS DE ALTO RIESGO NO MITIGABLE ID:2011-4-12719, LOCALIDAD:04 SAN CRISTÓBAL, UPZ:32 SAN BLAS, SECTOR:</v>
          </cell>
          <cell r="R1739">
            <v>3022327</v>
          </cell>
          <cell r="S1739">
            <v>431761</v>
          </cell>
          <cell r="T1739">
            <v>0</v>
          </cell>
          <cell r="U1739">
            <v>2590566</v>
          </cell>
          <cell r="V1739">
            <v>2590566</v>
          </cell>
        </row>
        <row r="1740">
          <cell r="J1740">
            <v>1109</v>
          </cell>
          <cell r="K1740">
            <v>43143</v>
          </cell>
          <cell r="L1740" t="str">
            <v>LUZ MARINA GONZALEZ JUZGA</v>
          </cell>
          <cell r="M1740">
            <v>31</v>
          </cell>
          <cell r="N1740" t="str">
            <v>RESOLUCION</v>
          </cell>
          <cell r="O1740">
            <v>672</v>
          </cell>
          <cell r="P1740">
            <v>43143</v>
          </cell>
          <cell r="Q1740" t="str">
            <v>AYUDA TEMPORAL A LAS FAMILIAS DE VARIAS LOCALIDADES, PARA RELOCALIZACIÓN DE HOGARES LOCALIZADOS EN ZONAS DE ALTO RIESGO NO MITIGABLE ID:2014-Q05-01096, LOCALIDAD:19 CIUDAD BOLÍVAR, UPZ:67 LUCERO, SECTOR:QUEBRADA CAÑO BAÚL</v>
          </cell>
          <cell r="R1740">
            <v>5946005</v>
          </cell>
          <cell r="S1740">
            <v>0</v>
          </cell>
          <cell r="T1740">
            <v>0</v>
          </cell>
          <cell r="U1740">
            <v>5946005</v>
          </cell>
          <cell r="V1740">
            <v>3659080</v>
          </cell>
        </row>
        <row r="1741">
          <cell r="J1741">
            <v>1110</v>
          </cell>
          <cell r="K1741">
            <v>43143</v>
          </cell>
          <cell r="L1741" t="str">
            <v>JULIO CESAR MORENO VARGAS</v>
          </cell>
          <cell r="M1741">
            <v>31</v>
          </cell>
          <cell r="N1741" t="str">
            <v>RESOLUCION</v>
          </cell>
          <cell r="O1741">
            <v>718</v>
          </cell>
          <cell r="P1741">
            <v>43143</v>
          </cell>
          <cell r="Q1741" t="str">
            <v>AYUDA TEMPORAL A LAS FAMILIAS DE VARIAS LOCALIDADES, PARA RELOCALIZACIÓN DE HOGARES LOCALIZADOS EN ZONAS DE ALTO RIESGO NO MITIGABLE ID:2011-4-12664, LOCALIDAD:04 SAN CRISTÓBAL, UPZ:32 SAN BLAS</v>
          </cell>
          <cell r="R1741">
            <v>4795154</v>
          </cell>
          <cell r="S1741">
            <v>0</v>
          </cell>
          <cell r="T1741">
            <v>0</v>
          </cell>
          <cell r="U1741">
            <v>4795154</v>
          </cell>
          <cell r="V1741">
            <v>2950864</v>
          </cell>
        </row>
        <row r="1742">
          <cell r="J1742">
            <v>1111</v>
          </cell>
          <cell r="K1742">
            <v>43143</v>
          </cell>
          <cell r="L1742" t="str">
            <v>LUIS ALEJANDRO ARIAS VANEGAS</v>
          </cell>
          <cell r="M1742">
            <v>31</v>
          </cell>
          <cell r="N1742" t="str">
            <v>RESOLUCION</v>
          </cell>
          <cell r="O1742">
            <v>643</v>
          </cell>
          <cell r="P1742">
            <v>43143</v>
          </cell>
          <cell r="Q1742" t="str">
            <v>AYUDA TEMPORAL A LAS FAMILIAS DE VARIAS LOCALIDADES, PARA RELOCALIZACIÓN DE HOGARES LOCALIZADOS EN ZONAS DE ALTO RIESGO NO MITIGABLE ID:2013-Q10-00668, LOCALIDAD:04 SAN CRISTÓBAL, UPZ:51 LOS LIBERTADORES, SECTOR:QUEBRADA VEREJONES</v>
          </cell>
          <cell r="R1742">
            <v>6530693</v>
          </cell>
          <cell r="S1742">
            <v>0</v>
          </cell>
          <cell r="T1742">
            <v>0</v>
          </cell>
          <cell r="U1742">
            <v>6530693</v>
          </cell>
          <cell r="V1742">
            <v>4018888</v>
          </cell>
        </row>
        <row r="1743">
          <cell r="J1743">
            <v>1112</v>
          </cell>
          <cell r="K1743">
            <v>43143</v>
          </cell>
          <cell r="L1743" t="str">
            <v>GLORIA PATRICIA TANGARIFE GOMEZ</v>
          </cell>
          <cell r="M1743">
            <v>31</v>
          </cell>
          <cell r="N1743" t="str">
            <v>RESOLUCION</v>
          </cell>
          <cell r="O1743">
            <v>673</v>
          </cell>
          <cell r="P1743">
            <v>43143</v>
          </cell>
          <cell r="Q1743" t="str">
            <v>AYUDA TEMPORAL A LAS FAMILIAS DE VARIAS LOCALIDADES, PARA RELOCALIZACIÓN DE HOGARES LOCALIZADOS EN ZONAS DE ALTO RIESGO NO MITIGABLE ID:2015-D227-00027, LOCALIDAD:04 SAN CRISTÓBAL, UPZ:51 LOS LIBERTADORES, SECTOR:SANTA TERESITA</v>
          </cell>
          <cell r="R1743">
            <v>5529355</v>
          </cell>
          <cell r="S1743">
            <v>0</v>
          </cell>
          <cell r="T1743">
            <v>0</v>
          </cell>
          <cell r="U1743">
            <v>5529355</v>
          </cell>
          <cell r="V1743">
            <v>3402680</v>
          </cell>
        </row>
        <row r="1744">
          <cell r="J1744">
            <v>1113</v>
          </cell>
          <cell r="K1744">
            <v>43143</v>
          </cell>
          <cell r="L1744" t="str">
            <v>GLADYS  TRIANA BASTO</v>
          </cell>
          <cell r="M1744">
            <v>31</v>
          </cell>
          <cell r="N1744" t="str">
            <v>RESOLUCION</v>
          </cell>
          <cell r="O1744">
            <v>719</v>
          </cell>
          <cell r="P1744">
            <v>43143</v>
          </cell>
          <cell r="Q1744" t="str">
            <v>AYUDA TEMPORAL A LAS FAMILIAS DE VARIAS LOCALIDADES, PARA RELOCALIZACIÓN DE HOGARES LOCALIZADOS EN ZONAS DE ALTO RIESGO NO MITIGABLE ID:2010-19-12064, LOCALIDAD:19 CIUDAD BOLÍVAR, UPZ:69 ISMAEL PERDOMO, SECTOR:ALTOS DE LA ESTANCIA - OLA INVERNAL 2010 FOPAE</v>
          </cell>
          <cell r="R1744">
            <v>6991062</v>
          </cell>
          <cell r="S1744">
            <v>3226644</v>
          </cell>
          <cell r="T1744">
            <v>0</v>
          </cell>
          <cell r="U1744">
            <v>3764418</v>
          </cell>
          <cell r="V1744">
            <v>3764418</v>
          </cell>
        </row>
        <row r="1745">
          <cell r="J1745">
            <v>1114</v>
          </cell>
          <cell r="K1745">
            <v>43143</v>
          </cell>
          <cell r="L1745" t="str">
            <v>MARIA CIELITO RINCON GONZALEZ</v>
          </cell>
          <cell r="M1745">
            <v>31</v>
          </cell>
          <cell r="N1745" t="str">
            <v>RESOLUCION</v>
          </cell>
          <cell r="O1745">
            <v>702</v>
          </cell>
          <cell r="P1745">
            <v>43143</v>
          </cell>
          <cell r="Q1745" t="str">
            <v>AYUDA TEMPORAL A LAS FAMILIAS DE VARIAS LOCALIDADES, PARA RELOCALIZACIÓN DE HOGARES LOCALIZADOS EN ZONAS DE ALTO RIESGO NO MITIGABLE ID:2011-4-12663, LOCALIDAD:04 SAN CRISTÓBAL, UPZ:32 SAN BLAS, SECTOR:</v>
          </cell>
          <cell r="R1745">
            <v>5612893</v>
          </cell>
          <cell r="S1745">
            <v>0</v>
          </cell>
          <cell r="T1745">
            <v>0</v>
          </cell>
          <cell r="U1745">
            <v>5612893</v>
          </cell>
          <cell r="V1745">
            <v>3454088</v>
          </cell>
        </row>
        <row r="1746">
          <cell r="J1746">
            <v>1115</v>
          </cell>
          <cell r="K1746">
            <v>43143</v>
          </cell>
          <cell r="L1746" t="str">
            <v>CLAUDIA YANETH GONZALEZ MOYA</v>
          </cell>
          <cell r="M1746">
            <v>31</v>
          </cell>
          <cell r="N1746" t="str">
            <v>RESOLUCION</v>
          </cell>
          <cell r="O1746">
            <v>644</v>
          </cell>
          <cell r="P1746">
            <v>43143</v>
          </cell>
          <cell r="Q1746" t="str">
            <v>AYUDA TEMPORAL A LAS FAMILIAS DE VARIAS LOCALIDADES, PARA RELOCALIZACIÓN DE HOGARES LOCALIZADOS EN ZONAS DE ALTO RIESGO NO MITIGABLE ID:2013-Q10-00574, LOCALIDAD:04 SAN CRISTÓBAL, UPZ:51 LOS LIBERTADORES, SECTOR:QUEBRADA VEREJONES</v>
          </cell>
          <cell r="R1746">
            <v>5285280</v>
          </cell>
          <cell r="S1746">
            <v>0</v>
          </cell>
          <cell r="T1746">
            <v>0</v>
          </cell>
          <cell r="U1746">
            <v>5285280</v>
          </cell>
          <cell r="V1746">
            <v>3252480</v>
          </cell>
        </row>
        <row r="1747">
          <cell r="J1747">
            <v>1116</v>
          </cell>
          <cell r="K1747">
            <v>43143</v>
          </cell>
          <cell r="L1747" t="str">
            <v>ELOINA  NIÑO CARREÑO</v>
          </cell>
          <cell r="M1747">
            <v>31</v>
          </cell>
          <cell r="N1747" t="str">
            <v>RESOLUCION</v>
          </cell>
          <cell r="O1747">
            <v>720</v>
          </cell>
          <cell r="P1747">
            <v>43143</v>
          </cell>
          <cell r="Q1747" t="str">
            <v>AYUDA TEMPORAL A LAS FAMILIAS DE VARIAS LOCALIDADES, PARA RELOCALIZACIÓN DE HOGARES LOCALIZADOS EN ZONAS DE ALTO RIESGO NO MITIGABLE ID:2011-19-12876, LOCALIDAD:19 CIUDAD BOLÍVAR, UPZ:67 LUCERO</v>
          </cell>
          <cell r="R1747">
            <v>6127264</v>
          </cell>
          <cell r="S1747">
            <v>0</v>
          </cell>
          <cell r="T1747">
            <v>0</v>
          </cell>
          <cell r="U1747">
            <v>6127264</v>
          </cell>
          <cell r="V1747">
            <v>3770624</v>
          </cell>
        </row>
        <row r="1748">
          <cell r="J1748">
            <v>1117</v>
          </cell>
          <cell r="K1748">
            <v>43143</v>
          </cell>
          <cell r="L1748" t="str">
            <v>GLORIA EMILDA SANCHEZ SUAREZ</v>
          </cell>
          <cell r="M1748">
            <v>31</v>
          </cell>
          <cell r="N1748" t="str">
            <v>RESOLUCION</v>
          </cell>
          <cell r="O1748">
            <v>674</v>
          </cell>
          <cell r="P1748">
            <v>43143</v>
          </cell>
          <cell r="Q1748" t="str">
            <v>AYUDA TEMPORAL A LAS FAMILIAS DE VARIAS LOCALIDADES, PARA RELOCALIZACIÓN DE HOGARES LOCALIZADOS EN ZONAS DE ALTO RIESGO NO MITIGABLE ID:2016-08-14843, LOCALIDAD:08 KENNEDY, UPZ:82 PATIO BONITO, SECTOR:PALMITAS</v>
          </cell>
          <cell r="R1748">
            <v>7000929</v>
          </cell>
          <cell r="S1748">
            <v>0</v>
          </cell>
          <cell r="T1748">
            <v>0</v>
          </cell>
          <cell r="U1748">
            <v>7000929</v>
          </cell>
          <cell r="V1748">
            <v>4308264</v>
          </cell>
        </row>
        <row r="1749">
          <cell r="J1749">
            <v>1118</v>
          </cell>
          <cell r="K1749">
            <v>43143</v>
          </cell>
          <cell r="L1749" t="str">
            <v>ALEXANDER  ROJAS MOSQUERA</v>
          </cell>
          <cell r="M1749">
            <v>31</v>
          </cell>
          <cell r="N1749" t="str">
            <v>RESOLUCION</v>
          </cell>
          <cell r="O1749">
            <v>721</v>
          </cell>
          <cell r="P1749">
            <v>43143</v>
          </cell>
          <cell r="Q1749" t="str">
            <v>AYUDA TEMPORAL A LAS FAMILIAS DE VARIAS LOCALIDADES, PARA RELOCALIZACIÓN DE HOGARES LOCALIZADOS EN ZONAS DE ALTO RIESGO NO MITIGABLE ID:2012-ALES-18, LOCALIDAD:19 CIUDAD BOLÍVAR, UPZ:69 ISMAEL PERDOMO</v>
          </cell>
          <cell r="R1749">
            <v>6431698</v>
          </cell>
          <cell r="S1749">
            <v>0</v>
          </cell>
          <cell r="T1749">
            <v>0</v>
          </cell>
          <cell r="U1749">
            <v>6431698</v>
          </cell>
          <cell r="V1749">
            <v>3957968</v>
          </cell>
        </row>
        <row r="1750">
          <cell r="J1750">
            <v>1119</v>
          </cell>
          <cell r="K1750">
            <v>43143</v>
          </cell>
          <cell r="L1750" t="str">
            <v>LIBARDO  LONDOÑO ZULUAGA</v>
          </cell>
          <cell r="M1750">
            <v>31</v>
          </cell>
          <cell r="N1750" t="str">
            <v>RESOLUCION</v>
          </cell>
          <cell r="O1750">
            <v>645</v>
          </cell>
          <cell r="P1750">
            <v>43143</v>
          </cell>
          <cell r="Q1750" t="str">
            <v>AYUDA TEMPORAL A LAS FAMILIAS DE VARIAS LOCALIDADES, PARA RELOCALIZACIÓN DE HOGARES LOCALIZADOS EN ZONAS DE ALTO RIESGO NO MITIGABLE ID:2013-Q04-00527, LOCALIDAD:19 CIUDAD BOLÍVAR, UPZ:67 LUCERO, SECTOR:PEÑA COLORADA</v>
          </cell>
          <cell r="R1750">
            <v>3157315</v>
          </cell>
          <cell r="S1750">
            <v>0</v>
          </cell>
          <cell r="T1750">
            <v>0</v>
          </cell>
          <cell r="U1750">
            <v>3157315</v>
          </cell>
          <cell r="V1750">
            <v>1353135</v>
          </cell>
        </row>
        <row r="1751">
          <cell r="J1751">
            <v>1120</v>
          </cell>
          <cell r="K1751">
            <v>43143</v>
          </cell>
          <cell r="L1751" t="str">
            <v>CENAIDA  MORALES</v>
          </cell>
          <cell r="M1751">
            <v>31</v>
          </cell>
          <cell r="N1751" t="str">
            <v>RESOLUCION</v>
          </cell>
          <cell r="O1751">
            <v>675</v>
          </cell>
          <cell r="P1751">
            <v>43143</v>
          </cell>
          <cell r="Q1751" t="str">
            <v>AYUDA TEMPORAL A LAS FAMILIAS DE VARIAS LOCALIDADES, PARA RELOCALIZACIÓN DE HOGARES LOCALIZADOS EN ZONAS DE ALTO RIESGO NO MITIGABLE ID:2007-18-10235, LOCALIDAD:18 RAFAEL URIBE URIBE, UPZ:55 DIANA TURBAY</v>
          </cell>
          <cell r="R1751">
            <v>2677031</v>
          </cell>
          <cell r="S1751">
            <v>0</v>
          </cell>
          <cell r="T1751">
            <v>0</v>
          </cell>
          <cell r="U1751">
            <v>2677031</v>
          </cell>
          <cell r="V1751">
            <v>1147299</v>
          </cell>
        </row>
        <row r="1752">
          <cell r="J1752">
            <v>1121</v>
          </cell>
          <cell r="K1752">
            <v>43143</v>
          </cell>
          <cell r="L1752" t="str">
            <v>LUZ MARINA ASTAIZA AGREDO</v>
          </cell>
          <cell r="M1752">
            <v>31</v>
          </cell>
          <cell r="N1752" t="str">
            <v>RESOLUCION</v>
          </cell>
          <cell r="O1752">
            <v>703</v>
          </cell>
          <cell r="P1752">
            <v>43143</v>
          </cell>
          <cell r="Q1752" t="str">
            <v>AYUDA TEMPORAL A LAS FAMILIAS DE VARIAS LOCALIDADES, PARA RELOCALIZACIÓN DE HOGARES LOCALIZADOS EN ZONAS DE ALTO RIESGO NO MITIGABLE ID:2015-Q10-01457, LOCALIDAD:04 SAN CRISTÓBAL, UPZ:51 LOS LIBERTADORES, SECTOR:QUEBRADA VEREJONES</v>
          </cell>
          <cell r="R1752">
            <v>6032013</v>
          </cell>
          <cell r="S1752">
            <v>0</v>
          </cell>
          <cell r="T1752">
            <v>0</v>
          </cell>
          <cell r="U1752">
            <v>6032013</v>
          </cell>
          <cell r="V1752">
            <v>3712008</v>
          </cell>
        </row>
        <row r="1753">
          <cell r="J1753">
            <v>1122</v>
          </cell>
          <cell r="K1753">
            <v>43143</v>
          </cell>
          <cell r="L1753" t="str">
            <v>ALBA CECILIA AGUIRRE LOPEZ</v>
          </cell>
          <cell r="M1753">
            <v>31</v>
          </cell>
          <cell r="N1753" t="str">
            <v>RESOLUCION</v>
          </cell>
          <cell r="O1753">
            <v>722</v>
          </cell>
          <cell r="P1753">
            <v>43143</v>
          </cell>
          <cell r="Q1753" t="str">
            <v>AYUDA TEMPORAL A LAS FAMILIAS DE VARIAS LOCALIDADES, PARA RELOCALIZACIÓN DE HOGARES LOCALIZADOS EN ZONAS DE ALTO RIESGO NO MITIGABLE ID:2007-19-10333, LOCALIDAD:19 CIUDAD BOLÍVAR, UPZ:67 LUCERO, SECTOR:QUEBRADA HONDA</v>
          </cell>
          <cell r="R1753">
            <v>4943562</v>
          </cell>
          <cell r="S1753">
            <v>0</v>
          </cell>
          <cell r="T1753">
            <v>0</v>
          </cell>
          <cell r="U1753">
            <v>4943562</v>
          </cell>
          <cell r="V1753">
            <v>3042192</v>
          </cell>
        </row>
        <row r="1754">
          <cell r="J1754">
            <v>1123</v>
          </cell>
          <cell r="K1754">
            <v>43143</v>
          </cell>
          <cell r="L1754" t="str">
            <v>YENNY PAOLA DAZA MOTTA</v>
          </cell>
          <cell r="M1754">
            <v>31</v>
          </cell>
          <cell r="N1754" t="str">
            <v>RESOLUCION</v>
          </cell>
          <cell r="O1754">
            <v>646</v>
          </cell>
          <cell r="P1754">
            <v>43143</v>
          </cell>
          <cell r="Q1754" t="str">
            <v>AYUDA TEMPORAL A LAS FAMILIAS DE VARIAS LOCALIDADES, PARA RELOCALIZACIÓN DE HOGARES LOCALIZADOS EN ZONAS DE ALTO RIESGO NO MITIGABLE ID:2014-4-14720, LOCALIDAD:04 SAN CRISTÓBAL, UPZ:32 SAN BLAS, SECTOR:</v>
          </cell>
          <cell r="R1754">
            <v>2685291</v>
          </cell>
          <cell r="S1754">
            <v>383613</v>
          </cell>
          <cell r="T1754">
            <v>0</v>
          </cell>
          <cell r="U1754">
            <v>2301678</v>
          </cell>
          <cell r="V1754">
            <v>2301678</v>
          </cell>
        </row>
        <row r="1755">
          <cell r="J1755">
            <v>1124</v>
          </cell>
          <cell r="K1755">
            <v>43143</v>
          </cell>
          <cell r="L1755" t="str">
            <v>ROSA MARIA MUÑOZ QUISABONI</v>
          </cell>
          <cell r="M1755">
            <v>31</v>
          </cell>
          <cell r="N1755" t="str">
            <v>RESOLUCION</v>
          </cell>
          <cell r="O1755">
            <v>676</v>
          </cell>
          <cell r="P1755">
            <v>43143</v>
          </cell>
          <cell r="Q1755" t="str">
            <v>AYUDA TEMPORAL A LAS FAMILIAS DE VARIAS LOCALIDADES, PARA RELOCALIZACIÓN DE HOGARES LOCALIZADOS EN ZONAS DE ALTO RIESGO NO MITIGABLE ID:2012-18-14308, LOCALIDAD:18 RAFAEL URIBE URIBE, UPZ:55 DIANA TURBAY</v>
          </cell>
          <cell r="R1755">
            <v>3094175</v>
          </cell>
          <cell r="S1755">
            <v>442025</v>
          </cell>
          <cell r="T1755">
            <v>0</v>
          </cell>
          <cell r="U1755">
            <v>2652150</v>
          </cell>
          <cell r="V1755">
            <v>2652150</v>
          </cell>
        </row>
        <row r="1756">
          <cell r="J1756">
            <v>1125</v>
          </cell>
          <cell r="K1756">
            <v>43143</v>
          </cell>
          <cell r="L1756" t="str">
            <v>LUZ NEIDA GARCIA MORA</v>
          </cell>
          <cell r="M1756">
            <v>31</v>
          </cell>
          <cell r="N1756" t="str">
            <v>RESOLUCION</v>
          </cell>
          <cell r="O1756">
            <v>704</v>
          </cell>
          <cell r="P1756">
            <v>43143</v>
          </cell>
          <cell r="Q1756" t="str">
            <v>AYUDA TEMPORAL A LAS FAMILIAS DE VARIAS LOCALIDADES, PARA RELOCALIZACIÓN DE HOGARES LOCALIZADOS EN ZONAS DE ALTO RIESGO NO MITIGABLE ID:2016-08-14795, LOCALIDAD:08 KENNEDY, UPZ:82 PATIO BONITO, SECTOR:PALMITAS</v>
          </cell>
          <cell r="R1756">
            <v>7000929</v>
          </cell>
          <cell r="S1756">
            <v>0</v>
          </cell>
          <cell r="T1756">
            <v>0</v>
          </cell>
          <cell r="U1756">
            <v>7000929</v>
          </cell>
          <cell r="V1756">
            <v>3231198</v>
          </cell>
        </row>
        <row r="1757">
          <cell r="J1757">
            <v>1126</v>
          </cell>
          <cell r="K1757">
            <v>43143</v>
          </cell>
          <cell r="L1757" t="str">
            <v>NELSON  DELGADO LOPEZ</v>
          </cell>
          <cell r="M1757">
            <v>31</v>
          </cell>
          <cell r="N1757" t="str">
            <v>RESOLUCION</v>
          </cell>
          <cell r="O1757">
            <v>723</v>
          </cell>
          <cell r="P1757">
            <v>43143</v>
          </cell>
          <cell r="Q1757" t="str">
            <v>AYUDA TEMPORAL A LAS FAMILIAS DE VARIAS LOCALIDADES, PARA RELOCALIZACIÓN DE HOGARES LOCALIZADOS EN ZONAS DE ALTO RIESGO NO MITIGABLE ID:2014-OTR-00884, LOCALIDAD:03 SANTA FE, UPZ:96 LOURDES, SECTOR:CASA 2</v>
          </cell>
          <cell r="R1757">
            <v>3516527</v>
          </cell>
          <cell r="S1757">
            <v>502361</v>
          </cell>
          <cell r="T1757">
            <v>0</v>
          </cell>
          <cell r="U1757">
            <v>3014166</v>
          </cell>
          <cell r="V1757">
            <v>3014166</v>
          </cell>
        </row>
        <row r="1758">
          <cell r="J1758">
            <v>1127</v>
          </cell>
          <cell r="K1758">
            <v>43143</v>
          </cell>
          <cell r="L1758" t="str">
            <v>ANGELICA  PERDIZ ISMARE</v>
          </cell>
          <cell r="M1758">
            <v>31</v>
          </cell>
          <cell r="N1758" t="str">
            <v>RESOLUCION</v>
          </cell>
          <cell r="O1758">
            <v>647</v>
          </cell>
          <cell r="P1758">
            <v>43143</v>
          </cell>
          <cell r="Q1758" t="str">
            <v>AYUDA TEMPORAL A LAS FAMILIAS DE VARIAS LOCALIDADES, PARA RELOCALIZACIÓN DE HOGARES LOCALIZADOS EN ZONAS DE ALTO RIESGO NO MITIGABLE ID:2015-W166-511, LOCALIDAD:19 CIUDAD BOLÍVAR, UPZ:67 LUCERO, SECTOR:WOUNAAN</v>
          </cell>
          <cell r="R1758">
            <v>7539090</v>
          </cell>
          <cell r="S1758">
            <v>0</v>
          </cell>
          <cell r="T1758">
            <v>0</v>
          </cell>
          <cell r="U1758">
            <v>7539090</v>
          </cell>
          <cell r="V1758">
            <v>4639440</v>
          </cell>
        </row>
        <row r="1759">
          <cell r="J1759">
            <v>1128</v>
          </cell>
          <cell r="K1759">
            <v>43143</v>
          </cell>
          <cell r="L1759" t="str">
            <v>LUIS GREGORIO PEÑA MORA</v>
          </cell>
          <cell r="M1759">
            <v>31</v>
          </cell>
          <cell r="N1759" t="str">
            <v>RESOLUCION</v>
          </cell>
          <cell r="O1759">
            <v>677</v>
          </cell>
          <cell r="P1759">
            <v>43143</v>
          </cell>
          <cell r="Q1759" t="str">
            <v>AYUDA TEMPORAL A LAS FAMILIAS DE VARIAS LOCALIDADES, PARA RELOCALIZACIÓN DE HOGARES LOCALIZADOS EN ZONAS DE ALTO RIESGO NO MITIGABLE ID:2012-18-14365, LOCALIDAD:18 RAFAEL URIBE URIBE, UPZ:55 DIANA TURBAY</v>
          </cell>
          <cell r="R1759">
            <v>5612893</v>
          </cell>
          <cell r="S1759">
            <v>0</v>
          </cell>
          <cell r="T1759">
            <v>0</v>
          </cell>
          <cell r="U1759">
            <v>5612893</v>
          </cell>
          <cell r="V1759">
            <v>3454088</v>
          </cell>
        </row>
        <row r="1760">
          <cell r="J1760">
            <v>1129</v>
          </cell>
          <cell r="K1760">
            <v>43143</v>
          </cell>
          <cell r="L1760" t="str">
            <v>GLADYS  CIFUENTES CASTAÑEDA</v>
          </cell>
          <cell r="M1760">
            <v>31</v>
          </cell>
          <cell r="N1760" t="str">
            <v>RESOLUCION</v>
          </cell>
          <cell r="O1760">
            <v>724</v>
          </cell>
          <cell r="P1760">
            <v>43143</v>
          </cell>
          <cell r="Q1760" t="str">
            <v>AYUDA TEMPORAL A LAS FAMILIAS DE VARIAS LOCALIDADES, PARA RELOCALIZACIÓN DE HOGARES LOCALIZADOS EN ZONAS DE ALTO RIESGO NO MITIGABLE ID:2012-19-14088, LOCALIDAD:19 CIUDAD BOLÍVAR, UPZ:68 EL TESORO, SECTOR:QUEBRADA TROMPETA</v>
          </cell>
          <cell r="R1760">
            <v>2788569</v>
          </cell>
          <cell r="S1760">
            <v>398367</v>
          </cell>
          <cell r="T1760">
            <v>0</v>
          </cell>
          <cell r="U1760">
            <v>2390202</v>
          </cell>
          <cell r="V1760">
            <v>2390202</v>
          </cell>
        </row>
        <row r="1761">
          <cell r="J1761">
            <v>1130</v>
          </cell>
          <cell r="K1761">
            <v>43143</v>
          </cell>
          <cell r="L1761" t="str">
            <v>JAIME ORLANDO CHECA MORA</v>
          </cell>
          <cell r="M1761">
            <v>31</v>
          </cell>
          <cell r="N1761" t="str">
            <v>RESOLUCION</v>
          </cell>
          <cell r="O1761">
            <v>678</v>
          </cell>
          <cell r="P1761">
            <v>43143</v>
          </cell>
          <cell r="Q1761" t="str">
            <v>AYUDA TEMPORAL A LAS FAMILIAS DE VARIAS LOCALIDADES, PARA RELOCALIZACIÓN DE HOGARES LOCALIZADOS EN ZONAS DE ALTO RIESGO NO MITIGABLE ID:2011-4-13653, LOCALIDAD:04 SAN CRISTÓBAL, UPZ:34 20 DE JULIO</v>
          </cell>
          <cell r="R1761">
            <v>2943493</v>
          </cell>
          <cell r="S1761">
            <v>420499</v>
          </cell>
          <cell r="T1761">
            <v>0</v>
          </cell>
          <cell r="U1761">
            <v>2522994</v>
          </cell>
          <cell r="V1761">
            <v>2522994</v>
          </cell>
        </row>
        <row r="1762">
          <cell r="J1762">
            <v>1131</v>
          </cell>
          <cell r="K1762">
            <v>43143</v>
          </cell>
          <cell r="L1762" t="str">
            <v>OLIVERIO  VARGAS GONZALEZ</v>
          </cell>
          <cell r="M1762">
            <v>31</v>
          </cell>
          <cell r="N1762" t="str">
            <v>RESOLUCION</v>
          </cell>
          <cell r="O1762">
            <v>725</v>
          </cell>
          <cell r="P1762">
            <v>43143</v>
          </cell>
          <cell r="Q1762" t="str">
            <v>AYUDA TEMPORAL A LAS FAMILIAS DE VARIAS LOCALIDADES, PARA RELOCALIZACIÓN DE HOGARES LOCALIZADOS EN ZONAS DE ALTO RIESGO NO MITIGABLE ID:2014-Q04-00995, LOCALIDAD:19 CIUDAD BOLÍVAR, UPZ:67 LUCERO, SECTOR:PEÑA COLORADA</v>
          </cell>
          <cell r="R1762">
            <v>3614814</v>
          </cell>
          <cell r="S1762">
            <v>0</v>
          </cell>
          <cell r="T1762">
            <v>0</v>
          </cell>
          <cell r="U1762">
            <v>3614814</v>
          </cell>
          <cell r="V1762">
            <v>1032804</v>
          </cell>
        </row>
        <row r="1763">
          <cell r="J1763">
            <v>1132</v>
          </cell>
          <cell r="K1763">
            <v>43143</v>
          </cell>
          <cell r="L1763" t="str">
            <v>FLORENTINO  BARRERA SUAREZ</v>
          </cell>
          <cell r="M1763">
            <v>31</v>
          </cell>
          <cell r="N1763" t="str">
            <v>RESOLUCION</v>
          </cell>
          <cell r="O1763">
            <v>679</v>
          </cell>
          <cell r="P1763">
            <v>43143</v>
          </cell>
          <cell r="Q1763" t="str">
            <v>AYUDA TEMPORAL A LAS FAMILIAS DE VARIAS LOCALIDADES, PARA RELOCALIZACIÓN DE HOGARES LOCALIZADOS EN ZONAS DE ALTO RIESGO NO MITIGABLE ID:2012-3-14351, LOCALIDAD:03 SANTA FE, UPZ:96 LOURDES</v>
          </cell>
          <cell r="R1763">
            <v>3201695</v>
          </cell>
          <cell r="S1763">
            <v>457385</v>
          </cell>
          <cell r="T1763">
            <v>0</v>
          </cell>
          <cell r="U1763">
            <v>2744310</v>
          </cell>
          <cell r="V1763">
            <v>2744310</v>
          </cell>
        </row>
        <row r="1764">
          <cell r="J1764">
            <v>1133</v>
          </cell>
          <cell r="K1764">
            <v>43143</v>
          </cell>
          <cell r="L1764" t="str">
            <v>NATALI  RIVERA PELAEZ</v>
          </cell>
          <cell r="M1764">
            <v>31</v>
          </cell>
          <cell r="N1764" t="str">
            <v>RESOLUCION</v>
          </cell>
          <cell r="O1764">
            <v>726</v>
          </cell>
          <cell r="P1764">
            <v>43143</v>
          </cell>
          <cell r="Q1764" t="str">
            <v>AYUDA TEMPORAL A LAS FAMILIAS DE VARIAS LOCALIDADES, PARA RELOCALIZACIÓN DE HOGARES LOCALIZADOS EN ZONAS DE ALTO RIESGO NO MITIGABLE ID:2016-08-14792, LOCALIDAD:08 KENNEDY, UPZ:82 PATIO BONITO, SECTOR:PALMITAS</v>
          </cell>
          <cell r="R1764">
            <v>3718092</v>
          </cell>
          <cell r="S1764">
            <v>531156</v>
          </cell>
          <cell r="T1764">
            <v>0</v>
          </cell>
          <cell r="U1764">
            <v>3186936</v>
          </cell>
          <cell r="V1764">
            <v>3186936</v>
          </cell>
        </row>
        <row r="1765">
          <cell r="J1765">
            <v>1134</v>
          </cell>
          <cell r="K1765">
            <v>43143</v>
          </cell>
          <cell r="L1765" t="str">
            <v>LINA PAOLA GALINDO ARGUELLO</v>
          </cell>
          <cell r="M1765">
            <v>31</v>
          </cell>
          <cell r="N1765" t="str">
            <v>RESOLUCION</v>
          </cell>
          <cell r="O1765">
            <v>727</v>
          </cell>
          <cell r="P1765">
            <v>43143</v>
          </cell>
          <cell r="Q1765" t="str">
            <v>AYUDA TEMPORAL A LAS FAMILIAS DE VARIAS LOCALIDADES, PARA RELOCALIZACIÓN DE HOGARES LOCALIZADOS EN ZONAS DE ALTO RIESGO NO MITIGABLE ID:2015-4-14738, LOCALIDAD:04 SAN CRISTÓBAL, UPZ:32 SAN BLAS</v>
          </cell>
          <cell r="R1765">
            <v>6533774</v>
          </cell>
          <cell r="S1765">
            <v>0</v>
          </cell>
          <cell r="T1765">
            <v>0</v>
          </cell>
          <cell r="U1765">
            <v>6533774</v>
          </cell>
          <cell r="V1765">
            <v>4020784</v>
          </cell>
        </row>
        <row r="1766">
          <cell r="J1766">
            <v>1135</v>
          </cell>
          <cell r="K1766">
            <v>43143</v>
          </cell>
          <cell r="L1766" t="str">
            <v>FLORENCIO  FORERO ARTEAGA</v>
          </cell>
          <cell r="M1766">
            <v>31</v>
          </cell>
          <cell r="N1766" t="str">
            <v>RESOLUCION</v>
          </cell>
          <cell r="O1766">
            <v>728</v>
          </cell>
          <cell r="P1766">
            <v>43143</v>
          </cell>
          <cell r="Q1766" t="str">
            <v>AYUDA TEMPORAL A LAS FAMILIAS DE VARIAS LOCALIDADES, PARA RELOCALIZACIÓN DE HOGARES LOCALIZADOS EN ZONAS DE ALTO RIESGO NO MITIGABLE ID:2011-19-12836, LOCALIDAD:19 CIUDAD BOLÍVAR, UPZ:67 LUCERO, SECTOR:LIMAS</v>
          </cell>
          <cell r="R1766">
            <v>3873016</v>
          </cell>
          <cell r="S1766">
            <v>0</v>
          </cell>
          <cell r="T1766">
            <v>0</v>
          </cell>
          <cell r="U1766">
            <v>3873016</v>
          </cell>
          <cell r="V1766">
            <v>2766440</v>
          </cell>
        </row>
        <row r="1767">
          <cell r="J1767">
            <v>1136</v>
          </cell>
          <cell r="K1767">
            <v>43143</v>
          </cell>
          <cell r="L1767" t="str">
            <v>ROBERTO  DUQUE ARCIA</v>
          </cell>
          <cell r="M1767">
            <v>31</v>
          </cell>
          <cell r="N1767" t="str">
            <v>RESOLUCION</v>
          </cell>
          <cell r="O1767">
            <v>729</v>
          </cell>
          <cell r="P1767">
            <v>43143</v>
          </cell>
          <cell r="Q1767" t="str">
            <v>AYUDA TEMPORAL A LAS FAMILIAS DE VARIAS LOCALIDADES, PARA RELOCALIZACIÓN DE HOGARES LOCALIZADOS EN ZONAS DE ALTO RIESGO NO MITIGABLE ID:2003-19-5298, LOCALIDAD:19 CIUDAD BOLÍVAR, UPZ:69 ISMAEL PERDOMO, SECTOR:ALTOS DE LA ESTANCIA</v>
          </cell>
          <cell r="R1767">
            <v>2685291</v>
          </cell>
          <cell r="S1767">
            <v>0</v>
          </cell>
          <cell r="T1767">
            <v>0</v>
          </cell>
          <cell r="U1767">
            <v>2685291</v>
          </cell>
          <cell r="V1767">
            <v>1150839</v>
          </cell>
        </row>
        <row r="1768">
          <cell r="J1768">
            <v>1137</v>
          </cell>
          <cell r="K1768">
            <v>43143</v>
          </cell>
          <cell r="L1768" t="str">
            <v>CLAUDIA PATRICIA SANCHEZ ESCOBAR</v>
          </cell>
          <cell r="M1768">
            <v>31</v>
          </cell>
          <cell r="N1768" t="str">
            <v>RESOLUCION</v>
          </cell>
          <cell r="O1768">
            <v>730</v>
          </cell>
          <cell r="P1768">
            <v>43143</v>
          </cell>
          <cell r="Q1768" t="str">
            <v>AYUDA TEMPORAL A LAS FAMILIAS DE VARIAS LOCALIDADES, PARA RELOCALIZACIÓN DE HOGARES LOCALIZADOS EN ZONAS DE ALTO RIESGO NO MITIGABLE ID:2013-Q04-00233, LOCALIDAD:04 SAN CRISTÓBAL, UPZ:51 LOS LIBERTADORES, SECTOR:QUEBRADA VEREJONES</v>
          </cell>
          <cell r="R1768">
            <v>6713226</v>
          </cell>
          <cell r="S1768">
            <v>0</v>
          </cell>
          <cell r="T1768">
            <v>0</v>
          </cell>
          <cell r="U1768">
            <v>6713226</v>
          </cell>
          <cell r="V1768">
            <v>4131216</v>
          </cell>
        </row>
        <row r="1769">
          <cell r="J1769">
            <v>1138</v>
          </cell>
          <cell r="K1769">
            <v>43143</v>
          </cell>
          <cell r="L1769" t="str">
            <v>ANA JOAQUINA PARDO PARDO</v>
          </cell>
          <cell r="M1769">
            <v>31</v>
          </cell>
          <cell r="N1769" t="str">
            <v>RESOLUCION</v>
          </cell>
          <cell r="O1769">
            <v>731</v>
          </cell>
          <cell r="P1769">
            <v>43143</v>
          </cell>
          <cell r="Q1769" t="str">
            <v>AYUDA TEMPORAL A LAS FAMILIAS DE VARIAS LOCALIDADES, PARA RELOCALIZACIÓN DE HOGARES LOCALIZADOS EN ZONAS DE ALTO RIESGO NO MITIGABLE ID:2015-Q20-01330, LOCALIDAD:04 SAN CRISTÓBAL, UPZ:50 LA GLORIA, SECTOR:LA CHIGUAZA</v>
          </cell>
          <cell r="R1769">
            <v>2788569</v>
          </cell>
          <cell r="S1769">
            <v>0</v>
          </cell>
          <cell r="T1769">
            <v>0</v>
          </cell>
          <cell r="U1769">
            <v>2788569</v>
          </cell>
          <cell r="V1769">
            <v>2390202</v>
          </cell>
        </row>
        <row r="1770">
          <cell r="J1770">
            <v>1139</v>
          </cell>
          <cell r="K1770">
            <v>43143</v>
          </cell>
          <cell r="L1770" t="str">
            <v>CARMEN ROSA POVEDA CAMACHO</v>
          </cell>
          <cell r="M1770">
            <v>31</v>
          </cell>
          <cell r="N1770" t="str">
            <v>RESOLUCION</v>
          </cell>
          <cell r="O1770">
            <v>732</v>
          </cell>
          <cell r="P1770">
            <v>43143</v>
          </cell>
          <cell r="Q1770" t="str">
            <v>AYUDA TEMPORAL A LAS FAMILIAS DE VARIAS LOCALIDADES, PARA RELOCALIZACIÓN DE HOGARES LOCALIZADOS EN ZONAS DE ALTO RIESGO NO MITIGABLE ID:2014-Q07-00795, LOCALIDAD:19 CIUDAD BOLÍVAR, UPZ:68 EL TESORO, SECTOR:QUEBRADA GALINDO</v>
          </cell>
          <cell r="R1770">
            <v>3330061</v>
          </cell>
          <cell r="S1770">
            <v>3330061</v>
          </cell>
          <cell r="T1770">
            <v>0</v>
          </cell>
          <cell r="U1770">
            <v>0</v>
          </cell>
          <cell r="V1770">
            <v>0</v>
          </cell>
        </row>
        <row r="1771">
          <cell r="J1771">
            <v>1140</v>
          </cell>
          <cell r="K1771">
            <v>43143</v>
          </cell>
          <cell r="L1771" t="str">
            <v>HILDA LEONOR HIDALGO URREGO</v>
          </cell>
          <cell r="M1771">
            <v>31</v>
          </cell>
          <cell r="N1771" t="str">
            <v>RESOLUCION</v>
          </cell>
          <cell r="O1771">
            <v>733</v>
          </cell>
          <cell r="P1771">
            <v>43143</v>
          </cell>
          <cell r="Q1771" t="str">
            <v>AYUDA TEMPORAL A LAS FAMILIAS DE VARIAS LOCALIDADES, PARA RELOCALIZACIÓN DE HOGARES LOCALIZADOS EN ZONAS DE ALTO RIESGO NO MITIGABLE ID:2012-19-14580, LOCALIDAD:19 CIUDAD BOLÍVAR, UPZ:68 EL TESORO, SECTOR:QUEBRADA TROMPETA</v>
          </cell>
          <cell r="R1771">
            <v>3570210</v>
          </cell>
          <cell r="S1771">
            <v>510030</v>
          </cell>
          <cell r="T1771">
            <v>0</v>
          </cell>
          <cell r="U1771">
            <v>3060180</v>
          </cell>
          <cell r="V1771">
            <v>3060180</v>
          </cell>
        </row>
        <row r="1772">
          <cell r="J1772">
            <v>1141</v>
          </cell>
          <cell r="K1772">
            <v>43143</v>
          </cell>
          <cell r="L1772" t="str">
            <v>EVARISTO  HEREDIA CAMACHO</v>
          </cell>
          <cell r="M1772">
            <v>31</v>
          </cell>
          <cell r="N1772" t="str">
            <v>RESOLUCION</v>
          </cell>
          <cell r="O1772">
            <v>734</v>
          </cell>
          <cell r="P1772">
            <v>43143</v>
          </cell>
          <cell r="Q1772" t="str">
            <v>AYUDA TEMPORAL A LAS FAMILIAS DE VARIAS LOCALIDADES, PARA RELOCALIZACIÓN DE HOGARES LOCALIZADOS EN ZONAS DE ALTO RIESGO NO MITIGABLE ID:2010-18-12318, LOCALIDAD:18 RAFAEL URIBE URIBE, UPZ:55 DIANA TURBAY, SECTOR:OLA INVERNAL 2010 FOPAE</v>
          </cell>
          <cell r="R1772">
            <v>3263008</v>
          </cell>
          <cell r="S1772">
            <v>932288</v>
          </cell>
          <cell r="T1772">
            <v>0</v>
          </cell>
          <cell r="U1772">
            <v>2330720</v>
          </cell>
          <cell r="V1772">
            <v>2330720</v>
          </cell>
        </row>
        <row r="1773">
          <cell r="J1773">
            <v>1142</v>
          </cell>
          <cell r="K1773">
            <v>43143</v>
          </cell>
          <cell r="L1773" t="str">
            <v>EVANGELISTA  ARDILA QUIROGA</v>
          </cell>
          <cell r="M1773">
            <v>31</v>
          </cell>
          <cell r="N1773" t="str">
            <v>RESOLUCION</v>
          </cell>
          <cell r="O1773">
            <v>705</v>
          </cell>
          <cell r="P1773">
            <v>43143</v>
          </cell>
          <cell r="Q1773" t="str">
            <v>AYUDA TEMPORAL A LAS FAMILIAS DE VARIAS LOCALIDADES, PARA RELOCALIZACIÓN DE HOGARES LOCALIZADOS EN ZONAS DE ALTO RIESGO NO MITIGABLE ID:2012-19-14220, LOCALIDAD:19 CIUDAD BOLÍVAR, UPZ:68 EL TESORO, SECTOR:QUEBRADA TROMPETA</v>
          </cell>
          <cell r="R1773">
            <v>2685291</v>
          </cell>
          <cell r="S1773">
            <v>383613</v>
          </cell>
          <cell r="T1773">
            <v>0</v>
          </cell>
          <cell r="U1773">
            <v>2301678</v>
          </cell>
          <cell r="V1773">
            <v>2301678</v>
          </cell>
        </row>
        <row r="1774">
          <cell r="J1774">
            <v>1143</v>
          </cell>
          <cell r="K1774">
            <v>43143</v>
          </cell>
          <cell r="L1774" t="str">
            <v>MARIA DEL CARMEN CEPEDA DE MORENO</v>
          </cell>
          <cell r="M1774">
            <v>31</v>
          </cell>
          <cell r="N1774" t="str">
            <v>RESOLUCION</v>
          </cell>
          <cell r="O1774">
            <v>735</v>
          </cell>
          <cell r="P1774">
            <v>43143</v>
          </cell>
          <cell r="Q1774" t="str">
            <v>AYUDA TEMPORAL A LAS FAMILIAS DE VARIAS LOCALIDADES, PARA RELOCALIZACIÓN DE HOGARES LOCALIZADOS EN ZONAS DE ALTO RIESGO NO MITIGABLE ID:2015-D227-00052, LOCALIDAD:04 SAN CRISTÓBAL, UPZ:51 LOS LIBERTADORES, SECTOR:SANTA TERESITA</v>
          </cell>
          <cell r="R1774">
            <v>3041416</v>
          </cell>
          <cell r="S1774">
            <v>0</v>
          </cell>
          <cell r="T1774">
            <v>0</v>
          </cell>
          <cell r="U1774">
            <v>3041416</v>
          </cell>
          <cell r="V1774">
            <v>2661239</v>
          </cell>
        </row>
        <row r="1775">
          <cell r="J1775">
            <v>1144</v>
          </cell>
          <cell r="K1775">
            <v>43143</v>
          </cell>
          <cell r="L1775" t="str">
            <v>LAURENCIO  REYES SANABRIA</v>
          </cell>
          <cell r="M1775">
            <v>31</v>
          </cell>
          <cell r="N1775" t="str">
            <v>RESOLUCION</v>
          </cell>
          <cell r="O1775">
            <v>736</v>
          </cell>
          <cell r="P1775">
            <v>43143</v>
          </cell>
          <cell r="Q1775" t="str">
            <v>AYUDA TEMPORAL A LAS FAMILIAS DE VARIAS LOCALIDADES, PARA RELOCALIZACIÓN DE HOGARES LOCALIZADOS EN ZONAS DE ALTO RIESGO NO MITIGABLE ID:2015-OTR-01477, LOCALIDAD:19 CIUDAD BOLÍVAR, UPZ:67 LUCERO, SECTOR:TABOR ALTALOMA</v>
          </cell>
          <cell r="R1775">
            <v>3608360</v>
          </cell>
          <cell r="S1775">
            <v>0</v>
          </cell>
          <cell r="T1775">
            <v>0</v>
          </cell>
          <cell r="U1775">
            <v>3608360</v>
          </cell>
          <cell r="V1775">
            <v>3157315</v>
          </cell>
        </row>
        <row r="1776">
          <cell r="J1776">
            <v>1145</v>
          </cell>
          <cell r="K1776">
            <v>43143</v>
          </cell>
          <cell r="L1776" t="str">
            <v>CONCEPCION  TOVAR MUÑOZ</v>
          </cell>
          <cell r="M1776">
            <v>31</v>
          </cell>
          <cell r="N1776" t="str">
            <v>RESOLUCION</v>
          </cell>
          <cell r="O1776">
            <v>706</v>
          </cell>
          <cell r="P1776">
            <v>43143</v>
          </cell>
          <cell r="Q1776" t="str">
            <v>AYUDA TEMPORAL A LAS FAMILIAS DE VARIAS LOCALIDADES, PARA RELOCALIZACIÓN DE HOGARES LOCALIZADOS EN ZONAS DE ALTO RIESGO NO MITIGABLE ID:2011-5-12895, LOCALIDAD:05 USME, UPZ:61 CIUDAD DE USME, SECTOR:</v>
          </cell>
          <cell r="R1776">
            <v>3374280</v>
          </cell>
          <cell r="S1776">
            <v>482040</v>
          </cell>
          <cell r="T1776">
            <v>0</v>
          </cell>
          <cell r="U1776">
            <v>2892240</v>
          </cell>
          <cell r="V1776">
            <v>2892240</v>
          </cell>
        </row>
        <row r="1777">
          <cell r="J1777">
            <v>1146</v>
          </cell>
          <cell r="K1777">
            <v>43143</v>
          </cell>
          <cell r="L1777" t="str">
            <v>ROSA GLORIA CARDENAS MORA</v>
          </cell>
          <cell r="M1777">
            <v>31</v>
          </cell>
          <cell r="N1777" t="str">
            <v>RESOLUCION</v>
          </cell>
          <cell r="O1777">
            <v>707</v>
          </cell>
          <cell r="P1777">
            <v>43143</v>
          </cell>
          <cell r="Q1777" t="str">
            <v>AYUDA TEMPORAL A LAS FAMILIAS DE VARIAS LOCALIDADES, PARA RELOCALIZACIÓN DE HOGARES LOCALIZADOS EN ZONAS DE ALTO RIESGO NO MITIGABLE ID:2011-19-13484, LOCALIDAD:19 CIUDAD BOLÍVAR, UPZ:68 EL TESORO, SECTOR:</v>
          </cell>
          <cell r="R1777">
            <v>6530693</v>
          </cell>
          <cell r="S1777">
            <v>0</v>
          </cell>
          <cell r="T1777">
            <v>0</v>
          </cell>
          <cell r="U1777">
            <v>6530693</v>
          </cell>
          <cell r="V1777">
            <v>4018888</v>
          </cell>
        </row>
        <row r="1778">
          <cell r="J1778">
            <v>1147</v>
          </cell>
          <cell r="K1778">
            <v>43143</v>
          </cell>
          <cell r="L1778" t="str">
            <v>JONATHAN JULIAN GUZMAN RODRIGUEZ</v>
          </cell>
          <cell r="M1778">
            <v>31</v>
          </cell>
          <cell r="N1778" t="str">
            <v>RESOLUCION</v>
          </cell>
          <cell r="O1778">
            <v>695</v>
          </cell>
          <cell r="P1778">
            <v>43143</v>
          </cell>
          <cell r="Q1778" t="str">
            <v>AYUDA TEMPORAL A LAS FAMILIAS DE VARIAS LOCALIDADES, PARA RELOCALIZACIÓN DE HOGARES LOCALIZADOS EN ZONAS DE ALTO RIESGO NO MITIGABLE ID:2013-Q04-00277, LOCALIDAD:19 CIUDAD BOLÍVAR, UPZ:67 LUCERO, SECTOR:PEÑA COLORADA</v>
          </cell>
          <cell r="R1778">
            <v>3046771</v>
          </cell>
          <cell r="S1778">
            <v>435253</v>
          </cell>
          <cell r="T1778">
            <v>0</v>
          </cell>
          <cell r="U1778">
            <v>2611518</v>
          </cell>
          <cell r="V1778">
            <v>2611518</v>
          </cell>
        </row>
        <row r="1779">
          <cell r="J1779">
            <v>1148</v>
          </cell>
          <cell r="K1779">
            <v>43143</v>
          </cell>
          <cell r="L1779" t="str">
            <v>ROSA ELENA ARIAS ARIAS</v>
          </cell>
          <cell r="M1779">
            <v>31</v>
          </cell>
          <cell r="N1779" t="str">
            <v>RESOLUCION</v>
          </cell>
          <cell r="O1779">
            <v>812</v>
          </cell>
          <cell r="P1779">
            <v>43143</v>
          </cell>
          <cell r="Q1779" t="str">
            <v>AYUDA TEMPORAL A LAS FAMILIAS DE VARIAS LOCALIDADES, PARA RELOCALIZACIÓN DE HOGARES LOCALIZADOS EN ZONAS DE ALTO RIESGO NO MITIGABLE ID:2015-OTR-01535, LOCALIDAD:05 USME, UPZ:52 LA FLORA, SECTOR:</v>
          </cell>
          <cell r="R1779">
            <v>2977086</v>
          </cell>
          <cell r="S1779">
            <v>0</v>
          </cell>
          <cell r="T1779">
            <v>0</v>
          </cell>
          <cell r="U1779">
            <v>2977086</v>
          </cell>
          <cell r="V1779">
            <v>1488543</v>
          </cell>
        </row>
        <row r="1780">
          <cell r="J1780">
            <v>1149</v>
          </cell>
          <cell r="K1780">
            <v>43143</v>
          </cell>
          <cell r="L1780" t="str">
            <v>JULIO WILCHEZ GUERRERO GONZALEZ</v>
          </cell>
          <cell r="M1780">
            <v>31</v>
          </cell>
          <cell r="N1780" t="str">
            <v>RESOLUCION</v>
          </cell>
          <cell r="O1780">
            <v>813</v>
          </cell>
          <cell r="P1780">
            <v>43143</v>
          </cell>
          <cell r="Q1780" t="str">
            <v>AYUDA TEMPORAL A LAS FAMILIAS DE VARIAS LOCALIDADES, PARA RELOCALIZACIÓN DE HOGARES LOCALIZADOS EN ZONAS DE ALTO RIESGO NO MITIGABLE ID:2011-5-13263, LOCALIDAD:05 USME, UPZ:56 DANUBIO, SECTOR:</v>
          </cell>
          <cell r="R1780">
            <v>2482374</v>
          </cell>
          <cell r="S1780">
            <v>413729</v>
          </cell>
          <cell r="T1780">
            <v>0</v>
          </cell>
          <cell r="U1780">
            <v>2068645</v>
          </cell>
          <cell r="V1780">
            <v>2068645</v>
          </cell>
        </row>
        <row r="1781">
          <cell r="J1781">
            <v>1150</v>
          </cell>
          <cell r="K1781">
            <v>43143</v>
          </cell>
          <cell r="L1781" t="str">
            <v>JOHAN STIVEN DIAZ POSADA</v>
          </cell>
          <cell r="M1781">
            <v>31</v>
          </cell>
          <cell r="N1781" t="str">
            <v>RESOLUCION</v>
          </cell>
          <cell r="O1781">
            <v>814</v>
          </cell>
          <cell r="P1781">
            <v>43143</v>
          </cell>
          <cell r="Q1781" t="str">
            <v>AYUDA TEMPORAL A LAS FAMILIAS DE VARIAS LOCALIDADES, PARA RELOCALIZACIÓN DE HOGARES LOCALIZADOS EN ZONAS DE ALTO RIESGO NO MITIGABLE ID:2012-18-14525, LOCALIDAD:18 RAFAEL URIBE URIBE, UPZ:55 DIANA TURBAY, SECTOR:</v>
          </cell>
          <cell r="R1781">
            <v>2590566</v>
          </cell>
          <cell r="S1781">
            <v>431761</v>
          </cell>
          <cell r="T1781">
            <v>0</v>
          </cell>
          <cell r="U1781">
            <v>2158805</v>
          </cell>
          <cell r="V1781">
            <v>2158805</v>
          </cell>
        </row>
        <row r="1782">
          <cell r="J1782">
            <v>1151</v>
          </cell>
          <cell r="K1782">
            <v>43143</v>
          </cell>
          <cell r="L1782" t="str">
            <v>CARMEN ELISA ORTIZ REYES</v>
          </cell>
          <cell r="M1782">
            <v>31</v>
          </cell>
          <cell r="N1782" t="str">
            <v>RESOLUCION</v>
          </cell>
          <cell r="O1782">
            <v>815</v>
          </cell>
          <cell r="P1782">
            <v>43143</v>
          </cell>
          <cell r="Q1782" t="str">
            <v>AYUDA TEMPORAL A LAS FAMILIAS DE VARIAS LOCALIDADES, PARA RELOCALIZACIÓN DE HOGARES LOCALIZADOS EN ZONAS DE ALTO RIESGO NO MITIGABLE ID:2012-19-14579, LOCALIDAD:19 CIUDAD BOLÍVAR, UPZ:68 EL TESORO, SECTOR:QUEBRADA TROMPETA</v>
          </cell>
          <cell r="R1782">
            <v>4062460</v>
          </cell>
          <cell r="S1782">
            <v>0</v>
          </cell>
          <cell r="T1782">
            <v>0</v>
          </cell>
          <cell r="U1782">
            <v>4062460</v>
          </cell>
          <cell r="V1782">
            <v>2843722</v>
          </cell>
        </row>
        <row r="1783">
          <cell r="J1783">
            <v>1152</v>
          </cell>
          <cell r="K1783">
            <v>43143</v>
          </cell>
          <cell r="L1783" t="str">
            <v>LEIDY  CRUZ INFANTE</v>
          </cell>
          <cell r="M1783">
            <v>31</v>
          </cell>
          <cell r="N1783" t="str">
            <v>RESOLUCION</v>
          </cell>
          <cell r="O1783">
            <v>816</v>
          </cell>
          <cell r="P1783">
            <v>43143</v>
          </cell>
          <cell r="Q1783" t="str">
            <v>AYUDA TEMPORAL A LAS FAMILIAS DE VARIAS LOCALIDADES, PARA RELOCALIZACIÓN DE HOGARES LOCALIZADOS EN ZONAS DE ALTO RIESGO NO MITIGABLE ID:2015-OTR-01539, LOCALIDAD:18 RAFAEL URIBE URIBE, UPZ:55 DIANA TURBAY, SECTOR:CERROS DE ORIENTE</v>
          </cell>
          <cell r="R1783">
            <v>4795160</v>
          </cell>
          <cell r="S1783">
            <v>0</v>
          </cell>
          <cell r="T1783">
            <v>0</v>
          </cell>
          <cell r="U1783">
            <v>4795160</v>
          </cell>
          <cell r="V1783">
            <v>2877096</v>
          </cell>
        </row>
        <row r="1784">
          <cell r="J1784">
            <v>1153</v>
          </cell>
          <cell r="K1784">
            <v>43143</v>
          </cell>
          <cell r="L1784" t="str">
            <v>YENNY MARCELA MEDINA RODRIGUEZ</v>
          </cell>
          <cell r="M1784">
            <v>31</v>
          </cell>
          <cell r="N1784" t="str">
            <v>RESOLUCION</v>
          </cell>
          <cell r="O1784">
            <v>847</v>
          </cell>
          <cell r="P1784">
            <v>43143</v>
          </cell>
          <cell r="Q1784" t="str">
            <v>AYUDA TEMPORAL A LAS FAMILIAS DE VARIAS LOCALIDADES, PARA RELOCALIZACIÓN DE HOGARES LOCALIZADOS EN ZONAS DE ALTO RIESGO NO MITIGABLE ID:2016-08-14903, LOCALIDAD:08 KENNEDY, UPZ:82 PATIO BONITO, SECTOR:PALMITAS</v>
          </cell>
          <cell r="R1784">
            <v>7259136</v>
          </cell>
          <cell r="S1784">
            <v>0</v>
          </cell>
          <cell r="T1784">
            <v>0</v>
          </cell>
          <cell r="U1784">
            <v>7259136</v>
          </cell>
          <cell r="V1784">
            <v>4234496</v>
          </cell>
        </row>
        <row r="1785">
          <cell r="J1785">
            <v>1154</v>
          </cell>
          <cell r="K1785">
            <v>43143</v>
          </cell>
          <cell r="L1785" t="str">
            <v>HORTENCIA  NUÑEZ BARRERA</v>
          </cell>
          <cell r="M1785">
            <v>31</v>
          </cell>
          <cell r="N1785" t="str">
            <v>RESOLUCION</v>
          </cell>
          <cell r="O1785">
            <v>848</v>
          </cell>
          <cell r="P1785">
            <v>43143</v>
          </cell>
          <cell r="Q1785" t="str">
            <v>AYUDA TEMPORAL A LAS FAMILIAS DE VARIAS LOCALIDADES, PARA RELOCALIZACIÓN DE HOGARES LOCALIZADOS EN ZONAS DE ALTO RIESGO NO MITIGABLE ID:2014-Q21-00705, LOCALIDAD:04 SAN CRISTÓBAL, UPZ:51 LOS LIBERTADORES, SECTOR:QUEBRADA VEREJONES</v>
          </cell>
          <cell r="R1785">
            <v>5765760</v>
          </cell>
          <cell r="S1785">
            <v>0</v>
          </cell>
          <cell r="T1785">
            <v>0</v>
          </cell>
          <cell r="U1785">
            <v>5765760</v>
          </cell>
          <cell r="V1785">
            <v>3363360</v>
          </cell>
        </row>
        <row r="1786">
          <cell r="J1786">
            <v>1155</v>
          </cell>
          <cell r="K1786">
            <v>43143</v>
          </cell>
          <cell r="L1786" t="str">
            <v>ROSA MARIA CRUZ GUERRERO</v>
          </cell>
          <cell r="M1786">
            <v>31</v>
          </cell>
          <cell r="N1786" t="str">
            <v>RESOLUCION</v>
          </cell>
          <cell r="O1786">
            <v>849</v>
          </cell>
          <cell r="P1786">
            <v>43143</v>
          </cell>
          <cell r="Q1786" t="str">
            <v>AYUDA TEMPORAL A LAS FAMILIAS DE VARIAS LOCALIDADES, PARA RELOCALIZACIÓN DE HOGARES LOCALIZADOS EN ZONAS DE ALTO RIESGO NO MITIGABLE ID:2012-19-13938, LOCALIDAD:19 CIUDAD BOLÍVAR, UPZ:67 LUCERO, SECTOR:</v>
          </cell>
          <cell r="R1786">
            <v>5178771</v>
          </cell>
          <cell r="S1786">
            <v>0</v>
          </cell>
          <cell r="T1786">
            <v>0</v>
          </cell>
          <cell r="U1786">
            <v>5178771</v>
          </cell>
          <cell r="V1786">
            <v>2788569</v>
          </cell>
        </row>
        <row r="1787">
          <cell r="J1787">
            <v>1156</v>
          </cell>
          <cell r="K1787">
            <v>43143</v>
          </cell>
          <cell r="L1787" t="str">
            <v>SANDRA YANETH PADUA PULIDO</v>
          </cell>
          <cell r="M1787">
            <v>31</v>
          </cell>
          <cell r="N1787" t="str">
            <v>RESOLUCION</v>
          </cell>
          <cell r="O1787">
            <v>850</v>
          </cell>
          <cell r="P1787">
            <v>43143</v>
          </cell>
          <cell r="Q1787" t="str">
            <v>AYUDA TEMPORAL A LAS FAMILIAS DE VARIAS LOCALIDADES, PARA RELOCALIZACIÓN DE HOGARES LOCALIZADOS EN ZONAS DE ALTO RIESGO NO MITIGABLE ID:2011-4-12668, LOCALIDAD:04 SAN CRISTÓBAL, UPZ:32 SAN BLAS</v>
          </cell>
          <cell r="R1787">
            <v>5754190</v>
          </cell>
          <cell r="S1787">
            <v>0</v>
          </cell>
          <cell r="T1787">
            <v>0</v>
          </cell>
          <cell r="U1787">
            <v>5754190</v>
          </cell>
          <cell r="V1787">
            <v>3541040</v>
          </cell>
        </row>
        <row r="1788">
          <cell r="J1788">
            <v>1157</v>
          </cell>
          <cell r="K1788">
            <v>43143</v>
          </cell>
          <cell r="L1788" t="str">
            <v>JOHAM AYMER PERDIZ GUACORIZO</v>
          </cell>
          <cell r="M1788">
            <v>31</v>
          </cell>
          <cell r="N1788" t="str">
            <v>RESOLUCION</v>
          </cell>
          <cell r="O1788">
            <v>851</v>
          </cell>
          <cell r="P1788">
            <v>43143</v>
          </cell>
          <cell r="Q1788" t="str">
            <v>AYUDA TEMPORAL A LAS FAMILIAS DE VARIAS LOCALIDADES, PARA RELOCALIZACIÓN DE HOGARES LOCALIZADOS EN ZONAS DE ALTO RIESGO NO MITIGABLE ID:2014-W166-070, LOCALIDAD:19 CIUDAD BOLÍVAR, UPZ:68 EL TESORO, SECTOR:WOUNAAN</v>
          </cell>
          <cell r="R1788">
            <v>5285280</v>
          </cell>
          <cell r="S1788">
            <v>0</v>
          </cell>
          <cell r="T1788">
            <v>0</v>
          </cell>
          <cell r="U1788">
            <v>5285280</v>
          </cell>
          <cell r="V1788">
            <v>3252480</v>
          </cell>
        </row>
        <row r="1789">
          <cell r="J1789">
            <v>1158</v>
          </cell>
          <cell r="K1789">
            <v>43143</v>
          </cell>
          <cell r="L1789" t="str">
            <v>ANGELA JACKELINE ACOSTA RAMIREZ</v>
          </cell>
          <cell r="M1789">
            <v>31</v>
          </cell>
          <cell r="N1789" t="str">
            <v>RESOLUCION</v>
          </cell>
          <cell r="O1789">
            <v>852</v>
          </cell>
          <cell r="P1789">
            <v>43143</v>
          </cell>
          <cell r="Q1789" t="str">
            <v>AYUDA TEMPORAL A LAS FAMILIAS DE VARIAS LOCALIDADES, PARA RELOCALIZACIÓN DE HOGARES LOCALIZADOS EN ZONAS DE ALTO RIESGO NO MITIGABLE ID:2013-Q09-00118, LOCALIDAD:04 SAN CRISTÓBAL, UPZ:51 LOS LIBERTADORES, SECTOR:QUEBRADA VEREJONES</v>
          </cell>
          <cell r="R1789">
            <v>4136000</v>
          </cell>
          <cell r="S1789">
            <v>0</v>
          </cell>
          <cell r="T1789">
            <v>0</v>
          </cell>
          <cell r="U1789">
            <v>4136000</v>
          </cell>
          <cell r="V1789">
            <v>3619000</v>
          </cell>
        </row>
        <row r="1790">
          <cell r="J1790">
            <v>1159</v>
          </cell>
          <cell r="K1790">
            <v>43143</v>
          </cell>
          <cell r="L1790" t="str">
            <v>YEIN  REY GUERRERO</v>
          </cell>
          <cell r="M1790">
            <v>31</v>
          </cell>
          <cell r="N1790" t="str">
            <v>RESOLUCION</v>
          </cell>
          <cell r="O1790">
            <v>853</v>
          </cell>
          <cell r="P1790">
            <v>43143</v>
          </cell>
          <cell r="Q1790" t="str">
            <v>AYUDA TEMPORAL A LAS FAMILIAS DE VARIAS LOCALIDADES, PARA RELOCALIZACIÓN DE HOGARES LOCALIZADOS EN ZONAS DE ALTO RIESGO NO MITIGABLE ID:2015-W166-301, LOCALIDAD:03 SANTA FE, UPZ:95 LAS CRUCES, SECTOR:UITOTO</v>
          </cell>
          <cell r="R1790">
            <v>7702552</v>
          </cell>
          <cell r="S1790">
            <v>0</v>
          </cell>
          <cell r="T1790">
            <v>0</v>
          </cell>
          <cell r="U1790">
            <v>7702552</v>
          </cell>
          <cell r="V1790">
            <v>4740032</v>
          </cell>
        </row>
        <row r="1791">
          <cell r="J1791">
            <v>1160</v>
          </cell>
          <cell r="K1791">
            <v>43143</v>
          </cell>
          <cell r="L1791" t="str">
            <v>NANCY MIREYA MOLINA CALVO</v>
          </cell>
          <cell r="M1791">
            <v>31</v>
          </cell>
          <cell r="N1791" t="str">
            <v>RESOLUCION</v>
          </cell>
          <cell r="O1791">
            <v>854</v>
          </cell>
          <cell r="P1791">
            <v>43143</v>
          </cell>
          <cell r="Q1791" t="str">
            <v>AYUDA TEMPORAL A LAS FAMILIAS DE VARIAS LOCALIDADES, PARA RELOCALIZACIÓN DE HOGARES LOCALIZADOS EN ZONAS DE ALTO RIESGO NO MITIGABLE ID:2016-08-14870, LOCALIDAD:08 KENNEDY, UPZ:82 PATIO BONITO, SECTOR:PALMITAS</v>
          </cell>
          <cell r="R1791">
            <v>6618756</v>
          </cell>
          <cell r="S1791">
            <v>0</v>
          </cell>
          <cell r="T1791">
            <v>0</v>
          </cell>
          <cell r="U1791">
            <v>6618756</v>
          </cell>
          <cell r="V1791">
            <v>3860941</v>
          </cell>
        </row>
        <row r="1792">
          <cell r="J1792">
            <v>1161</v>
          </cell>
          <cell r="K1792">
            <v>43143</v>
          </cell>
          <cell r="L1792" t="str">
            <v>VICTOR ALFONSO QUIROGA</v>
          </cell>
          <cell r="M1792">
            <v>31</v>
          </cell>
          <cell r="N1792" t="str">
            <v>RESOLUCION</v>
          </cell>
          <cell r="O1792">
            <v>855</v>
          </cell>
          <cell r="P1792">
            <v>43143</v>
          </cell>
          <cell r="Q1792" t="str">
            <v>AYUDA TEMPORAL A LAS FAMILIAS DE VARIAS LOCALIDADES, PARA RELOCALIZACIÓN DE HOGARES LOCALIZADOS EN ZONAS DE ALTO RIESGO NO MITIGABLE ID:2016-08-14775, LOCALIDAD:08 KENNEDY, UPZ:82 PATIO BONITO, SECTOR:PALMITAS</v>
          </cell>
          <cell r="R1792">
            <v>5466487</v>
          </cell>
          <cell r="S1792">
            <v>0</v>
          </cell>
          <cell r="T1792">
            <v>0</v>
          </cell>
          <cell r="U1792">
            <v>5466487</v>
          </cell>
          <cell r="V1792">
            <v>3363992</v>
          </cell>
        </row>
        <row r="1793">
          <cell r="J1793">
            <v>1162</v>
          </cell>
          <cell r="K1793">
            <v>43143</v>
          </cell>
          <cell r="L1793" t="str">
            <v>YEIMY MAVEL SANABRIA PAEZ</v>
          </cell>
          <cell r="M1793">
            <v>31</v>
          </cell>
          <cell r="N1793" t="str">
            <v>RESOLUCION</v>
          </cell>
          <cell r="O1793">
            <v>856</v>
          </cell>
          <cell r="P1793">
            <v>43143</v>
          </cell>
          <cell r="Q1793" t="str">
            <v>AYUDA TEMPORAL A LAS FAMILIAS DE VARIAS LOCALIDADES, PARA RELOCALIZACIÓN DE HOGARES LOCALIZADOS EN ZONAS DE ALTO RIESGO NO MITIGABLE ID:2011-19-12544, LOCALIDAD:19 CIUDAD BOLÍVAR, UPZ:69 ISMAEL PERDOMO, SECTOR:OLA INVERNAL 2010 FOPAE</v>
          </cell>
          <cell r="R1793">
            <v>2213148</v>
          </cell>
          <cell r="S1793">
            <v>1844290</v>
          </cell>
          <cell r="T1793">
            <v>0</v>
          </cell>
          <cell r="U1793">
            <v>368858</v>
          </cell>
          <cell r="V1793">
            <v>368858</v>
          </cell>
        </row>
        <row r="1794">
          <cell r="J1794">
            <v>1163</v>
          </cell>
          <cell r="K1794">
            <v>43143</v>
          </cell>
          <cell r="L1794" t="str">
            <v>JHONNY RAMON PEREA MURILLO</v>
          </cell>
          <cell r="M1794">
            <v>31</v>
          </cell>
          <cell r="N1794" t="str">
            <v>RESOLUCION</v>
          </cell>
          <cell r="O1794">
            <v>857</v>
          </cell>
          <cell r="P1794">
            <v>43143</v>
          </cell>
          <cell r="Q1794" t="str">
            <v>AYUDA TEMPORAL A LAS FAMILIAS DE VARIAS LOCALIDADES, PARA RELOCALIZACIÓN DE HOGARES LOCALIZADOS EN ZONAS DE ALTO RIESGO NO MITIGABLE ID:2012-18-14312, LOCALIDAD:18 RAFAEL URIBE URIBE, UPZ:55 DIANA TURBAY</v>
          </cell>
          <cell r="R1794">
            <v>4426296</v>
          </cell>
          <cell r="S1794">
            <v>0</v>
          </cell>
          <cell r="T1794">
            <v>0</v>
          </cell>
          <cell r="U1794">
            <v>4426296</v>
          </cell>
          <cell r="V1794">
            <v>2582006</v>
          </cell>
        </row>
        <row r="1795">
          <cell r="J1795">
            <v>1164</v>
          </cell>
          <cell r="K1795">
            <v>43143</v>
          </cell>
          <cell r="L1795" t="str">
            <v>VIRGINIA  JEREZ CASTRO</v>
          </cell>
          <cell r="M1795">
            <v>31</v>
          </cell>
          <cell r="N1795" t="str">
            <v>RESOLUCION</v>
          </cell>
          <cell r="O1795">
            <v>777</v>
          </cell>
          <cell r="P1795">
            <v>43143</v>
          </cell>
          <cell r="Q1795" t="str">
            <v>AYUDA TEMPORAL A LAS FAMILIAS DE VARIAS LOCALIDADES, PARA RELOCALIZACIÓN DE HOGARES LOCALIZADOS EN ZONAS DE ALTO RIESGO NO MITIGABLE ID:2011-4-12672, LOCALIDAD:04 SAN CRISTÓBAL, UPZ:32 SAN BLAS,</v>
          </cell>
          <cell r="R1795">
            <v>5490900</v>
          </cell>
          <cell r="S1795">
            <v>0</v>
          </cell>
          <cell r="T1795">
            <v>0</v>
          </cell>
          <cell r="U1795">
            <v>5490900</v>
          </cell>
          <cell r="V1795">
            <v>2287875</v>
          </cell>
        </row>
        <row r="1796">
          <cell r="J1796">
            <v>1165</v>
          </cell>
          <cell r="K1796">
            <v>43143</v>
          </cell>
          <cell r="L1796" t="str">
            <v>ANDREA MILENA PRIETO</v>
          </cell>
          <cell r="M1796">
            <v>31</v>
          </cell>
          <cell r="N1796" t="str">
            <v>RESOLUCION</v>
          </cell>
          <cell r="O1796">
            <v>858</v>
          </cell>
          <cell r="P1796">
            <v>43143</v>
          </cell>
          <cell r="Q1796" t="str">
            <v>AYUDA TEMPORAL A LAS FAMILIAS DE VARIAS LOCALIDADES, PARA RELOCALIZACIÓN DE HOGARES LOCALIZADOS EN ZONAS DE ALTO RIESGO NO MITIGABLE ID:2013-Q10-00207, LOCALIDAD:19 CIUDAD BOLÍVAR, UPZ:67 LUCERO, SECTOR:PEÑA COLORADA</v>
          </cell>
          <cell r="R1796">
            <v>2882880</v>
          </cell>
          <cell r="S1796">
            <v>480480</v>
          </cell>
          <cell r="T1796">
            <v>0</v>
          </cell>
          <cell r="U1796">
            <v>2402400</v>
          </cell>
          <cell r="V1796">
            <v>2402400</v>
          </cell>
        </row>
        <row r="1797">
          <cell r="J1797">
            <v>1166</v>
          </cell>
          <cell r="K1797">
            <v>43143</v>
          </cell>
          <cell r="L1797" t="str">
            <v>CAROLINA  RUBIO MANCIPE</v>
          </cell>
          <cell r="M1797">
            <v>31</v>
          </cell>
          <cell r="N1797" t="str">
            <v>RESOLUCION</v>
          </cell>
          <cell r="O1797">
            <v>859</v>
          </cell>
          <cell r="P1797">
            <v>43143</v>
          </cell>
          <cell r="Q1797" t="str">
            <v>AYUDA TEMPORAL A LAS FAMILIAS DE VARIAS LOCALIDADES, PARA RELOCALIZACIÓN DE HOGARES LOCALIZADOS EN ZONAS DE ALTO RIESGO NO MITIGABLE ID:2015-19-14752, LOCALIDAD:19 CIUDAD BOLÍVAR, UPZ:67 LUCERO</v>
          </cell>
          <cell r="R1797">
            <v>6163755</v>
          </cell>
          <cell r="S1797">
            <v>0</v>
          </cell>
          <cell r="T1797">
            <v>0</v>
          </cell>
          <cell r="U1797">
            <v>6163755</v>
          </cell>
          <cell r="V1797">
            <v>3793080</v>
          </cell>
        </row>
        <row r="1798">
          <cell r="J1798">
            <v>1167</v>
          </cell>
          <cell r="K1798">
            <v>43143</v>
          </cell>
          <cell r="L1798" t="str">
            <v>YOLANDA  MANCIPE GIRALDO</v>
          </cell>
          <cell r="M1798">
            <v>31</v>
          </cell>
          <cell r="N1798" t="str">
            <v>RESOLUCION</v>
          </cell>
          <cell r="O1798">
            <v>884</v>
          </cell>
          <cell r="P1798">
            <v>43143</v>
          </cell>
          <cell r="Q1798" t="str">
            <v>AYUDA TEMPORAL A LAS FAMILIAS DE VARIAS LOCALIDADES, PARA RELOCALIZACIÓN DE HOGARES LOCALIZADOS EN ZONAS DE ALTO RIESGO NO MITIGABLE ID:2012-19-13845, LOCALIDAD:19 CIUDAD BOLÍVAR, UPZ:67 LUCERO</v>
          </cell>
          <cell r="R1798">
            <v>2899710</v>
          </cell>
          <cell r="S1798">
            <v>483285</v>
          </cell>
          <cell r="T1798">
            <v>0</v>
          </cell>
          <cell r="U1798">
            <v>2416425</v>
          </cell>
          <cell r="V1798">
            <v>2416425</v>
          </cell>
        </row>
        <row r="1799">
          <cell r="J1799">
            <v>1168</v>
          </cell>
          <cell r="K1799">
            <v>43143</v>
          </cell>
          <cell r="L1799" t="str">
            <v>SIXTA ROGELIA PINILLA DE RODRIGUEZ</v>
          </cell>
          <cell r="M1799">
            <v>31</v>
          </cell>
          <cell r="N1799" t="str">
            <v>RESOLUCION</v>
          </cell>
          <cell r="O1799">
            <v>860</v>
          </cell>
          <cell r="P1799">
            <v>43143</v>
          </cell>
          <cell r="Q1799" t="str">
            <v>AYUDA TEMPORAL A LAS FAMILIAS DE VARIAS LOCALIDADES, PARA RELOCALIZACIÓN DE HOGARES LOCALIZADOS EN ZONAS DE ALTO RIESGO NO MITIGABLE ID:2006-19-8097, LOCALIDAD:19 CIUDAD BOLÍVAR, UPZ:67 LUCERO, SECTOR:LIMAS</v>
          </cell>
          <cell r="R1799">
            <v>2860710</v>
          </cell>
          <cell r="S1799">
            <v>476785</v>
          </cell>
          <cell r="T1799">
            <v>0</v>
          </cell>
          <cell r="U1799">
            <v>2383925</v>
          </cell>
          <cell r="V1799">
            <v>2383925</v>
          </cell>
        </row>
        <row r="1800">
          <cell r="J1800">
            <v>1169</v>
          </cell>
          <cell r="K1800">
            <v>43143</v>
          </cell>
          <cell r="L1800" t="str">
            <v>VIVIANA GERALDINE GARZON VARGAS</v>
          </cell>
          <cell r="M1800">
            <v>31</v>
          </cell>
          <cell r="N1800" t="str">
            <v>RESOLUCION</v>
          </cell>
          <cell r="O1800">
            <v>861</v>
          </cell>
          <cell r="P1800">
            <v>43143</v>
          </cell>
          <cell r="Q1800" t="str">
            <v>AYUDA TEMPORAL A LAS FAMILIAS DE VARIAS LOCALIDADES, PARA RELOCALIZACIÓN DE HOGARES LOCALIZADOS EN ZONAS DE ALTO RIESGO NO MITIGABLE ID:2016-OTR-01553, LOCALIDAD:04 SAN CRISTÓBAL, UPZ:32 SAN BLAS, SECTOR:TRIANGULO ALTO</v>
          </cell>
          <cell r="R1800">
            <v>6274047</v>
          </cell>
          <cell r="S1800">
            <v>0</v>
          </cell>
          <cell r="T1800">
            <v>0</v>
          </cell>
          <cell r="U1800">
            <v>6274047</v>
          </cell>
          <cell r="V1800">
            <v>3860952</v>
          </cell>
        </row>
        <row r="1801">
          <cell r="J1801">
            <v>1170</v>
          </cell>
          <cell r="K1801">
            <v>43143</v>
          </cell>
          <cell r="L1801" t="str">
            <v>GUMERCINDO  HERNANDEZ QUINTERO</v>
          </cell>
          <cell r="M1801">
            <v>31</v>
          </cell>
          <cell r="N1801" t="str">
            <v>RESOLUCION</v>
          </cell>
          <cell r="O1801">
            <v>778</v>
          </cell>
          <cell r="P1801">
            <v>43143</v>
          </cell>
          <cell r="Q1801" t="str">
            <v>AYUDA TEMPORAL A LAS FAMILIAS DE VARIAS LOCALIDADES, PARA RELOCALIZACIÓN DE HOGARES LOCALIZADOS EN ZONAS DE ALTO RIESGO NO MITIGABLE ID:2016-08-14889, LOCALIDAD:08 KENNEDY, UPZ:82 PATIO BONITO, SECTOR:PALMITAS</v>
          </cell>
          <cell r="R1801">
            <v>3356612</v>
          </cell>
          <cell r="S1801">
            <v>479516</v>
          </cell>
          <cell r="T1801">
            <v>0</v>
          </cell>
          <cell r="U1801">
            <v>2877096</v>
          </cell>
          <cell r="V1801">
            <v>2877096</v>
          </cell>
        </row>
        <row r="1802">
          <cell r="J1802">
            <v>1171</v>
          </cell>
          <cell r="K1802">
            <v>43143</v>
          </cell>
          <cell r="L1802" t="str">
            <v>MARLENE  MEDINA RODRIGUEZ</v>
          </cell>
          <cell r="M1802">
            <v>31</v>
          </cell>
          <cell r="N1802" t="str">
            <v>RESOLUCION</v>
          </cell>
          <cell r="O1802">
            <v>862</v>
          </cell>
          <cell r="P1802">
            <v>43143</v>
          </cell>
          <cell r="Q1802" t="str">
            <v>AYUDA TEMPORAL A LAS FAMILIAS DE VARIAS LOCALIDADES, PARA RELOCALIZACIÓN DE HOGARES LOCALIZADOS EN ZONAS DE ALTO RIESGO NO MITIGABLE ID:2017-04-14981, LOCALIDAD:04 SAN CRISTÓBAL, UPZ:50 LA GLORIA</v>
          </cell>
          <cell r="R1802">
            <v>7672262</v>
          </cell>
          <cell r="S1802">
            <v>0</v>
          </cell>
          <cell r="T1802">
            <v>0</v>
          </cell>
          <cell r="U1802">
            <v>7672262</v>
          </cell>
          <cell r="V1802">
            <v>4721392</v>
          </cell>
        </row>
        <row r="1803">
          <cell r="J1803">
            <v>1172</v>
          </cell>
          <cell r="K1803">
            <v>43143</v>
          </cell>
          <cell r="L1803" t="str">
            <v>HECTOR  CIFUENTES</v>
          </cell>
          <cell r="M1803">
            <v>31</v>
          </cell>
          <cell r="N1803" t="str">
            <v>RESOLUCION</v>
          </cell>
          <cell r="O1803">
            <v>885</v>
          </cell>
          <cell r="P1803">
            <v>43143</v>
          </cell>
          <cell r="Q1803" t="str">
            <v>AYUDA TEMPORAL A LAS FAMILIAS DE VARIAS LOCALIDADES, PARA RELOCALIZACIÓN DE HOGARES LOCALIZADOS EN ZONAS DE ALTO RIESGO NO MITIGABLE ID:2012-19-13865, LOCALIDAD:19 CIUDAD BOLÍVAR, UPZ:67 LUCERO</v>
          </cell>
          <cell r="R1803">
            <v>2442336</v>
          </cell>
          <cell r="S1803">
            <v>407056</v>
          </cell>
          <cell r="T1803">
            <v>0</v>
          </cell>
          <cell r="U1803">
            <v>2035280</v>
          </cell>
          <cell r="V1803">
            <v>2035280</v>
          </cell>
        </row>
        <row r="1804">
          <cell r="J1804">
            <v>1173</v>
          </cell>
          <cell r="K1804">
            <v>43143</v>
          </cell>
          <cell r="L1804" t="str">
            <v>MARIA LUZ MERNI USECHE</v>
          </cell>
          <cell r="M1804">
            <v>31</v>
          </cell>
          <cell r="N1804" t="str">
            <v>RESOLUCION</v>
          </cell>
          <cell r="O1804">
            <v>863</v>
          </cell>
          <cell r="P1804">
            <v>43143</v>
          </cell>
          <cell r="Q1804" t="str">
            <v>AYUDA TEMPORAL A LAS FAMILIAS DE VARIAS LOCALIDADES, PARA RELOCALIZACIÓN DE HOGARES LOCALIZADOS EN ZONAS DE ALTO RIESGO NO MITIGABLE ID:2012-19-13969, LOCALIDAD:19 CIUDAD BOLÍVAR, UPZ:68 EL TESORO</v>
          </cell>
          <cell r="R1804">
            <v>6030557</v>
          </cell>
          <cell r="S1804">
            <v>0</v>
          </cell>
          <cell r="T1804">
            <v>0</v>
          </cell>
          <cell r="U1804">
            <v>6030557</v>
          </cell>
          <cell r="V1804">
            <v>3711112</v>
          </cell>
        </row>
        <row r="1805">
          <cell r="J1805">
            <v>1174</v>
          </cell>
          <cell r="K1805">
            <v>43143</v>
          </cell>
          <cell r="L1805" t="str">
            <v>MARIBEL  PARRADO CABEZAS</v>
          </cell>
          <cell r="M1805">
            <v>31</v>
          </cell>
          <cell r="N1805" t="str">
            <v>RESOLUCION</v>
          </cell>
          <cell r="O1805">
            <v>886</v>
          </cell>
          <cell r="P1805">
            <v>43143</v>
          </cell>
          <cell r="Q1805" t="str">
            <v>AYUDA TEMPORAL A LAS FAMILIAS DE VARIAS LOCALIDADES, PARA RELOCALIZACIÓN DE HOGARES LOCALIZADOS EN ZONAS DE ALTO RIESGO NO MITIGABLE ID:2011-19-13515, LOCALIDAD:19 CIUDAD BOLÍVAR, UPZ:68 EL TESORO.</v>
          </cell>
          <cell r="R1805">
            <v>2439360</v>
          </cell>
          <cell r="S1805">
            <v>406560</v>
          </cell>
          <cell r="T1805">
            <v>0</v>
          </cell>
          <cell r="U1805">
            <v>2032800</v>
          </cell>
          <cell r="V1805">
            <v>2032800</v>
          </cell>
        </row>
        <row r="1806">
          <cell r="J1806">
            <v>1175</v>
          </cell>
          <cell r="K1806">
            <v>43143</v>
          </cell>
          <cell r="L1806" t="str">
            <v>MILEIDY  MALAGON RINCON</v>
          </cell>
          <cell r="M1806">
            <v>31</v>
          </cell>
          <cell r="N1806" t="str">
            <v>RESOLUCION</v>
          </cell>
          <cell r="O1806">
            <v>779</v>
          </cell>
          <cell r="P1806">
            <v>43143</v>
          </cell>
          <cell r="Q1806" t="str">
            <v>AYUDA TEMPORAL A LAS FAMILIAS DE VARIAS LOCALIDADES, PARA RELOCALIZACIÓN DE HOGARES LOCALIZADOS EN ZONAS DE ALTO RIESGO NO MITIGABLE ID:2016-08-14771, LOCALIDAD:08 KENNEDY, UPZ:82 PATIO BONITO, SECTOR:PALMITAS</v>
          </cell>
          <cell r="R1806">
            <v>3098412</v>
          </cell>
          <cell r="S1806">
            <v>516402</v>
          </cell>
          <cell r="T1806">
            <v>0</v>
          </cell>
          <cell r="U1806">
            <v>2582010</v>
          </cell>
          <cell r="V1806">
            <v>2582010</v>
          </cell>
        </row>
        <row r="1807">
          <cell r="J1807">
            <v>1176</v>
          </cell>
          <cell r="K1807">
            <v>43143</v>
          </cell>
          <cell r="L1807" t="str">
            <v>YEISON ESNEIDER RONCANCIO BUITRAGO</v>
          </cell>
          <cell r="M1807">
            <v>31</v>
          </cell>
          <cell r="N1807" t="str">
            <v>RESOLUCION</v>
          </cell>
          <cell r="O1807">
            <v>864</v>
          </cell>
          <cell r="P1807">
            <v>43143</v>
          </cell>
          <cell r="Q1807" t="str">
            <v>AYUDA TEMPORAL A LAS FAMILIAS DE VARIAS LOCALIDADES, PARA RELOCALIZACIÓN DE HOGARES LOCALIZADOS EN ZONAS DE ALTO RIESGO NO MITIGABLE ID:2016-08-14793, LOCALIDAD:08 KENNEDY, UPZ:82 PATIO BONITO, SECTOR:PALMITAS</v>
          </cell>
          <cell r="R1807">
            <v>3614814</v>
          </cell>
          <cell r="S1807">
            <v>516402</v>
          </cell>
          <cell r="T1807">
            <v>0</v>
          </cell>
          <cell r="U1807">
            <v>3098412</v>
          </cell>
          <cell r="V1807">
            <v>3098412</v>
          </cell>
        </row>
        <row r="1808">
          <cell r="J1808">
            <v>1177</v>
          </cell>
          <cell r="K1808">
            <v>43143</v>
          </cell>
          <cell r="L1808" t="str">
            <v>JORGE ENRIQUE CORTES</v>
          </cell>
          <cell r="M1808">
            <v>31</v>
          </cell>
          <cell r="N1808" t="str">
            <v>RESOLUCION</v>
          </cell>
          <cell r="O1808">
            <v>887</v>
          </cell>
          <cell r="P1808">
            <v>43143</v>
          </cell>
          <cell r="Q1808" t="str">
            <v>AYUDA TEMPORAL A LAS FAMILIAS DE VARIAS LOCALIDADES, PARA RELOCALIZACIÓN DE HOGARES LOCALIZADOS EN ZONAS DE ALTO RIESGO NO MITIGABLE ID:2010-19-11684, LOCALIDAD:19 CIUDAD BOLÍVAR, UPZ:69 ISMAEL PERDOMO, SECTOR:OLA INVERNAL 2010 FOPAE</v>
          </cell>
          <cell r="R1808">
            <v>2213148</v>
          </cell>
          <cell r="S1808">
            <v>0</v>
          </cell>
          <cell r="T1808">
            <v>0</v>
          </cell>
          <cell r="U1808">
            <v>2213148</v>
          </cell>
          <cell r="V1808">
            <v>737716</v>
          </cell>
        </row>
        <row r="1809">
          <cell r="J1809">
            <v>1178</v>
          </cell>
          <cell r="K1809">
            <v>43143</v>
          </cell>
          <cell r="L1809" t="str">
            <v>JOSE NELSON BOCANEGRA SILVA</v>
          </cell>
          <cell r="M1809">
            <v>31</v>
          </cell>
          <cell r="N1809" t="str">
            <v>RESOLUCION</v>
          </cell>
          <cell r="O1809">
            <v>865</v>
          </cell>
          <cell r="P1809">
            <v>43143</v>
          </cell>
          <cell r="Q1809" t="str">
            <v>AYUDA TEMPORAL A LAS FAMILIAS DE VARIAS LOCALIDADES, PARA RELOCALIZACIÓN DE HOGARES LOCALIZADOS EN ZONAS DE ALTO RIESGO NO MITIGABLE ID:2011-4-12633, LOCALIDAD:04 SAN CRISTÓBAL, UPZ:32 SAN BLAS</v>
          </cell>
          <cell r="R1809">
            <v>2668074</v>
          </cell>
          <cell r="S1809">
            <v>444679</v>
          </cell>
          <cell r="T1809">
            <v>0</v>
          </cell>
          <cell r="U1809">
            <v>2223395</v>
          </cell>
          <cell r="V1809">
            <v>2223395</v>
          </cell>
        </row>
        <row r="1810">
          <cell r="J1810">
            <v>1179</v>
          </cell>
          <cell r="K1810">
            <v>43143</v>
          </cell>
          <cell r="L1810" t="str">
            <v>FAYSULI  RIVERA RIVERA</v>
          </cell>
          <cell r="M1810">
            <v>31</v>
          </cell>
          <cell r="N1810" t="str">
            <v>RESOLUCION</v>
          </cell>
          <cell r="O1810">
            <v>780</v>
          </cell>
          <cell r="P1810">
            <v>43143</v>
          </cell>
          <cell r="Q1810" t="str">
            <v>AYUDA TEMPORAL A LAS FAMILIAS DE VARIAS LOCALIDADES, PARA RELOCALIZACIÓN DE HOGARES LOCALIZADOS EN ZONAS DE ALTO RIESGO NO MITIGABLE ID:2016-08-14880, LOCALIDAD:08 KENNEDY, UPZ:82 PATIO BONITO, SECTOR:PALMITAS</v>
          </cell>
          <cell r="R1810">
            <v>3233538</v>
          </cell>
          <cell r="S1810">
            <v>461934</v>
          </cell>
          <cell r="T1810">
            <v>0</v>
          </cell>
          <cell r="U1810">
            <v>2771604</v>
          </cell>
          <cell r="V1810">
            <v>2771604</v>
          </cell>
        </row>
        <row r="1811">
          <cell r="J1811">
            <v>1180</v>
          </cell>
          <cell r="K1811">
            <v>43143</v>
          </cell>
          <cell r="L1811" t="str">
            <v>ORLANDO  AGUIRRE GARCIA</v>
          </cell>
          <cell r="M1811">
            <v>31</v>
          </cell>
          <cell r="N1811" t="str">
            <v>RESOLUCION</v>
          </cell>
          <cell r="O1811">
            <v>866</v>
          </cell>
          <cell r="P1811">
            <v>43143</v>
          </cell>
          <cell r="Q1811" t="str">
            <v>AYUDA TEMPORAL A LAS FAMILIAS DE VARIAS LOCALIDADES, PARA RELOCALIZACIÓN DE HOGARES LOCALIZADOS EN ZONAS DE ALTO RIESGO NO MITIGABLE ID:2012-T314-20, LOCALIDAD:04 SAN CRISTÓBAL, UPZ:50 LA GLORIA</v>
          </cell>
          <cell r="R1811">
            <v>2522994</v>
          </cell>
          <cell r="S1811">
            <v>420499</v>
          </cell>
          <cell r="T1811">
            <v>0</v>
          </cell>
          <cell r="U1811">
            <v>2102495</v>
          </cell>
          <cell r="V1811">
            <v>2102495</v>
          </cell>
        </row>
        <row r="1812">
          <cell r="J1812">
            <v>1181</v>
          </cell>
          <cell r="K1812">
            <v>43143</v>
          </cell>
          <cell r="L1812" t="str">
            <v>YANETH  QUIÑONES PRIETO</v>
          </cell>
          <cell r="M1812">
            <v>31</v>
          </cell>
          <cell r="N1812" t="str">
            <v>RESOLUCION</v>
          </cell>
          <cell r="O1812">
            <v>888</v>
          </cell>
          <cell r="P1812">
            <v>43143</v>
          </cell>
          <cell r="Q1812" t="str">
            <v>AYUDA TEMPORAL A LAS FAMILIAS DE VARIAS LOCALIDADES, PARA RELOCALIZACIÓN DE HOGARES LOCALIZADOS EN ZONAS DE ALTO RIESGO NO MITIGABLE ID:2012-ALES-223, LOCALIDAD:19 CIUDAD BOLÍVAR, UPZ:69 ISMAEL PERDOMO</v>
          </cell>
          <cell r="R1812">
            <v>2586000</v>
          </cell>
          <cell r="S1812">
            <v>431000</v>
          </cell>
          <cell r="T1812">
            <v>0</v>
          </cell>
          <cell r="U1812">
            <v>2155000</v>
          </cell>
          <cell r="V1812">
            <v>2155000</v>
          </cell>
        </row>
        <row r="1813">
          <cell r="J1813">
            <v>1182</v>
          </cell>
          <cell r="K1813">
            <v>43143</v>
          </cell>
          <cell r="L1813" t="str">
            <v>MARIA BELLANITH MAYOR PEDRAZA</v>
          </cell>
          <cell r="M1813">
            <v>31</v>
          </cell>
          <cell r="N1813" t="str">
            <v>RESOLUCION</v>
          </cell>
          <cell r="O1813">
            <v>867</v>
          </cell>
          <cell r="P1813">
            <v>43143</v>
          </cell>
          <cell r="Q1813" t="str">
            <v>AYUDA TEMPORAL A LAS FAMILIAS DE VARIAS LOCALIDADES, PARA RELOCALIZACIÓN DE HOGARES LOCALIZADOS EN ZONAS DE ALTO RIESGO NO MITIGABLE ID:2011-4-12688, LOCALIDAD:04 SAN CRISTÓBAL, UPZ:32 SAN BLAS</v>
          </cell>
          <cell r="R1813">
            <v>2965620</v>
          </cell>
          <cell r="S1813">
            <v>494270</v>
          </cell>
          <cell r="T1813">
            <v>0</v>
          </cell>
          <cell r="U1813">
            <v>2471350</v>
          </cell>
          <cell r="V1813">
            <v>2471350</v>
          </cell>
        </row>
        <row r="1814">
          <cell r="J1814">
            <v>1183</v>
          </cell>
          <cell r="K1814">
            <v>43143</v>
          </cell>
          <cell r="L1814" t="str">
            <v>LADY ALEJANDRA BULLA MARTINEZ</v>
          </cell>
          <cell r="M1814">
            <v>31</v>
          </cell>
          <cell r="N1814" t="str">
            <v>RESOLUCION</v>
          </cell>
          <cell r="O1814">
            <v>781</v>
          </cell>
          <cell r="P1814">
            <v>43143</v>
          </cell>
          <cell r="Q1814" t="str">
            <v>AYUDA TEMPORAL A LAS FAMILIAS DE VARIAS LOCALIDADES, PARA RELOCALIZACIÓN DE HOGARES LOCALIZADOS EN ZONAS DE ALTO RIESGO NO MITIGABLE ID:2014-OTR-00985, LOCALIDAD:03 SANTA FE, UPZ:96 LOURDES, SECTOR:CASA 1</v>
          </cell>
          <cell r="R1814">
            <v>3098410</v>
          </cell>
          <cell r="S1814">
            <v>442630</v>
          </cell>
          <cell r="T1814">
            <v>0</v>
          </cell>
          <cell r="U1814">
            <v>2655780</v>
          </cell>
          <cell r="V1814">
            <v>2655780</v>
          </cell>
        </row>
        <row r="1815">
          <cell r="J1815">
            <v>1184</v>
          </cell>
          <cell r="K1815">
            <v>43143</v>
          </cell>
          <cell r="L1815" t="str">
            <v>JENNY MARITZA JAJOY JANSASOY</v>
          </cell>
          <cell r="M1815">
            <v>31</v>
          </cell>
          <cell r="N1815" t="str">
            <v>RESOLUCION</v>
          </cell>
          <cell r="O1815">
            <v>889</v>
          </cell>
          <cell r="P1815">
            <v>43143</v>
          </cell>
          <cell r="Q1815" t="str">
            <v>AYUDA TEMPORAL A LAS FAMILIAS DE VARIAS LOCALIDADES, PARA RELOCALIZACIÓN DE HOGARES LOCALIZADOS EN ZONAS DE ALTO RIESGO NO MITIGABLE ID:2014-C01-00689, LOCALIDAD:19 CIUDAD BOLÍVAR, UPZ:68 EL TESORO.</v>
          </cell>
          <cell r="R1815">
            <v>2402505</v>
          </cell>
          <cell r="S1815">
            <v>480501</v>
          </cell>
          <cell r="T1815">
            <v>0</v>
          </cell>
          <cell r="U1815">
            <v>1922004</v>
          </cell>
          <cell r="V1815">
            <v>1922004</v>
          </cell>
        </row>
        <row r="1816">
          <cell r="J1816">
            <v>1185</v>
          </cell>
          <cell r="K1816">
            <v>43143</v>
          </cell>
          <cell r="L1816" t="str">
            <v>VICTOR ANTONIO RIVERO SEVILLA</v>
          </cell>
          <cell r="M1816">
            <v>31</v>
          </cell>
          <cell r="N1816" t="str">
            <v>RESOLUCION</v>
          </cell>
          <cell r="O1816">
            <v>868</v>
          </cell>
          <cell r="P1816">
            <v>43143</v>
          </cell>
          <cell r="Q1816" t="str">
            <v>AYUDA TEMPORAL A LAS FAMILIAS DE VARIAS LOCALIDADES, PARA RELOCALIZACIÓN DE HOGARES LOCALIZADOS EN ZONAS DE ALTO RIESGO NO MITIGABLE ID:2011-4-12657, LOCALIDAD:04 SAN CRISTÓBAL, UPZ:32 SAN BLAS</v>
          </cell>
          <cell r="R1816">
            <v>2886588</v>
          </cell>
          <cell r="S1816">
            <v>481098</v>
          </cell>
          <cell r="T1816">
            <v>0</v>
          </cell>
          <cell r="U1816">
            <v>2405490</v>
          </cell>
          <cell r="V1816">
            <v>2405490</v>
          </cell>
        </row>
        <row r="1817">
          <cell r="J1817">
            <v>1186</v>
          </cell>
          <cell r="K1817">
            <v>43143</v>
          </cell>
          <cell r="L1817" t="str">
            <v>LUIS ALBERTO MIRANDA MORELO</v>
          </cell>
          <cell r="M1817">
            <v>31</v>
          </cell>
          <cell r="N1817" t="str">
            <v>RESOLUCION</v>
          </cell>
          <cell r="O1817">
            <v>869</v>
          </cell>
          <cell r="P1817">
            <v>43143</v>
          </cell>
          <cell r="Q1817" t="str">
            <v>AYUDA TEMPORAL A LAS FAMILIAS DE VARIAS LOCALIDADES, PARA RELOCALIZACIÓN DE HOGARES LOCALIZADOS EN ZONAS DE ALTO RIESGO NO MITIGABLE ID:2012-T314-08, LOCALIDAD:04 SAN CRISTÓBAL, UPZ:50 LA GLORIA</v>
          </cell>
          <cell r="R1817">
            <v>2652156</v>
          </cell>
          <cell r="S1817">
            <v>442026</v>
          </cell>
          <cell r="T1817">
            <v>0</v>
          </cell>
          <cell r="U1817">
            <v>2210130</v>
          </cell>
          <cell r="V1817">
            <v>2210130</v>
          </cell>
        </row>
        <row r="1818">
          <cell r="J1818">
            <v>1187</v>
          </cell>
          <cell r="K1818">
            <v>43143</v>
          </cell>
          <cell r="L1818" t="str">
            <v>CINDY PAOLA MARTINEZ ECHEVERRY</v>
          </cell>
          <cell r="M1818">
            <v>31</v>
          </cell>
          <cell r="N1818" t="str">
            <v>RESOLUCION</v>
          </cell>
          <cell r="O1818">
            <v>890</v>
          </cell>
          <cell r="P1818">
            <v>43143</v>
          </cell>
          <cell r="Q1818" t="str">
            <v>AYUDA TEMPORAL A LAS FAMILIAS DE VARIAS LOCALIDADES, PARA RELOCALIZACIÓN DE HOGARES LOCALIZADOS EN ZONAS DE ALTO RIESGO NO MITIGABLE ID:2016-08-14805, LOCALIDAD:08 KENNEDY, UPZ:82 PATIO BONITO, SECTOR:PALMITAS</v>
          </cell>
          <cell r="R1818">
            <v>2286925</v>
          </cell>
          <cell r="S1818">
            <v>457385</v>
          </cell>
          <cell r="T1818">
            <v>0</v>
          </cell>
          <cell r="U1818">
            <v>1829540</v>
          </cell>
          <cell r="V1818">
            <v>1829540</v>
          </cell>
        </row>
        <row r="1819">
          <cell r="J1819">
            <v>1188</v>
          </cell>
          <cell r="K1819">
            <v>43143</v>
          </cell>
          <cell r="L1819" t="str">
            <v>ELISABEL  REDONDO MOLINA</v>
          </cell>
          <cell r="M1819">
            <v>31</v>
          </cell>
          <cell r="N1819" t="str">
            <v>RESOLUCION</v>
          </cell>
          <cell r="O1819">
            <v>782</v>
          </cell>
          <cell r="P1819">
            <v>43143</v>
          </cell>
          <cell r="Q1819" t="str">
            <v>AYUDA TEMPORAL A LAS FAMILIAS DE VARIAS LOCALIDADES, PARA RELOCALIZACIÓN DE HOGARES LOCALIZADOS EN ZONAS DE ALTO RIESGO NO MITIGABLE ID:2017-08-14925, LOCALIDAD:08 KENNEDY, UPZ:82 PATIO BONITO, SECTOR:PALMITAS</v>
          </cell>
          <cell r="R1819">
            <v>3873016</v>
          </cell>
          <cell r="S1819">
            <v>553288</v>
          </cell>
          <cell r="T1819">
            <v>0</v>
          </cell>
          <cell r="U1819">
            <v>3319728</v>
          </cell>
          <cell r="V1819">
            <v>3319728</v>
          </cell>
        </row>
        <row r="1820">
          <cell r="J1820">
            <v>1189</v>
          </cell>
          <cell r="K1820">
            <v>43143</v>
          </cell>
          <cell r="L1820" t="str">
            <v>MARIA HELENA GONZALEZ MENA</v>
          </cell>
          <cell r="M1820">
            <v>31</v>
          </cell>
          <cell r="N1820" t="str">
            <v>RESOLUCION</v>
          </cell>
          <cell r="O1820">
            <v>870</v>
          </cell>
          <cell r="P1820">
            <v>43143</v>
          </cell>
          <cell r="Q1820" t="str">
            <v>AYUDA TEMPORAL A LAS FAMILIAS DE VARIAS LOCALIDADES, PARA RELOCALIZACIÓN DE HOGARES LOCALIZADOS EN ZONAS DE ALTO RIESGO NO MITIGABLE ID:2015-OTR-01462, LOCALIDAD:02 CHAPINERO, UPZ:90 PARDO RUBIO</v>
          </cell>
          <cell r="R1820">
            <v>3441024</v>
          </cell>
          <cell r="S1820">
            <v>573504</v>
          </cell>
          <cell r="T1820">
            <v>0</v>
          </cell>
          <cell r="U1820">
            <v>2867520</v>
          </cell>
          <cell r="V1820">
            <v>2867520</v>
          </cell>
        </row>
        <row r="1821">
          <cell r="J1821">
            <v>1190</v>
          </cell>
          <cell r="K1821">
            <v>43143</v>
          </cell>
          <cell r="L1821" t="str">
            <v>EMIR  CARPIO LUVIEZA</v>
          </cell>
          <cell r="M1821">
            <v>31</v>
          </cell>
          <cell r="N1821" t="str">
            <v>RESOLUCION</v>
          </cell>
          <cell r="O1821">
            <v>891</v>
          </cell>
          <cell r="P1821">
            <v>43143</v>
          </cell>
          <cell r="Q1821" t="str">
            <v>AYUDA TEMPORAL A LAS FAMILIAS DE VARIAS LOCALIDADES, PARA RELOCALIZACIÓN DE HOGARES LOCALIZADOS EN ZONAS DE ALTO RIESGO NO MITIGABLE ID:2014-W166-038, LOCALIDAD:19 CIUDAD BOLÍVAR, UPZ:68 EL TESORO, SECTOR:WOUNAAN</v>
          </cell>
          <cell r="R1821">
            <v>2878200</v>
          </cell>
          <cell r="S1821">
            <v>479700</v>
          </cell>
          <cell r="T1821">
            <v>0</v>
          </cell>
          <cell r="U1821">
            <v>2398500</v>
          </cell>
          <cell r="V1821">
            <v>2398500</v>
          </cell>
        </row>
        <row r="1822">
          <cell r="J1822">
            <v>1191</v>
          </cell>
          <cell r="K1822">
            <v>43143</v>
          </cell>
          <cell r="L1822" t="str">
            <v>PLACIDO  MENDOZA MUINANE</v>
          </cell>
          <cell r="M1822">
            <v>31</v>
          </cell>
          <cell r="N1822" t="str">
            <v>RESOLUCION</v>
          </cell>
          <cell r="O1822">
            <v>783</v>
          </cell>
          <cell r="P1822">
            <v>43143</v>
          </cell>
          <cell r="Q1822" t="str">
            <v>AYUDA TEMPORAL A LAS FAMILIAS DE VARIAS LOCALIDADES, PARA RELOCALIZACIÓN DE HOGARES LOCALIZADOS EN ZONAS DE ALTO RIESGO NO MITIGABLE ID:2015-W166-505, LOCALIDAD:03 SANTA FE, UPZ:96 LOURDES, SECTOR:UITOTO</v>
          </cell>
          <cell r="R1822">
            <v>7119970</v>
          </cell>
          <cell r="S1822">
            <v>0</v>
          </cell>
          <cell r="T1822">
            <v>0</v>
          </cell>
          <cell r="U1822">
            <v>7119970</v>
          </cell>
          <cell r="V1822">
            <v>3833830</v>
          </cell>
        </row>
        <row r="1823">
          <cell r="J1823">
            <v>1192</v>
          </cell>
          <cell r="K1823">
            <v>43143</v>
          </cell>
          <cell r="L1823" t="str">
            <v>PEDRO PABLO RINCON VELASQUEZ</v>
          </cell>
          <cell r="M1823">
            <v>31</v>
          </cell>
          <cell r="N1823" t="str">
            <v>RESOLUCION</v>
          </cell>
          <cell r="O1823">
            <v>871</v>
          </cell>
          <cell r="P1823">
            <v>43143</v>
          </cell>
          <cell r="Q1823" t="str">
            <v>AYUDA TEMPORAL A LAS FAMILIAS DE VARIAS LOCALIDADES, PARA RELOCALIZACIÓN DE HOGARES LOCALIZADOS EN ZONAS DE ALTO RIESGO NO MITIGABLE ID:2012-T314-19, LOCALIDAD:04 SAN CRISTÓBAL, UPZ:50 LA GLORIA</v>
          </cell>
          <cell r="R1823">
            <v>2590566</v>
          </cell>
          <cell r="S1823">
            <v>0</v>
          </cell>
          <cell r="T1823">
            <v>0</v>
          </cell>
          <cell r="U1823">
            <v>2590566</v>
          </cell>
          <cell r="V1823">
            <v>1727044</v>
          </cell>
        </row>
        <row r="1824">
          <cell r="J1824">
            <v>1193</v>
          </cell>
          <cell r="K1824">
            <v>43143</v>
          </cell>
          <cell r="L1824" t="str">
            <v>JOSE LERU DURA ISMARE</v>
          </cell>
          <cell r="M1824">
            <v>31</v>
          </cell>
          <cell r="N1824" t="str">
            <v>RESOLUCION</v>
          </cell>
          <cell r="O1824">
            <v>892</v>
          </cell>
          <cell r="P1824">
            <v>43143</v>
          </cell>
          <cell r="Q1824" t="str">
            <v>AYUDA TEMPORAL A LAS FAMILIAS DE VARIAS LOCALIDADES, PARA RELOCALIZACIÓN DE HOGARES LOCALIZADOS EN ZONAS DE ALTO RIESGO NO MITIGABLE ID:2014-W166-073, LOCALIDAD:19 CIUDAD BOLÍVAR, UPZ:68 EL TESORO, SECTOR:WOUNAAN</v>
          </cell>
          <cell r="R1824">
            <v>4878720</v>
          </cell>
          <cell r="S1824">
            <v>0</v>
          </cell>
          <cell r="T1824">
            <v>0</v>
          </cell>
          <cell r="U1824">
            <v>4878720</v>
          </cell>
          <cell r="V1824">
            <v>2845920</v>
          </cell>
        </row>
        <row r="1825">
          <cell r="J1825">
            <v>1194</v>
          </cell>
          <cell r="K1825">
            <v>43143</v>
          </cell>
          <cell r="L1825" t="str">
            <v>OLINDA GRACILIANA VELASQUEZ DEROMERO</v>
          </cell>
          <cell r="M1825">
            <v>31</v>
          </cell>
          <cell r="N1825" t="str">
            <v>RESOLUCION</v>
          </cell>
          <cell r="O1825">
            <v>872</v>
          </cell>
          <cell r="P1825">
            <v>43143</v>
          </cell>
          <cell r="Q1825" t="str">
            <v>AYUDA TEMPORAL A LAS FAMILIAS DE VARIAS LOCALIDADES, PARA RELOCALIZACIÓN DE HOGARES LOCALIZADOS EN ZONAS DE ALTO RIESGO NO MITIGABLE ID:2009-4-11166, LOCALIDAD:04 SAN CRISTÓBAL, UPZ:50 LA GLORIA</v>
          </cell>
          <cell r="R1825">
            <v>2564766</v>
          </cell>
          <cell r="S1825">
            <v>0</v>
          </cell>
          <cell r="T1825">
            <v>0</v>
          </cell>
          <cell r="U1825">
            <v>2564766</v>
          </cell>
          <cell r="V1825">
            <v>2137305</v>
          </cell>
        </row>
        <row r="1826">
          <cell r="J1826">
            <v>1195</v>
          </cell>
          <cell r="K1826">
            <v>43143</v>
          </cell>
          <cell r="L1826" t="str">
            <v>PERCY  RIVAS PERILLA</v>
          </cell>
          <cell r="M1826">
            <v>31</v>
          </cell>
          <cell r="N1826" t="str">
            <v>RESOLUCION</v>
          </cell>
          <cell r="O1826">
            <v>893</v>
          </cell>
          <cell r="P1826">
            <v>43143</v>
          </cell>
          <cell r="Q1826" t="str">
            <v>AYUDA TEMPORAL A LAS FAMILIAS DE VARIAS LOCALIDADES, PARA RELOCALIZACIÓN DE HOGARES LOCALIZADOS EN ZONAS DE ALTO RIESGO NO MITIGABLE ID:2011-19-12621, LOCALIDAD:19 CIUDAD BOLÍVAR, UPZ:67 LUCERO</v>
          </cell>
          <cell r="R1826">
            <v>2582006</v>
          </cell>
          <cell r="S1826">
            <v>368858</v>
          </cell>
          <cell r="T1826">
            <v>0</v>
          </cell>
          <cell r="U1826">
            <v>2213148</v>
          </cell>
          <cell r="V1826">
            <v>2213148</v>
          </cell>
        </row>
        <row r="1827">
          <cell r="J1827">
            <v>1196</v>
          </cell>
          <cell r="K1827">
            <v>43143</v>
          </cell>
          <cell r="L1827" t="str">
            <v>MIRELLA NATIVA MENDEZ ARISTIZABAL</v>
          </cell>
          <cell r="M1827">
            <v>31</v>
          </cell>
          <cell r="N1827" t="str">
            <v>RESOLUCION</v>
          </cell>
          <cell r="O1827">
            <v>873</v>
          </cell>
          <cell r="P1827">
            <v>43143</v>
          </cell>
          <cell r="Q1827" t="str">
            <v>AYUDA TEMPORAL A LAS FAMILIAS DE VARIAS LOCALIDADES, PARA RELOCALIZACIÓN DE HOGARES LOCALIZADOS EN ZONAS DE ALTO RIESGO NO MITIGABLE ID:2015-ALES-536, LOCALIDAD:19 CIUDAD BOLÍVAR, UPZ:69 ISMAEL PERDOMO, SECTOR:ALTOS DE LA ESTANCIA</v>
          </cell>
          <cell r="R1827">
            <v>3157315</v>
          </cell>
          <cell r="S1827">
            <v>451045</v>
          </cell>
          <cell r="T1827">
            <v>0</v>
          </cell>
          <cell r="U1827">
            <v>2706270</v>
          </cell>
          <cell r="V1827">
            <v>2706270</v>
          </cell>
        </row>
        <row r="1828">
          <cell r="J1828">
            <v>1197</v>
          </cell>
          <cell r="K1828">
            <v>43143</v>
          </cell>
          <cell r="L1828" t="str">
            <v>RUFINO ZAT ARIZA CONTRERAS</v>
          </cell>
          <cell r="M1828">
            <v>31</v>
          </cell>
          <cell r="N1828" t="str">
            <v>RESOLUCION</v>
          </cell>
          <cell r="O1828">
            <v>784</v>
          </cell>
          <cell r="P1828">
            <v>43143</v>
          </cell>
          <cell r="Q1828" t="str">
            <v>AYUDA TEMPORAL A LAS FAMILIAS DE VARIAS LOCALIDADES, PARA RELOCALIZACIÓN DE HOGARES LOCALIZADOS EN ZONAS DE ALTO RIESGO NO MITIGABLE ID:2013-V01-00754, LOCALIDAD:19 CIUDAD BOLÍVAR, UPZ:67 LUCERO, SECTOR:</v>
          </cell>
          <cell r="R1828">
            <v>2846046</v>
          </cell>
          <cell r="S1828">
            <v>0</v>
          </cell>
          <cell r="T1828">
            <v>0</v>
          </cell>
          <cell r="U1828">
            <v>2846046</v>
          </cell>
          <cell r="V1828">
            <v>1626312</v>
          </cell>
        </row>
        <row r="1829">
          <cell r="J1829">
            <v>1198</v>
          </cell>
          <cell r="K1829">
            <v>43143</v>
          </cell>
          <cell r="L1829" t="str">
            <v>BLANCA STELLA DIAZ SALAMANCA</v>
          </cell>
          <cell r="M1829">
            <v>31</v>
          </cell>
          <cell r="N1829" t="str">
            <v>RESOLUCION</v>
          </cell>
          <cell r="O1829">
            <v>874</v>
          </cell>
          <cell r="P1829">
            <v>43143</v>
          </cell>
          <cell r="Q1829" t="str">
            <v>AYUDA TEMPORAL A LAS FAMILIAS DE VARIAS LOCALIDADES, PARA RELOCALIZACIÓN DE HOGARES LOCALIZADOS EN ZONAS DE ALTO RIESGO NO MITIGABLE ID:2011-20-13434, LOCALIDAD:20 SUMAPAZ, UPZ:5 UPR RIO SUMAPAZ</v>
          </cell>
          <cell r="R1829">
            <v>4204986</v>
          </cell>
          <cell r="S1829">
            <v>700831</v>
          </cell>
          <cell r="T1829">
            <v>0</v>
          </cell>
          <cell r="U1829">
            <v>3504155</v>
          </cell>
          <cell r="V1829">
            <v>3504155</v>
          </cell>
        </row>
        <row r="1830">
          <cell r="J1830">
            <v>1199</v>
          </cell>
          <cell r="K1830">
            <v>43143</v>
          </cell>
          <cell r="L1830" t="str">
            <v>MARIA GUILLERMINA LOPEZ DE ZAMBRANO</v>
          </cell>
          <cell r="M1830">
            <v>31</v>
          </cell>
          <cell r="N1830" t="str">
            <v>RESOLUCION</v>
          </cell>
          <cell r="O1830">
            <v>875</v>
          </cell>
          <cell r="P1830">
            <v>43143</v>
          </cell>
          <cell r="Q1830" t="str">
            <v>AYUDA TEMPORAL A LAS FAMILIAS DE VARIAS LOCALIDADES, PARA RELOCALIZACIÓN DE HOGARES LOCALIZADOS EN ZONAS DE ALTO RIESGO NO MITIGABLE ID:2014-C01-00808, LOCALIDAD:19 CIUDAD BOLÍVAR, UPZ:68 EL TESORO</v>
          </cell>
          <cell r="R1830">
            <v>1534452</v>
          </cell>
          <cell r="S1830">
            <v>383613</v>
          </cell>
          <cell r="T1830">
            <v>0</v>
          </cell>
          <cell r="U1830">
            <v>1150839</v>
          </cell>
          <cell r="V1830">
            <v>1150839</v>
          </cell>
        </row>
        <row r="1831">
          <cell r="J1831">
            <v>1200</v>
          </cell>
          <cell r="K1831">
            <v>43143</v>
          </cell>
          <cell r="L1831" t="str">
            <v>FABIAN  CASTRO CASTAÑEDA</v>
          </cell>
          <cell r="M1831">
            <v>31</v>
          </cell>
          <cell r="N1831" t="str">
            <v>RESOLUCION</v>
          </cell>
          <cell r="O1831">
            <v>894</v>
          </cell>
          <cell r="P1831">
            <v>43143</v>
          </cell>
          <cell r="Q1831" t="str">
            <v>AYUDA TEMPORAL A LAS FAMILIAS DE VARIAS LOCALIDADES, PARA RELOCALIZACIÓN DE HOGARES LOCALIZADOS EN ZONAS DE ALTO RIESGO NO MITIGABLE ID:2015-OTR-01494, LOCALIDAD:11 SUBA, UPZ:71 TIBABUYES, SECTOR:GAVILANES</v>
          </cell>
          <cell r="R1831">
            <v>2788569</v>
          </cell>
          <cell r="S1831">
            <v>398367</v>
          </cell>
          <cell r="T1831">
            <v>0</v>
          </cell>
          <cell r="U1831">
            <v>2390202</v>
          </cell>
          <cell r="V1831">
            <v>2390202</v>
          </cell>
        </row>
        <row r="1832">
          <cell r="J1832">
            <v>1201</v>
          </cell>
          <cell r="K1832">
            <v>43143</v>
          </cell>
          <cell r="L1832" t="str">
            <v>LUZ MARY CASTILLO DE REINA</v>
          </cell>
          <cell r="M1832">
            <v>31</v>
          </cell>
          <cell r="N1832" t="str">
            <v>RESOLUCION</v>
          </cell>
          <cell r="O1832">
            <v>876</v>
          </cell>
          <cell r="P1832">
            <v>43143</v>
          </cell>
          <cell r="Q1832" t="str">
            <v>AYUDA TEMPORAL A LAS FAMILIAS DE VARIAS LOCALIDADES, PARA RELOCALIZACIÓN DE HOGARES LOCALIZADOS EN ZONAS DE ALTO RIESGO NO MITIGABLE ID:2011-19-13492, LOCALIDAD:19 CIUDAD BOLÍVAR, UPZ:68 EL TESORO</v>
          </cell>
          <cell r="R1832">
            <v>5430984</v>
          </cell>
          <cell r="S1832">
            <v>0</v>
          </cell>
          <cell r="T1832">
            <v>0</v>
          </cell>
          <cell r="U1832">
            <v>5430984</v>
          </cell>
          <cell r="V1832">
            <v>835536</v>
          </cell>
        </row>
        <row r="1833">
          <cell r="J1833">
            <v>1202</v>
          </cell>
          <cell r="K1833">
            <v>43143</v>
          </cell>
          <cell r="L1833" t="str">
            <v>JHON FREDY PARRA PARRA</v>
          </cell>
          <cell r="M1833">
            <v>31</v>
          </cell>
          <cell r="N1833" t="str">
            <v>RESOLUCION</v>
          </cell>
          <cell r="O1833">
            <v>785</v>
          </cell>
          <cell r="P1833">
            <v>43143</v>
          </cell>
          <cell r="Q1833" t="str">
            <v>AYUDA TEMPORAL A LAS FAMILIAS DE VARIAS LOCALIDADES, PARA RELOCALIZACIÓN DE HOGARES LOCALIZADOS EN ZONAS DE ALTO RIESGO NO MITIGABLE ID:2013-Q10-00612, LOCALIDAD:04 SAN CRISTÓBAL, UPZ:51 LOS LIBERTADORES, SECTOR:QUEBRADA VEREJONES</v>
          </cell>
          <cell r="R1833">
            <v>5285280</v>
          </cell>
          <cell r="S1833">
            <v>0</v>
          </cell>
          <cell r="T1833">
            <v>0</v>
          </cell>
          <cell r="U1833">
            <v>5285280</v>
          </cell>
          <cell r="V1833">
            <v>3252480</v>
          </cell>
        </row>
        <row r="1834">
          <cell r="J1834">
            <v>1203</v>
          </cell>
          <cell r="K1834">
            <v>43143</v>
          </cell>
          <cell r="L1834" t="str">
            <v>ROSA ELENA GUTIERREZ</v>
          </cell>
          <cell r="M1834">
            <v>31</v>
          </cell>
          <cell r="N1834" t="str">
            <v>RESOLUCION</v>
          </cell>
          <cell r="O1834">
            <v>877</v>
          </cell>
          <cell r="P1834">
            <v>43143</v>
          </cell>
          <cell r="Q1834" t="str">
            <v>AYUDA TEMPORAL A LAS FAMILIAS DE VARIAS LOCALIDADES, PARA RELOCALIZACIÓN DE HOGARES LOCALIZADOS EN ZONAS DE ALTO RIESGO NO MITIGABLE ID:2011-4-12651, LOCALIDAD:04 SAN CRISTÓBAL, UPZ:32 SAN BLAS</v>
          </cell>
          <cell r="R1834">
            <v>2661239</v>
          </cell>
          <cell r="S1834">
            <v>380177</v>
          </cell>
          <cell r="T1834">
            <v>0</v>
          </cell>
          <cell r="U1834">
            <v>2281062</v>
          </cell>
          <cell r="V1834">
            <v>2281062</v>
          </cell>
        </row>
        <row r="1835">
          <cell r="J1835">
            <v>1204</v>
          </cell>
          <cell r="K1835">
            <v>43143</v>
          </cell>
          <cell r="L1835" t="str">
            <v>AMPARO  CHAPARRO</v>
          </cell>
          <cell r="M1835">
            <v>31</v>
          </cell>
          <cell r="N1835" t="str">
            <v>RESOLUCION</v>
          </cell>
          <cell r="O1835">
            <v>878</v>
          </cell>
          <cell r="P1835">
            <v>43143</v>
          </cell>
          <cell r="Q1835" t="str">
            <v>AYUDA TEMPORAL A LAS FAMILIAS DE VARIAS LOCALIDADES, PARA RELOCALIZACIÓN DE HOGARES LOCALIZADOS EN ZONAS DE ALTO RIESGO NO MITIGABLE ID:2013-Q04-00287, LOCALIDAD:19 CIUDAD BOLÍVAR, UPZ:67 LUCERO, SECTOR:PEÑA COLORADA</v>
          </cell>
          <cell r="R1835">
            <v>2582006</v>
          </cell>
          <cell r="S1835">
            <v>368858</v>
          </cell>
          <cell r="T1835">
            <v>0</v>
          </cell>
          <cell r="U1835">
            <v>2213148</v>
          </cell>
          <cell r="V1835">
            <v>2213148</v>
          </cell>
        </row>
        <row r="1836">
          <cell r="J1836">
            <v>1205</v>
          </cell>
          <cell r="K1836">
            <v>43143</v>
          </cell>
          <cell r="L1836" t="str">
            <v>MARIA WALDINA MANCILLA LADINO</v>
          </cell>
          <cell r="M1836">
            <v>31</v>
          </cell>
          <cell r="N1836" t="str">
            <v>RESOLUCION</v>
          </cell>
          <cell r="O1836">
            <v>786</v>
          </cell>
          <cell r="P1836">
            <v>43143</v>
          </cell>
          <cell r="Q1836" t="str">
            <v>AYUDA TEMPORAL A LAS FAMILIAS DE VARIAS LOCALIDADES, PARA RELOCALIZACIÓN DE HOGARES LOCALIZADOS EN ZONAS DE ALTO RIESGO NO MITIGABLE ID:2013000532, LOCALIDAD:19 CIUDAD BOLÍVAR, UPZ:67 LUCERO, SECTOR:PEÑA COLORADA</v>
          </cell>
          <cell r="R1836">
            <v>5178771</v>
          </cell>
          <cell r="S1836">
            <v>0</v>
          </cell>
          <cell r="T1836">
            <v>0</v>
          </cell>
          <cell r="U1836">
            <v>5178771</v>
          </cell>
          <cell r="V1836">
            <v>3186936</v>
          </cell>
        </row>
        <row r="1837">
          <cell r="J1837">
            <v>1206</v>
          </cell>
          <cell r="K1837">
            <v>43143</v>
          </cell>
          <cell r="L1837" t="str">
            <v>ANA MILENA SUREZ MUNZA</v>
          </cell>
          <cell r="M1837">
            <v>31</v>
          </cell>
          <cell r="N1837" t="str">
            <v>RESOLUCION</v>
          </cell>
          <cell r="O1837">
            <v>879</v>
          </cell>
          <cell r="P1837">
            <v>43143</v>
          </cell>
          <cell r="Q1837" t="str">
            <v>AYUDA TEMPORAL A LAS FAMILIAS DE VARIAS LOCALIDADES, PARA RELOCALIZACIÓN DE HOGARES LOCALIZADOS EN ZONAS DE ALTO RIESGO NO MITIGABLE ID:2016-08-14897, LOCALIDAD:08 KENNEDY, UPZ:82 PATIO BONITO, SECTOR:PALMITAS</v>
          </cell>
          <cell r="R1837">
            <v>7082088</v>
          </cell>
          <cell r="S1837">
            <v>0</v>
          </cell>
          <cell r="T1837">
            <v>0</v>
          </cell>
          <cell r="U1837">
            <v>7082088</v>
          </cell>
          <cell r="V1837">
            <v>4721392</v>
          </cell>
        </row>
        <row r="1838">
          <cell r="J1838">
            <v>1207</v>
          </cell>
          <cell r="K1838">
            <v>43143</v>
          </cell>
          <cell r="L1838" t="str">
            <v>HECTOR MAURICIO VELEZ SANCHEZ</v>
          </cell>
          <cell r="M1838">
            <v>31</v>
          </cell>
          <cell r="N1838" t="str">
            <v>RESOLUCION</v>
          </cell>
          <cell r="O1838">
            <v>880</v>
          </cell>
          <cell r="P1838">
            <v>43143</v>
          </cell>
          <cell r="Q1838" t="str">
            <v>AYUDA TEMPORAL A LAS FAMILIAS DE VARIAS LOCALIDADES, PARA RELOCALIZACIÓN DE HOGARES LOCALIZADOS EN ZONAS DE ALTO RIESGO NO MITIGABLE ID:2011-5-13283, LOCALIDAD:05 USME, UPZ:56 DANUBIO</v>
          </cell>
          <cell r="R1838">
            <v>2924376</v>
          </cell>
          <cell r="S1838">
            <v>417768</v>
          </cell>
          <cell r="T1838">
            <v>0</v>
          </cell>
          <cell r="U1838">
            <v>2506608</v>
          </cell>
          <cell r="V1838">
            <v>2506608</v>
          </cell>
        </row>
        <row r="1839">
          <cell r="J1839">
            <v>1208</v>
          </cell>
          <cell r="K1839">
            <v>43143</v>
          </cell>
          <cell r="L1839" t="str">
            <v>ANA CLAUDINA ESCOBAR ROJAS</v>
          </cell>
          <cell r="M1839">
            <v>31</v>
          </cell>
          <cell r="N1839" t="str">
            <v>RESOLUCION</v>
          </cell>
          <cell r="O1839">
            <v>787</v>
          </cell>
          <cell r="P1839">
            <v>43143</v>
          </cell>
          <cell r="Q1839" t="str">
            <v>AYUDA TEMPORAL A LAS FAMILIAS DE VARIAS LOCALIDADES, PARA RELOCALIZACIÓN DE HOGARES LOCALIZADOS EN ZONAS DE ALTO RIESGO NO MITIGABLE ID:2013000468, LOCALIDAD:04 SAN CRISTÓBAL, UPZ:51 LOS LIBERTADORES, SECTOR:QUEBRADA VEREJONES</v>
          </cell>
          <cell r="R1839">
            <v>2382790</v>
          </cell>
          <cell r="S1839">
            <v>476558</v>
          </cell>
          <cell r="T1839">
            <v>0</v>
          </cell>
          <cell r="U1839">
            <v>1906232</v>
          </cell>
          <cell r="V1839">
            <v>1906232</v>
          </cell>
        </row>
        <row r="1840">
          <cell r="J1840">
            <v>1209</v>
          </cell>
          <cell r="K1840">
            <v>43143</v>
          </cell>
          <cell r="L1840" t="str">
            <v>ELIZABETH  CAGUA YATE</v>
          </cell>
          <cell r="M1840">
            <v>31</v>
          </cell>
          <cell r="N1840" t="str">
            <v>RESOLUCION</v>
          </cell>
          <cell r="O1840">
            <v>881</v>
          </cell>
          <cell r="P1840">
            <v>43143</v>
          </cell>
          <cell r="Q1840" t="str">
            <v>AYUDA TEMPORAL A LAS FAMILIAS DE VARIAS LOCALIDADES, PARA RELOCALIZACIÓN DE HOGARES LOCALIZADOS EN ZONAS DE ALTO RIESGO NO MITIGABLE ID:2016-08-14796, LOCALIDAD:08 KENNEDY, UPZ:82 PATIO BONITO, SECTOR:PALMITAS</v>
          </cell>
          <cell r="R1840">
            <v>5436970</v>
          </cell>
          <cell r="S1840">
            <v>0</v>
          </cell>
          <cell r="T1840">
            <v>0</v>
          </cell>
          <cell r="U1840">
            <v>5436970</v>
          </cell>
          <cell r="V1840">
            <v>3954160</v>
          </cell>
        </row>
        <row r="1841">
          <cell r="J1841">
            <v>1210</v>
          </cell>
          <cell r="K1841">
            <v>43143</v>
          </cell>
          <cell r="L1841" t="str">
            <v>ADELA DEL CARMEN ROSAS DE VARGAS</v>
          </cell>
          <cell r="M1841">
            <v>31</v>
          </cell>
          <cell r="N1841" t="str">
            <v>RESOLUCION</v>
          </cell>
          <cell r="O1841">
            <v>788</v>
          </cell>
          <cell r="P1841">
            <v>43143</v>
          </cell>
          <cell r="Q1841" t="str">
            <v>AYUDA TEMPORAL A LAS FAMILIAS DE VARIAS LOCALIDADES, PARA RELOCALIZACIÓN DE HOGARES LOCALIZADOS EN ZONAS DE ALTO RIESGO NO MITIGABLE ID:2015-Q20-01408, LOCALIDAD:04 SAN CRISTÓBAL, UPZ:50 LA GLORIA, SECTOR:LA CHIGUAZA</v>
          </cell>
          <cell r="R1841">
            <v>4795154</v>
          </cell>
          <cell r="S1841">
            <v>0</v>
          </cell>
          <cell r="T1841">
            <v>0</v>
          </cell>
          <cell r="U1841">
            <v>4795154</v>
          </cell>
          <cell r="V1841">
            <v>2950864</v>
          </cell>
        </row>
        <row r="1842">
          <cell r="J1842">
            <v>1211</v>
          </cell>
          <cell r="K1842">
            <v>43143</v>
          </cell>
          <cell r="L1842" t="str">
            <v>LUIS JORGE ROJAS HERNANDEZ</v>
          </cell>
          <cell r="M1842">
            <v>31</v>
          </cell>
          <cell r="N1842" t="str">
            <v>RESOLUCION</v>
          </cell>
          <cell r="O1842">
            <v>882</v>
          </cell>
          <cell r="P1842">
            <v>43143</v>
          </cell>
          <cell r="Q1842" t="str">
            <v>AYUDA TEMPORAL A LAS FAMILIAS DE VARIAS LOCALIDADES, PARA RELOCALIZACIÓN DE HOGARES LOCALIZADOS EN ZONAS DE ALTO RIESGO NO MITIGABLE ID:2014-OTR-00961, LOCALIDAD:19 CIUDAD BOLÍVAR, UPZ:67 LUCERO, SECTOR:TABOR ALTALOMA</v>
          </cell>
          <cell r="R1842">
            <v>3017000</v>
          </cell>
          <cell r="S1842">
            <v>431000</v>
          </cell>
          <cell r="T1842">
            <v>0</v>
          </cell>
          <cell r="U1842">
            <v>2586000</v>
          </cell>
          <cell r="V1842">
            <v>2586000</v>
          </cell>
        </row>
        <row r="1843">
          <cell r="J1843">
            <v>1212</v>
          </cell>
          <cell r="K1843">
            <v>43143</v>
          </cell>
          <cell r="L1843" t="str">
            <v>DILFIO  MERCAZA ISMARE</v>
          </cell>
          <cell r="M1843">
            <v>31</v>
          </cell>
          <cell r="N1843" t="str">
            <v>RESOLUCION</v>
          </cell>
          <cell r="O1843">
            <v>895</v>
          </cell>
          <cell r="P1843">
            <v>43143</v>
          </cell>
          <cell r="Q1843" t="str">
            <v>AYUDA TEMPORAL A LAS FAMILIAS DE VARIAS LOCALIDADES, PARA RELOCALIZACIÓN DE HOGARES LOCALIZADOS EN ZONAS DE ALTO RIESGO NO MITIGABLE ID:2014-W166-024, LOCALIDAD:19 CIUDAD BOLÍVAR, UPZ:68 EL TESORO, SECTOR:WOUNAAN</v>
          </cell>
          <cell r="R1843">
            <v>1626240</v>
          </cell>
          <cell r="S1843">
            <v>406560</v>
          </cell>
          <cell r="T1843">
            <v>0</v>
          </cell>
          <cell r="U1843">
            <v>1219680</v>
          </cell>
          <cell r="V1843">
            <v>1219680</v>
          </cell>
        </row>
        <row r="1844">
          <cell r="J1844">
            <v>1213</v>
          </cell>
          <cell r="K1844">
            <v>43143</v>
          </cell>
          <cell r="L1844" t="str">
            <v>ALONSO  CONQUISTA CARPIO</v>
          </cell>
          <cell r="M1844">
            <v>31</v>
          </cell>
          <cell r="N1844" t="str">
            <v>RESOLUCION</v>
          </cell>
          <cell r="O1844">
            <v>896</v>
          </cell>
          <cell r="P1844">
            <v>43143</v>
          </cell>
          <cell r="Q1844" t="str">
            <v>AYUDA TEMPORAL A LAS FAMILIAS DE VARIAS LOCALIDADES, PARA RELOCALIZACIÓN DE HOGARES LOCALIZADOS EN ZONAS DE ALTO RIESGO NO MITIGABLE ID:2014-W166-049, LOCALIDAD:19 CIUDAD BOLÍVAR, UPZ:68 EL TESORO, SECTOR:WOUNAAN</v>
          </cell>
          <cell r="R1844">
            <v>2213152</v>
          </cell>
          <cell r="S1844">
            <v>553288</v>
          </cell>
          <cell r="T1844">
            <v>0</v>
          </cell>
          <cell r="U1844">
            <v>1659864</v>
          </cell>
          <cell r="V1844">
            <v>1659864</v>
          </cell>
        </row>
        <row r="1845">
          <cell r="J1845">
            <v>1214</v>
          </cell>
          <cell r="K1845">
            <v>43143</v>
          </cell>
          <cell r="L1845" t="str">
            <v>MYRIAM  MUNERA DE LONDONO</v>
          </cell>
          <cell r="M1845">
            <v>31</v>
          </cell>
          <cell r="N1845" t="str">
            <v>RESOLUCION</v>
          </cell>
          <cell r="O1845">
            <v>789</v>
          </cell>
          <cell r="P1845">
            <v>43143</v>
          </cell>
          <cell r="Q1845" t="str">
            <v>AYUDA TEMPORAL A LAS FAMILIAS DE VARIAS LOCALIDADES, PARA RELOCALIZACIÓN DE HOGARES LOCALIZADOS EN ZONAS DE ALTO RIESGO NO MITIGABLE ID:2013000126, LOCALIDAD:04 SAN CRISTÓBAL, UPZ:51 LOS LIBERTADORES, SECTOR:QUEBRADA VEREJONES</v>
          </cell>
          <cell r="R1845">
            <v>4795154</v>
          </cell>
          <cell r="S1845">
            <v>0</v>
          </cell>
          <cell r="T1845">
            <v>0</v>
          </cell>
          <cell r="U1845">
            <v>4795154</v>
          </cell>
          <cell r="V1845">
            <v>2950864</v>
          </cell>
        </row>
        <row r="1846">
          <cell r="J1846">
            <v>1215</v>
          </cell>
          <cell r="K1846">
            <v>43143</v>
          </cell>
          <cell r="L1846" t="str">
            <v>HENRY  ALVAREZ</v>
          </cell>
          <cell r="M1846">
            <v>31</v>
          </cell>
          <cell r="N1846" t="str">
            <v>RESOLUCION</v>
          </cell>
          <cell r="O1846">
            <v>897</v>
          </cell>
          <cell r="P1846">
            <v>43143</v>
          </cell>
          <cell r="Q1846" t="str">
            <v>AYUDA TEMPORAL A LAS FAMILIAS DE VARIAS LOCALIDADES, PARA RELOCALIZACIÓN DE HOGARES LOCALIZADOS EN ZONAS DE ALTO RIESGO NO MITIGABLE ID:2015-D227-00060, LOCALIDAD:04 SAN CRISTÓBAL, UPZ:51 LOS LIBERTADORES, SECTOR:SANTA TERESITA</v>
          </cell>
          <cell r="R1846">
            <v>1844290</v>
          </cell>
          <cell r="S1846">
            <v>368858</v>
          </cell>
          <cell r="T1846">
            <v>0</v>
          </cell>
          <cell r="U1846">
            <v>1475432</v>
          </cell>
          <cell r="V1846">
            <v>1475432</v>
          </cell>
        </row>
        <row r="1847">
          <cell r="J1847">
            <v>1216</v>
          </cell>
          <cell r="K1847">
            <v>43143</v>
          </cell>
          <cell r="L1847" t="str">
            <v>JUAN ANTONIO BORJAS</v>
          </cell>
          <cell r="M1847">
            <v>31</v>
          </cell>
          <cell r="N1847" t="str">
            <v>RESOLUCION</v>
          </cell>
          <cell r="O1847">
            <v>790</v>
          </cell>
          <cell r="P1847">
            <v>43143</v>
          </cell>
          <cell r="Q1847" t="str">
            <v>AYUDA TEMPORAL A LAS FAMILIAS DE VARIAS LOCALIDADES, PARA RELOCALIZACIÓN DE HOGARES LOCALIZADOS EN ZONAS DE ALTO RIESGO NO MITIGABLE ID:2007-19-9742, LOCALIDAD:19 CIUDAD BOLÍVAR, UPZ:69 ISMAEL PERDOMO, SECTOR:</v>
          </cell>
          <cell r="R1847">
            <v>5178771</v>
          </cell>
          <cell r="S1847">
            <v>0</v>
          </cell>
          <cell r="T1847">
            <v>0</v>
          </cell>
          <cell r="U1847">
            <v>5178771</v>
          </cell>
          <cell r="V1847">
            <v>3186936</v>
          </cell>
        </row>
        <row r="1848">
          <cell r="J1848">
            <v>1217</v>
          </cell>
          <cell r="K1848">
            <v>43143</v>
          </cell>
          <cell r="L1848" t="str">
            <v>LUIS HERNAN SIERRA CASAS</v>
          </cell>
          <cell r="M1848">
            <v>31</v>
          </cell>
          <cell r="N1848" t="str">
            <v>RESOLUCION</v>
          </cell>
          <cell r="O1848">
            <v>898</v>
          </cell>
          <cell r="P1848">
            <v>43143</v>
          </cell>
          <cell r="Q1848" t="str">
            <v>AYUDA TEMPORAL A LAS FAMILIAS DE VARIAS LOCALIDADES, PARA RELOCALIZACIÓN DE HOGARES LOCALIZADOS EN ZONAS DE ALTO RIESGO NO MITIGABLE ID:2015-D227-00030, LOCALIDAD:04 SAN CRISTÓBAL, UPZ:51 LOS LIBERTADORES, SECTOR:SANTA TERESITA</v>
          </cell>
          <cell r="R1848">
            <v>1701340</v>
          </cell>
          <cell r="S1848">
            <v>425335</v>
          </cell>
          <cell r="T1848">
            <v>0</v>
          </cell>
          <cell r="U1848">
            <v>1276005</v>
          </cell>
          <cell r="V1848">
            <v>1276005</v>
          </cell>
        </row>
        <row r="1849">
          <cell r="J1849">
            <v>1218</v>
          </cell>
          <cell r="K1849">
            <v>43143</v>
          </cell>
          <cell r="L1849" t="str">
            <v>GUILLERMO ANTONIO PARRA BAUTISTA</v>
          </cell>
          <cell r="M1849">
            <v>31</v>
          </cell>
          <cell r="N1849" t="str">
            <v>RESOLUCION</v>
          </cell>
          <cell r="O1849">
            <v>791</v>
          </cell>
          <cell r="P1849">
            <v>43143</v>
          </cell>
          <cell r="Q1849" t="str">
            <v>AYUDA TEMPORAL A LAS FAMILIAS DE VARIAS LOCALIDADES, PARA RELOCALIZACIÓN DE HOGARES LOCALIZADOS EN ZONAS DE ALTO RIESGO NO MITIGABLE ID:2016-08-14863, LOCALIDAD:08 KENNEDY, UPZ:82 PATIO BONITO, SECTOR:PALMITAS</v>
          </cell>
          <cell r="R1849">
            <v>4687452</v>
          </cell>
          <cell r="S1849">
            <v>0</v>
          </cell>
          <cell r="T1849">
            <v>0</v>
          </cell>
          <cell r="U1849">
            <v>4687452</v>
          </cell>
          <cell r="V1849">
            <v>2734347</v>
          </cell>
        </row>
        <row r="1850">
          <cell r="J1850">
            <v>1219</v>
          </cell>
          <cell r="K1850">
            <v>43143</v>
          </cell>
          <cell r="L1850" t="str">
            <v>HERMENCIA  RODRIGUEZ BARRANTES</v>
          </cell>
          <cell r="M1850">
            <v>31</v>
          </cell>
          <cell r="N1850" t="str">
            <v>RESOLUCION</v>
          </cell>
          <cell r="O1850">
            <v>792</v>
          </cell>
          <cell r="P1850">
            <v>43143</v>
          </cell>
          <cell r="Q1850" t="str">
            <v>AYUDA TEMPORAL A LAS FAMILIAS DE VARIAS LOCALIDADES, PARA RELOCALIZACIÓN DE HOGARES LOCALIZADOS EN ZONAS DE ALTO RIESGO NO MITIGABLE ID:2013000019, LOCALIDAD:19 CIUDAD BOLÍVAR, UPZ:67 LUCERO, SECTOR:QUEBRADA CAÑO BAÚL</v>
          </cell>
          <cell r="R1850">
            <v>5172000</v>
          </cell>
          <cell r="S1850">
            <v>0</v>
          </cell>
          <cell r="T1850">
            <v>0</v>
          </cell>
          <cell r="U1850">
            <v>5172000</v>
          </cell>
          <cell r="V1850">
            <v>3017000</v>
          </cell>
        </row>
        <row r="1851">
          <cell r="J1851">
            <v>1220</v>
          </cell>
          <cell r="K1851">
            <v>43143</v>
          </cell>
          <cell r="L1851" t="str">
            <v>CIRO  MENDOZA ORTIZ</v>
          </cell>
          <cell r="M1851">
            <v>31</v>
          </cell>
          <cell r="N1851" t="str">
            <v>RESOLUCION</v>
          </cell>
          <cell r="O1851">
            <v>899</v>
          </cell>
          <cell r="P1851">
            <v>43143</v>
          </cell>
          <cell r="Q1851" t="str">
            <v>AYUDA TEMPORAL A LAS FAMILIAS DE VARIAS LOCALIDADES, PARA RELOCALIZACIÓN DE HOGARES LOCALIZADOS EN ZONAS DE ALTO RIESGO NO MITIGABLE ID:2015-W166-504, LOCALIDAD:03 SANTA FE, UPZ:96 LOURDES, SECTOR:UITOTO</v>
          </cell>
          <cell r="R1851">
            <v>2319056</v>
          </cell>
          <cell r="S1851">
            <v>579764</v>
          </cell>
          <cell r="T1851">
            <v>0</v>
          </cell>
          <cell r="U1851">
            <v>1739292</v>
          </cell>
          <cell r="V1851">
            <v>1739292</v>
          </cell>
        </row>
        <row r="1852">
          <cell r="J1852">
            <v>1221</v>
          </cell>
          <cell r="K1852">
            <v>43143</v>
          </cell>
          <cell r="L1852" t="str">
            <v>ALBEIRO  ORTIZ CHICHILIANO</v>
          </cell>
          <cell r="M1852">
            <v>31</v>
          </cell>
          <cell r="N1852" t="str">
            <v>RESOLUCION</v>
          </cell>
          <cell r="O1852">
            <v>900</v>
          </cell>
          <cell r="P1852">
            <v>43143</v>
          </cell>
          <cell r="Q1852" t="str">
            <v>AYUDA TEMPORAL A LAS FAMILIAS DE VARIAS LOCALIDADES, PARA RELOCALIZACIÓN DE HOGARES LOCALIZADOS EN ZONAS DE ALTO RIESGO NO MITIGABLE ID:2015-W166-418, LOCALIDAD:19 CIUDAD BOLÍVAR, UPZ:67 LUCERO, SECTOR:WOUNAAN</v>
          </cell>
          <cell r="R1852">
            <v>2964130</v>
          </cell>
          <cell r="S1852">
            <v>592826</v>
          </cell>
          <cell r="T1852">
            <v>0</v>
          </cell>
          <cell r="U1852">
            <v>2371304</v>
          </cell>
          <cell r="V1852">
            <v>2371304</v>
          </cell>
        </row>
        <row r="1853">
          <cell r="J1853">
            <v>1222</v>
          </cell>
          <cell r="K1853">
            <v>43143</v>
          </cell>
          <cell r="L1853" t="str">
            <v>EVANGELISTA  MORALES MORALES</v>
          </cell>
          <cell r="M1853">
            <v>31</v>
          </cell>
          <cell r="N1853" t="str">
            <v>RESOLUCION</v>
          </cell>
          <cell r="O1853">
            <v>901</v>
          </cell>
          <cell r="P1853">
            <v>43143</v>
          </cell>
          <cell r="Q1853" t="str">
            <v>AYUDA TEMPORAL A LAS FAMILIAS DE VARIAS LOCALIDADES, PARA RELOCALIZACIÓN DE HOGARES LOCALIZADOS EN ZONAS DE ALTO RIESGO NO MITIGABLE ID:2013-Q10-00506, LOCALIDAD:04 SAN CRISTÓBAL, UPZ:51 LOS LIBERTADORES, SECTOR:QUEBRADA VEREJONES</v>
          </cell>
          <cell r="R1853">
            <v>1829540</v>
          </cell>
          <cell r="S1853">
            <v>457385</v>
          </cell>
          <cell r="T1853">
            <v>0</v>
          </cell>
          <cell r="U1853">
            <v>1372155</v>
          </cell>
          <cell r="V1853">
            <v>1372155</v>
          </cell>
        </row>
        <row r="1854">
          <cell r="J1854">
            <v>1223</v>
          </cell>
          <cell r="K1854">
            <v>43143</v>
          </cell>
          <cell r="L1854" t="str">
            <v>MARIA CELINA ÑEÑETOFE MATIAS</v>
          </cell>
          <cell r="M1854">
            <v>31</v>
          </cell>
          <cell r="N1854" t="str">
            <v>RESOLUCION</v>
          </cell>
          <cell r="O1854">
            <v>902</v>
          </cell>
          <cell r="P1854">
            <v>43143</v>
          </cell>
          <cell r="Q1854" t="str">
            <v>AYUDA TEMPORAL A LAS FAMILIAS DE VARIAS LOCALIDADES, PARA RELOCALIZACIÓN DE HOGARES LOCALIZADOS EN ZONAS DE ALTO RIESGO NO MITIGABLE ID:2015-W166-524, LOCALIDAD:04 SAN CRISTÓBAL, UPZ:32 SAN BLAS, SECTOR:UITOTO</v>
          </cell>
          <cell r="R1854">
            <v>2319720</v>
          </cell>
          <cell r="S1854">
            <v>579930</v>
          </cell>
          <cell r="T1854">
            <v>0</v>
          </cell>
          <cell r="U1854">
            <v>1739790</v>
          </cell>
          <cell r="V1854">
            <v>1739790</v>
          </cell>
        </row>
        <row r="1855">
          <cell r="J1855">
            <v>1224</v>
          </cell>
          <cell r="K1855">
            <v>43143</v>
          </cell>
          <cell r="L1855" t="str">
            <v>GRACIELA  GANZASOY</v>
          </cell>
          <cell r="M1855">
            <v>31</v>
          </cell>
          <cell r="N1855" t="str">
            <v>RESOLUCION</v>
          </cell>
          <cell r="O1855">
            <v>793</v>
          </cell>
          <cell r="P1855">
            <v>43143</v>
          </cell>
          <cell r="Q1855" t="str">
            <v>AYUDA TEMPORAL A LAS FAMILIAS DE VARIAS LOCALIDADES, PARA RELOCALIZACIÓN DE HOGARES LOCALIZADOS EN ZONAS DE ALTO RIESGO NO MITIGABLE ID:2006-4-8757, LOCALIDAD:04 SAN CRISTÓBAL, UPZ:50 LA GLORIA.</v>
          </cell>
          <cell r="R1855">
            <v>5796466</v>
          </cell>
          <cell r="S1855">
            <v>0</v>
          </cell>
          <cell r="T1855">
            <v>0</v>
          </cell>
          <cell r="U1855">
            <v>5796466</v>
          </cell>
          <cell r="V1855">
            <v>3567056</v>
          </cell>
        </row>
        <row r="1856">
          <cell r="J1856">
            <v>1225</v>
          </cell>
          <cell r="K1856">
            <v>43143</v>
          </cell>
          <cell r="L1856" t="str">
            <v>AMILKAR  PIRAZA MEPAQUITO</v>
          </cell>
          <cell r="M1856">
            <v>31</v>
          </cell>
          <cell r="N1856" t="str">
            <v>RESOLUCION</v>
          </cell>
          <cell r="O1856">
            <v>903</v>
          </cell>
          <cell r="P1856">
            <v>43143</v>
          </cell>
          <cell r="Q1856" t="str">
            <v>AYUDA TEMPORAL A LAS FAMILIAS DE VARIAS LOCALIDADES, PARA RELOCALIZACIÓN DE HOGARES LOCALIZADOS EN ZONAS DE ALTO RIESGO NO MITIGABLE ID:2014-W166-050, LOCALIDAD:19 CIUDAD BOLÍVAR, UPZ:68 EL TESORO, SECTOR:WOUNAAN</v>
          </cell>
          <cell r="R1856">
            <v>2360696</v>
          </cell>
          <cell r="S1856">
            <v>590174</v>
          </cell>
          <cell r="T1856">
            <v>0</v>
          </cell>
          <cell r="U1856">
            <v>1770522</v>
          </cell>
          <cell r="V1856">
            <v>1770522</v>
          </cell>
        </row>
        <row r="1857">
          <cell r="J1857">
            <v>1226</v>
          </cell>
          <cell r="K1857">
            <v>43143</v>
          </cell>
          <cell r="L1857" t="str">
            <v>MARIA HILDA PRIETO SALAMANCA</v>
          </cell>
          <cell r="M1857">
            <v>31</v>
          </cell>
          <cell r="N1857" t="str">
            <v>RESOLUCION</v>
          </cell>
          <cell r="O1857">
            <v>794</v>
          </cell>
          <cell r="P1857">
            <v>43143</v>
          </cell>
          <cell r="Q1857" t="str">
            <v>AYUDA TEMPORAL A LAS FAMILIAS DE VARIAS LOCALIDADES, PARA RELOCALIZACIÓN DE HOGARES LOCALIZADOS EN ZONAS DE ALTO RIESGO NO MITIGABLE ID:2011-4-13355, LOCALIDAD:04 SAN CRISTÓBAL, UPZ:32 SAN BLAS.</v>
          </cell>
          <cell r="R1857">
            <v>3363507</v>
          </cell>
          <cell r="S1857">
            <v>480501</v>
          </cell>
          <cell r="T1857">
            <v>0</v>
          </cell>
          <cell r="U1857">
            <v>2883006</v>
          </cell>
          <cell r="V1857">
            <v>2883006</v>
          </cell>
        </row>
        <row r="1858">
          <cell r="J1858">
            <v>1227</v>
          </cell>
          <cell r="K1858">
            <v>43143</v>
          </cell>
          <cell r="L1858" t="str">
            <v>JAIME ANTONIO CAMARGO</v>
          </cell>
          <cell r="M1858">
            <v>31</v>
          </cell>
          <cell r="N1858" t="str">
            <v>RESOLUCION</v>
          </cell>
          <cell r="O1858">
            <v>904</v>
          </cell>
          <cell r="P1858">
            <v>43143</v>
          </cell>
          <cell r="Q1858" t="str">
            <v>AYUDA TEMPORAL A LAS FAMILIAS DE VARIAS LOCALIDADES, PARA RELOCALIZACIÓN DE HOGARES LOCALIZADOS EN ZONAS DE ALTO RIESGO NO MITIGABLE ID:2013-Q10-00471, LOCALIDAD:04 SAN CRISTÓBAL, UPZ:51 LOS LIBERTADORES, SECTOR:QUEBRADA VEREJONES</v>
          </cell>
          <cell r="R1858">
            <v>5603000</v>
          </cell>
          <cell r="S1858">
            <v>0</v>
          </cell>
          <cell r="T1858">
            <v>0</v>
          </cell>
          <cell r="U1858">
            <v>5603000</v>
          </cell>
          <cell r="V1858">
            <v>2586000</v>
          </cell>
        </row>
        <row r="1859">
          <cell r="J1859">
            <v>1228</v>
          </cell>
          <cell r="K1859">
            <v>43143</v>
          </cell>
          <cell r="L1859" t="str">
            <v>OLGA LUCIA ANDRADE SANCHEZ</v>
          </cell>
          <cell r="M1859">
            <v>31</v>
          </cell>
          <cell r="N1859" t="str">
            <v>RESOLUCION</v>
          </cell>
          <cell r="O1859">
            <v>905</v>
          </cell>
          <cell r="P1859">
            <v>43143</v>
          </cell>
          <cell r="Q1859" t="str">
            <v>AYUDA TEMPORAL A LAS FAMILIAS DE VARIAS LOCALIDADES, PARA RELOCALIZACIÓN DE HOGARES LOCALIZADOS EN ZONAS DE ALTO RIESGO NO MITIGABLE ID:2013000459, LOCALIDAD:04 SAN CRISTÓBAL, UPZ:51 LOS LIBERTADORES, SECTOR:QUEBRADA VEREJONES</v>
          </cell>
          <cell r="R1859">
            <v>2734345</v>
          </cell>
          <cell r="S1859">
            <v>546869</v>
          </cell>
          <cell r="T1859">
            <v>0</v>
          </cell>
          <cell r="U1859">
            <v>2187476</v>
          </cell>
          <cell r="V1859">
            <v>2187476</v>
          </cell>
        </row>
        <row r="1860">
          <cell r="J1860">
            <v>1229</v>
          </cell>
          <cell r="K1860">
            <v>43143</v>
          </cell>
          <cell r="L1860" t="str">
            <v>MARIA ELENA QUINTERO</v>
          </cell>
          <cell r="M1860">
            <v>31</v>
          </cell>
          <cell r="N1860" t="str">
            <v>RESOLUCION</v>
          </cell>
          <cell r="O1860">
            <v>906</v>
          </cell>
          <cell r="P1860">
            <v>43143</v>
          </cell>
          <cell r="Q1860" t="str">
            <v>AYUDA TEMPORAL A LAS FAMILIAS DE VARIAS LOCALIDADES, PARA RELOCALIZACIÓN DE HOGARES LOCALIZADOS EN ZONAS DE ALTO RIESGO NO MITIGABLE ID:2005-18-7102, LOCALIDAD:18 RAFAEL URIBE URIBE, UPZ:55 DIANA TURBAY.</v>
          </cell>
          <cell r="R1860">
            <v>4942301</v>
          </cell>
          <cell r="S1860">
            <v>0</v>
          </cell>
          <cell r="T1860">
            <v>0</v>
          </cell>
          <cell r="U1860">
            <v>4942301</v>
          </cell>
          <cell r="V1860">
            <v>3041416</v>
          </cell>
        </row>
        <row r="1861">
          <cell r="J1861">
            <v>1230</v>
          </cell>
          <cell r="K1861">
            <v>43143</v>
          </cell>
          <cell r="L1861" t="str">
            <v>NELFRIDO ENRIQUE TOVAR HOYOS</v>
          </cell>
          <cell r="M1861">
            <v>31</v>
          </cell>
          <cell r="N1861" t="str">
            <v>RESOLUCION</v>
          </cell>
          <cell r="O1861">
            <v>907</v>
          </cell>
          <cell r="P1861">
            <v>43143</v>
          </cell>
          <cell r="Q1861" t="str">
            <v>AYUDA TEMPORAL A LAS FAMILIAS DE VARIAS LOCALIDADES, PARA RELOCALIZACIÓN DE HOGARES LOCALIZADOS EN ZONAS DE ALTO RIESGO NO MITIGABLE ID:2016-08-14874, LOCALIDAD:08 KENNEDY, UPZ:82 PATIO BONITO, SECTOR:PALMITAS</v>
          </cell>
          <cell r="R1861">
            <v>4027933</v>
          </cell>
          <cell r="S1861">
            <v>575419</v>
          </cell>
          <cell r="T1861">
            <v>0</v>
          </cell>
          <cell r="U1861">
            <v>3452514</v>
          </cell>
          <cell r="V1861">
            <v>3452514</v>
          </cell>
        </row>
        <row r="1862">
          <cell r="J1862">
            <v>1231</v>
          </cell>
          <cell r="K1862">
            <v>43143</v>
          </cell>
          <cell r="L1862" t="str">
            <v>JOSE MARIA DOKOE CAUCHERO</v>
          </cell>
          <cell r="M1862">
            <v>31</v>
          </cell>
          <cell r="N1862" t="str">
            <v>RESOLUCION</v>
          </cell>
          <cell r="O1862">
            <v>795</v>
          </cell>
          <cell r="P1862">
            <v>43143</v>
          </cell>
          <cell r="Q1862" t="str">
            <v>AYUDA TEMPORAL A LAS FAMILIAS DE VARIAS LOCALIDADES, PARA RELOCALIZACIÓN DE HOGARES LOCALIZADOS EN ZONAS DE ALTO RIESGO NO MITIGABLE ID:2016-W166-00025, LOCALIDAD:03 SANTA FE, UPZ:95 LAS CRUCES, SECTOR:UITOTO</v>
          </cell>
          <cell r="R1862">
            <v>5736263</v>
          </cell>
          <cell r="S1862">
            <v>0</v>
          </cell>
          <cell r="T1862">
            <v>0</v>
          </cell>
          <cell r="U1862">
            <v>5736263</v>
          </cell>
          <cell r="V1862">
            <v>3530008</v>
          </cell>
        </row>
        <row r="1863">
          <cell r="J1863">
            <v>1232</v>
          </cell>
          <cell r="K1863">
            <v>43143</v>
          </cell>
          <cell r="L1863" t="str">
            <v>CLEOFELINA  GARCIA DE CASTRO</v>
          </cell>
          <cell r="M1863">
            <v>31</v>
          </cell>
          <cell r="N1863" t="str">
            <v>RESOLUCION</v>
          </cell>
          <cell r="O1863">
            <v>796</v>
          </cell>
          <cell r="P1863">
            <v>43143</v>
          </cell>
          <cell r="Q1863" t="str">
            <v>AYUDA TEMPORAL A LAS FAMILIAS DE VARIAS LOCALIDADES, PARA RELOCALIZACIÓN DE HOGARES LOCALIZADOS EN ZONAS DE ALTO RIESGO NO MITIGABLE ID:2014-OTR-00888, LOCALIDAD:03 SANTA FE, UPZ:96 LOURDES, SECTOR:CASA 2</v>
          </cell>
          <cell r="R1863">
            <v>3014166</v>
          </cell>
          <cell r="S1863">
            <v>502361</v>
          </cell>
          <cell r="T1863">
            <v>0</v>
          </cell>
          <cell r="U1863">
            <v>2511805</v>
          </cell>
          <cell r="V1863">
            <v>2511805</v>
          </cell>
        </row>
        <row r="1864">
          <cell r="J1864">
            <v>1233</v>
          </cell>
          <cell r="K1864">
            <v>43143</v>
          </cell>
          <cell r="L1864" t="str">
            <v>NELSON ARLEY ZULUAGA RAMIREZ</v>
          </cell>
          <cell r="M1864">
            <v>31</v>
          </cell>
          <cell r="N1864" t="str">
            <v>RESOLUCION</v>
          </cell>
          <cell r="O1864">
            <v>797</v>
          </cell>
          <cell r="P1864">
            <v>43143</v>
          </cell>
          <cell r="Q1864" t="str">
            <v>AYUDA TEMPORAL A LAS FAMILIAS DE VARIAS LOCALIDADES, PARA RELOCALIZACIÓN DE HOGARES LOCALIZADOS EN ZONAS DE ALTO RIESGO NO MITIGABLE ID:2016-08-14862, LOCALIDAD:08 KENNEDY, UPZ:82 PATIO BONITO, SECTOR:PALMITAS</v>
          </cell>
          <cell r="R1864">
            <v>4929600</v>
          </cell>
          <cell r="S1864">
            <v>0</v>
          </cell>
          <cell r="T1864">
            <v>0</v>
          </cell>
          <cell r="U1864">
            <v>4929600</v>
          </cell>
          <cell r="V1864">
            <v>3033600</v>
          </cell>
        </row>
        <row r="1865">
          <cell r="J1865">
            <v>1234</v>
          </cell>
          <cell r="K1865">
            <v>43143</v>
          </cell>
          <cell r="L1865" t="str">
            <v>ASTRID KATHERINE GAMBA GARZON</v>
          </cell>
          <cell r="M1865">
            <v>31</v>
          </cell>
          <cell r="N1865" t="str">
            <v>RESOLUCION</v>
          </cell>
          <cell r="O1865">
            <v>798</v>
          </cell>
          <cell r="P1865">
            <v>43143</v>
          </cell>
          <cell r="Q1865" t="str">
            <v>AYUDA TEMPORAL A LAS FAMILIAS DE VARIAS LOCALIDADES, PARA RELOCALIZACIÓN DE HOGARES LOCALIZADOS EN ZONAS DE ALTO RIESGO NO MITIGABLE ID:2015-3-14759, LOCALIDAD:03 SANTA FE, UPZ:96 LOURDES,</v>
          </cell>
          <cell r="R1865">
            <v>6431698</v>
          </cell>
          <cell r="S1865">
            <v>0</v>
          </cell>
          <cell r="T1865">
            <v>0</v>
          </cell>
          <cell r="U1865">
            <v>6431698</v>
          </cell>
          <cell r="V1865">
            <v>3957968</v>
          </cell>
        </row>
        <row r="1866">
          <cell r="J1866">
            <v>1235</v>
          </cell>
          <cell r="K1866">
            <v>43143</v>
          </cell>
          <cell r="L1866" t="str">
            <v>DIANA MARCELA AVELLA GUTIERREZ</v>
          </cell>
          <cell r="M1866">
            <v>31</v>
          </cell>
          <cell r="N1866" t="str">
            <v>RESOLUCION</v>
          </cell>
          <cell r="O1866">
            <v>799</v>
          </cell>
          <cell r="P1866">
            <v>43143</v>
          </cell>
          <cell r="Q1866" t="str">
            <v>AYUDA TEMPORAL A LAS FAMILIAS DE VARIAS LOCALIDADES, PARA RELOCALIZACIÓN DE HOGARES LOCALIZADOS EN ZONAS DE ALTO RIESGO NO MITIGABLE ID:2013-Q17-00021, LOCALIDAD:19 CIUDAD BOLÍVAR, UPZ:68 EL TESORO, SECTOR:QUEBRADA GALINDO</v>
          </cell>
          <cell r="R1866">
            <v>3541044</v>
          </cell>
          <cell r="S1866">
            <v>1770522</v>
          </cell>
          <cell r="T1866">
            <v>0</v>
          </cell>
          <cell r="U1866">
            <v>1770522</v>
          </cell>
          <cell r="V1866">
            <v>1770522</v>
          </cell>
        </row>
        <row r="1867">
          <cell r="J1867">
            <v>1236</v>
          </cell>
          <cell r="K1867">
            <v>43143</v>
          </cell>
          <cell r="L1867" t="str">
            <v>CECILIA  GONZALEZ GUZMAN</v>
          </cell>
          <cell r="M1867">
            <v>31</v>
          </cell>
          <cell r="N1867" t="str">
            <v>RESOLUCION</v>
          </cell>
          <cell r="O1867">
            <v>800</v>
          </cell>
          <cell r="P1867">
            <v>43143</v>
          </cell>
          <cell r="Q1867" t="str">
            <v>AYUDA TEMPORAL A LAS FAMILIAS DE VARIAS LOCALIDADES, PARA RELOCALIZACIÓN DE HOGARES LOCALIZADOS EN ZONAS DE ALTO RIESGO NO MITIGABLE ID:2007-19-9711, LOCALIDAD:19 CIUDAD BOLÍVAR, UPZ:69 ISMAEL PERDOMO,</v>
          </cell>
          <cell r="R1867">
            <v>4878720</v>
          </cell>
          <cell r="S1867">
            <v>0</v>
          </cell>
          <cell r="T1867">
            <v>0</v>
          </cell>
          <cell r="U1867">
            <v>4878720</v>
          </cell>
          <cell r="V1867">
            <v>2845920</v>
          </cell>
        </row>
        <row r="1868">
          <cell r="J1868">
            <v>1237</v>
          </cell>
          <cell r="K1868">
            <v>43144</v>
          </cell>
          <cell r="L1868" t="str">
            <v>MIGUEL  PARRA BERNAL</v>
          </cell>
          <cell r="M1868">
            <v>31</v>
          </cell>
          <cell r="N1868" t="str">
            <v>RESOLUCION</v>
          </cell>
          <cell r="O1868">
            <v>818</v>
          </cell>
          <cell r="P1868">
            <v>43144</v>
          </cell>
          <cell r="Q1868" t="str">
            <v>AYUDA TEMPORAL A LAS FAMILIAS DE VARIAS LOCALIDADES, PARA RELOCALIZACIÓN DE HOGARES LOCALIZADOS EN ZONAS DE ALTO RIESGO NO MITIGABLE ID:2014-Q03-01229, LOCALIDAD:19 CIUDAD BOLÍVAR, UPZ:66 SAN FRANCISCO, SECTOR:LIMAS</v>
          </cell>
          <cell r="R1868">
            <v>2545125</v>
          </cell>
          <cell r="S1868">
            <v>509025</v>
          </cell>
          <cell r="T1868">
            <v>0</v>
          </cell>
          <cell r="U1868">
            <v>2036100</v>
          </cell>
          <cell r="V1868">
            <v>2036100</v>
          </cell>
        </row>
        <row r="1869">
          <cell r="J1869">
            <v>1238</v>
          </cell>
          <cell r="K1869">
            <v>43144</v>
          </cell>
          <cell r="L1869" t="str">
            <v>LEONILDE  GARZON CORTES</v>
          </cell>
          <cell r="M1869">
            <v>31</v>
          </cell>
          <cell r="N1869" t="str">
            <v>RESOLUCION</v>
          </cell>
          <cell r="O1869">
            <v>819</v>
          </cell>
          <cell r="P1869">
            <v>43144</v>
          </cell>
          <cell r="Q1869" t="str">
            <v>AYUDA TEMPORAL A LAS FAMILIAS DE VARIAS LOCALIDADES, PARA RELOCALIZACIÓN DE HOGARES LOCALIZADOS EN ZONAS DE ALTO RIESGO NO MITIGABLE ID:2012-19-14130, LOCALIDAD:19 CIUDAD BOLÍVAR, UPZ:68 EL TESORO, SECTOR:QUEBRADA TROMPETA</v>
          </cell>
          <cell r="R1869">
            <v>2343726</v>
          </cell>
          <cell r="S1869">
            <v>390621</v>
          </cell>
          <cell r="T1869">
            <v>0</v>
          </cell>
          <cell r="U1869">
            <v>1953105</v>
          </cell>
          <cell r="V1869">
            <v>1953105</v>
          </cell>
        </row>
        <row r="1870">
          <cell r="J1870">
            <v>1239</v>
          </cell>
          <cell r="K1870">
            <v>43144</v>
          </cell>
          <cell r="L1870" t="str">
            <v>YADIRA  GOMEZ DAZA</v>
          </cell>
          <cell r="M1870">
            <v>31</v>
          </cell>
          <cell r="N1870" t="str">
            <v>RESOLUCION</v>
          </cell>
          <cell r="O1870">
            <v>820</v>
          </cell>
          <cell r="P1870">
            <v>43144</v>
          </cell>
          <cell r="Q1870" t="str">
            <v>AYUDA TEMPORAL A LAS FAMILIAS DE VARIAS LOCALIDADES, PARA RELOCALIZACIÓN DE HOGARES LOCALIZADOS EN ZONAS DE ALTO RIESGO NO MITIGABLE ID:2012-19-14382, LOCALIDAD:19 CIUDAD BOLÍVAR, UPZ:68 EL TESORO, SECTOR:</v>
          </cell>
          <cell r="R1870">
            <v>2299050</v>
          </cell>
          <cell r="S1870">
            <v>459810</v>
          </cell>
          <cell r="T1870">
            <v>0</v>
          </cell>
          <cell r="U1870">
            <v>1839240</v>
          </cell>
          <cell r="V1870">
            <v>1839240</v>
          </cell>
        </row>
        <row r="1871">
          <cell r="J1871">
            <v>1241</v>
          </cell>
          <cell r="K1871">
            <v>43144</v>
          </cell>
          <cell r="L1871" t="str">
            <v>ANGELA PATRICIA ROJAS SIERRA</v>
          </cell>
          <cell r="M1871">
            <v>31</v>
          </cell>
          <cell r="N1871" t="str">
            <v>RESOLUCION</v>
          </cell>
          <cell r="O1871">
            <v>801</v>
          </cell>
          <cell r="P1871">
            <v>43144</v>
          </cell>
          <cell r="Q1871" t="str">
            <v>AYUDA TEMPORAL A LAS FAMILIAS DE VARIAS LOCALIDADES, PARA RELOCALIZACIÓN DE HOGARES LOCALIZADOS EN ZONAS DE ALTO RIESGO NO MITIGABLE ID:2011-4-12720, LOCALIDAD:04 SAN CRISTÓBAL, UPZ:32 SAN BLAS,</v>
          </cell>
          <cell r="R1871">
            <v>4176009</v>
          </cell>
          <cell r="S1871">
            <v>0</v>
          </cell>
          <cell r="T1871">
            <v>0</v>
          </cell>
          <cell r="U1871">
            <v>4176009</v>
          </cell>
          <cell r="V1871">
            <v>3248007</v>
          </cell>
        </row>
        <row r="1872">
          <cell r="J1872">
            <v>1242</v>
          </cell>
          <cell r="K1872">
            <v>43144</v>
          </cell>
          <cell r="L1872" t="str">
            <v>MARIA CARLOTA ARENAS GIRALDO</v>
          </cell>
          <cell r="M1872">
            <v>31</v>
          </cell>
          <cell r="N1872" t="str">
            <v>RESOLUCION</v>
          </cell>
          <cell r="O1872">
            <v>802</v>
          </cell>
          <cell r="P1872">
            <v>43144</v>
          </cell>
          <cell r="Q1872" t="str">
            <v>AYUDA TEMPORAL A LAS FAMILIAS DE VARIAS LOCALIDADES, PARA RELOCALIZACIÓN DE HOGARES LOCALIZADOS EN ZONAS DE ALTO RIESGO NO MITIGABLE ID:2012-T314-01, LOCALIDAD:04 SAN CRISTÓBAL, UPZ:50 LA GLORIA, SECTOR:</v>
          </cell>
          <cell r="R1872">
            <v>2590566</v>
          </cell>
          <cell r="S1872">
            <v>431761</v>
          </cell>
          <cell r="T1872">
            <v>0</v>
          </cell>
          <cell r="U1872">
            <v>2158805</v>
          </cell>
          <cell r="V1872">
            <v>2158805</v>
          </cell>
        </row>
        <row r="1873">
          <cell r="J1873">
            <v>1243</v>
          </cell>
          <cell r="K1873">
            <v>43144</v>
          </cell>
          <cell r="L1873" t="str">
            <v>GERMAN MAURICIO TERREROS</v>
          </cell>
          <cell r="M1873">
            <v>31</v>
          </cell>
          <cell r="N1873" t="str">
            <v>RESOLUCION</v>
          </cell>
          <cell r="O1873">
            <v>821</v>
          </cell>
          <cell r="P1873">
            <v>43144</v>
          </cell>
          <cell r="Q1873" t="str">
            <v>AYUDA TEMPORAL A LAS FAMILIAS DE VARIAS LOCALIDADES, PARA RELOCALIZACIÓN DE HOGARES LOCALIZADOS EN ZONAS DE ALTO RIESGO NO MITIGABLE ID:2015-D227-00032, LOCALIDAD:04 SAN CRISTÓBAL, UPZ:51 LOS LIBERTADORES, SECTOR:SANTA TERESITA</v>
          </cell>
          <cell r="R1873">
            <v>4949004</v>
          </cell>
          <cell r="S1873">
            <v>0</v>
          </cell>
          <cell r="T1873">
            <v>0</v>
          </cell>
          <cell r="U1873">
            <v>4949004</v>
          </cell>
          <cell r="V1873">
            <v>2886919</v>
          </cell>
        </row>
        <row r="1874">
          <cell r="J1874">
            <v>1244</v>
          </cell>
          <cell r="K1874">
            <v>43144</v>
          </cell>
          <cell r="L1874" t="str">
            <v>ISRAEL  ALVAREZ RONDON</v>
          </cell>
          <cell r="M1874">
            <v>31</v>
          </cell>
          <cell r="N1874" t="str">
            <v>RESOLUCION</v>
          </cell>
          <cell r="O1874">
            <v>803</v>
          </cell>
          <cell r="P1874">
            <v>43144</v>
          </cell>
          <cell r="Q1874" t="str">
            <v>AYUDA TEMPORAL A LAS FAMILIAS DE VARIAS LOCALIDADES, PARA RELOCALIZACIÓN DE HOGARES LOCALIZADOS EN ZONAS DE ALTO RIESGO NO MITIGABLE ID:2011-4-12922, LOCALIDAD:04 SAN CRISTÓBAL, UPZ:50 LA GLORIA,</v>
          </cell>
          <cell r="R1874">
            <v>3186936</v>
          </cell>
          <cell r="S1874">
            <v>2655780</v>
          </cell>
          <cell r="T1874">
            <v>0</v>
          </cell>
          <cell r="U1874">
            <v>531156</v>
          </cell>
          <cell r="V1874">
            <v>531156</v>
          </cell>
        </row>
        <row r="1875">
          <cell r="J1875">
            <v>1245</v>
          </cell>
          <cell r="K1875">
            <v>43144</v>
          </cell>
          <cell r="L1875" t="str">
            <v>LUZ MARINA RAMOS RODRIGUEZ</v>
          </cell>
          <cell r="M1875">
            <v>31</v>
          </cell>
          <cell r="N1875" t="str">
            <v>RESOLUCION</v>
          </cell>
          <cell r="O1875">
            <v>804</v>
          </cell>
          <cell r="P1875">
            <v>43144</v>
          </cell>
          <cell r="Q1875" t="str">
            <v>AYUDA TEMPORAL A LAS FAMILIAS DE VARIAS LOCALIDADES, PARA RELOCALIZACIÓN DE HOGARES LOCALIZADOS EN ZONAS DE ALTO RIESGO NO MITIGABLE ID:2015-D227-00033, LOCALIDAD:04 SAN CRISTÓBAL, UPZ:51 LOS LIBERTADORES, SECTOR:SANTA TERESITA</v>
          </cell>
          <cell r="R1875">
            <v>5361707</v>
          </cell>
          <cell r="S1875">
            <v>0</v>
          </cell>
          <cell r="T1875">
            <v>0</v>
          </cell>
          <cell r="U1875">
            <v>5361707</v>
          </cell>
          <cell r="V1875">
            <v>3299512</v>
          </cell>
        </row>
        <row r="1876">
          <cell r="J1876">
            <v>1246</v>
          </cell>
          <cell r="K1876">
            <v>43144</v>
          </cell>
          <cell r="L1876" t="str">
            <v>JULIO CESAR CHICA BAUTISTA</v>
          </cell>
          <cell r="M1876">
            <v>31</v>
          </cell>
          <cell r="N1876" t="str">
            <v>RESOLUCION</v>
          </cell>
          <cell r="O1876">
            <v>805</v>
          </cell>
          <cell r="P1876">
            <v>43144</v>
          </cell>
          <cell r="Q1876" t="str">
            <v>AYUDA TEMPORAL A LAS FAMILIAS DE VARIAS LOCALIDADES, PARA RELOCALIZACIÓN DE HOGARES LOCALIZADOS EN ZONAS DE ALTO RIESGO NO MITIGABLE ID:2015-OTR-01370, LOCALIDAD:11 SUBA, UPZ:71 TIBABUYES, SECTOR:GAVILANES</v>
          </cell>
          <cell r="R1876">
            <v>5100900</v>
          </cell>
          <cell r="S1876">
            <v>0</v>
          </cell>
          <cell r="T1876">
            <v>0</v>
          </cell>
          <cell r="U1876">
            <v>5100900</v>
          </cell>
          <cell r="V1876">
            <v>2975525</v>
          </cell>
        </row>
        <row r="1877">
          <cell r="J1877">
            <v>1247</v>
          </cell>
          <cell r="K1877">
            <v>43144</v>
          </cell>
          <cell r="L1877" t="str">
            <v>ANA CECILIA VILLAQUIRA TITIMBO</v>
          </cell>
          <cell r="M1877">
            <v>31</v>
          </cell>
          <cell r="N1877" t="str">
            <v>RESOLUCION</v>
          </cell>
          <cell r="O1877">
            <v>806</v>
          </cell>
          <cell r="P1877">
            <v>43144</v>
          </cell>
          <cell r="Q1877" t="str">
            <v>AYUDA TEMPORAL A LAS FAMILIAS DE VARIAS LOCALIDADES, PARA RELOCALIZACIÓN DE HOGARES LOCALIZADOS EN ZONAS DE ALTO RIESGO NO MITIGABLE ID:2014-OTR-00950, LOCALIDAD:19 CIUDAD BOLÍVAR, UPZ:67 LUCERO, SECTOR:TABOR ALTALOMA</v>
          </cell>
          <cell r="R1877">
            <v>3186936</v>
          </cell>
          <cell r="S1877">
            <v>531156</v>
          </cell>
          <cell r="T1877">
            <v>0</v>
          </cell>
          <cell r="U1877">
            <v>2655780</v>
          </cell>
          <cell r="V1877">
            <v>2655780</v>
          </cell>
        </row>
        <row r="1878">
          <cell r="J1878">
            <v>1248</v>
          </cell>
          <cell r="K1878">
            <v>43144</v>
          </cell>
          <cell r="L1878" t="str">
            <v>EDILBERTO  RODRIGUEZ DIAZ</v>
          </cell>
          <cell r="M1878">
            <v>31</v>
          </cell>
          <cell r="N1878" t="str">
            <v>RESOLUCION</v>
          </cell>
          <cell r="O1878">
            <v>807</v>
          </cell>
          <cell r="P1878">
            <v>43144</v>
          </cell>
          <cell r="Q1878" t="str">
            <v>AYUDA TEMPORAL A LAS FAMILIAS DE VARIAS LOCALIDADES, PARA RELOCALIZACIÓN DE HOGARES LOCALIZADOS EN ZONAS DE ALTO RIESGO NO MITIGABLE ID:2011-4-12483, LOCALIDAD:04 SAN CRISTÓBAL, UPZ:50 LA GLORIA, SECTOR:OLA INVERNAL 2010 FOPAE</v>
          </cell>
          <cell r="R1878">
            <v>2700000</v>
          </cell>
          <cell r="S1878">
            <v>450000</v>
          </cell>
          <cell r="T1878">
            <v>0</v>
          </cell>
          <cell r="U1878">
            <v>2250000</v>
          </cell>
          <cell r="V1878">
            <v>2250000</v>
          </cell>
        </row>
        <row r="1879">
          <cell r="J1879">
            <v>1249</v>
          </cell>
          <cell r="K1879">
            <v>43144</v>
          </cell>
          <cell r="L1879" t="str">
            <v>NEYRA  MORENO PEÑA</v>
          </cell>
          <cell r="M1879">
            <v>31</v>
          </cell>
          <cell r="N1879" t="str">
            <v>RESOLUCION</v>
          </cell>
          <cell r="O1879">
            <v>808</v>
          </cell>
          <cell r="P1879">
            <v>43144</v>
          </cell>
          <cell r="Q1879" t="str">
            <v>AYUDA TEMPORAL A LAS FAMILIAS DE VARIAS LOCALIDADES, PARA RELOCALIZACIÓN DE HOGARES LOCALIZADOS EN ZONAS DE ALTO RIESGO NO MITIGABLE ID:2013-Q04-00498, LOCALIDAD:19 CIUDAD BOLÍVAR, UPZ:67 LUCERO, SECTOR:PEÑA COLORADA</v>
          </cell>
          <cell r="R1879">
            <v>5336148</v>
          </cell>
          <cell r="S1879">
            <v>0</v>
          </cell>
          <cell r="T1879">
            <v>0</v>
          </cell>
          <cell r="U1879">
            <v>5336148</v>
          </cell>
          <cell r="V1879">
            <v>3112753</v>
          </cell>
        </row>
        <row r="1880">
          <cell r="J1880">
            <v>1250</v>
          </cell>
          <cell r="K1880">
            <v>43144</v>
          </cell>
          <cell r="L1880" t="str">
            <v>OLGA  GONZALEZ GONZALEZ</v>
          </cell>
          <cell r="M1880">
            <v>31</v>
          </cell>
          <cell r="N1880" t="str">
            <v>RESOLUCION</v>
          </cell>
          <cell r="O1880">
            <v>809</v>
          </cell>
          <cell r="P1880">
            <v>43144</v>
          </cell>
          <cell r="Q1880" t="str">
            <v>AYUDA TEMPORAL A LAS FAMILIAS DE VARIAS LOCALIDADES, PARA RELOCALIZACIÓN DE HOGARES LOCALIZADOS EN ZONAS DE ALTO RIESGO NO MITIGABLE ID:2014-Q01-01192, LOCALIDAD:05 USME, UPZ:56 DANUBIO, SECTOR:HOYA DEL RAMO</v>
          </cell>
          <cell r="R1880">
            <v>2531226</v>
          </cell>
          <cell r="S1880">
            <v>421871</v>
          </cell>
          <cell r="T1880">
            <v>0</v>
          </cell>
          <cell r="U1880">
            <v>2109355</v>
          </cell>
          <cell r="V1880">
            <v>2109355</v>
          </cell>
        </row>
        <row r="1881">
          <cell r="J1881">
            <v>1251</v>
          </cell>
          <cell r="K1881">
            <v>43144</v>
          </cell>
          <cell r="L1881" t="str">
            <v>BLANCA NELLY SANCHEZ VARGAS</v>
          </cell>
          <cell r="M1881">
            <v>31</v>
          </cell>
          <cell r="N1881" t="str">
            <v>RESOLUCION</v>
          </cell>
          <cell r="O1881">
            <v>810</v>
          </cell>
          <cell r="P1881">
            <v>43144</v>
          </cell>
          <cell r="Q1881" t="str">
            <v>AYUDA TEMPORAL A LAS FAMILIAS DE VARIAS LOCALIDADES, PARA RELOCALIZACIÓN DE HOGARES LOCALIZADOS EN ZONAS DE ALTO RIESGO NO MITIGABLE ID:2012-ALES-83, LOCALIDAD:19 CIUDAD BOLÍVAR, UPZ:69 ISMAEL PERDOMO, SECTOR:ALTOS DE LA ESTANCIA</v>
          </cell>
          <cell r="R1881">
            <v>3363507</v>
          </cell>
          <cell r="S1881">
            <v>480501</v>
          </cell>
          <cell r="T1881">
            <v>0</v>
          </cell>
          <cell r="U1881">
            <v>2883006</v>
          </cell>
          <cell r="V1881">
            <v>2883006</v>
          </cell>
        </row>
        <row r="1882">
          <cell r="J1882">
            <v>1252</v>
          </cell>
          <cell r="K1882">
            <v>43144</v>
          </cell>
          <cell r="L1882" t="str">
            <v>RUBIELA  AROCA YARA</v>
          </cell>
          <cell r="M1882">
            <v>31</v>
          </cell>
          <cell r="N1882" t="str">
            <v>RESOLUCION</v>
          </cell>
          <cell r="O1882">
            <v>811</v>
          </cell>
          <cell r="P1882">
            <v>43144</v>
          </cell>
          <cell r="Q1882" t="str">
            <v>AYUDA TEMPORAL A LAS FAMILIAS DE VARIAS LOCALIDADES, PARA RELOCALIZACIÓN DE HOGARES LOCALIZADOS EN ZONAS DE ALTO RIESGO NO MITIGABLE ID:2006-4-8640, LOCALIDAD:04 SAN CRISTÓBAL, UPZ:50 LA GLORIA, SECTOR:</v>
          </cell>
          <cell r="R1882">
            <v>4802539</v>
          </cell>
          <cell r="S1882">
            <v>686077</v>
          </cell>
          <cell r="T1882">
            <v>0</v>
          </cell>
          <cell r="U1882">
            <v>4116462</v>
          </cell>
          <cell r="V1882">
            <v>4116462</v>
          </cell>
        </row>
        <row r="1883">
          <cell r="J1883">
            <v>1253</v>
          </cell>
          <cell r="K1883">
            <v>43144</v>
          </cell>
          <cell r="L1883" t="str">
            <v>YENNY  CHAMAPURO CHIRIMIA</v>
          </cell>
          <cell r="M1883">
            <v>31</v>
          </cell>
          <cell r="N1883" t="str">
            <v>RESOLUCION</v>
          </cell>
          <cell r="O1883">
            <v>908</v>
          </cell>
          <cell r="P1883">
            <v>43144</v>
          </cell>
          <cell r="Q1883" t="str">
            <v>AYUDA TEMPORAL A LAS FAMILIAS DE VARIAS LOCALIDADES, PARA RELOCALIZACIÓN DE HOGARES LOCALIZADOS EN ZONAS DE ALTO RIESGO NO MITIGABLE ID:2015-W166-437, LOCALIDAD:19 CIUDAD BOLÍVAR, UPZ:68 EL TESORO, SECTOR:WOUNAAN</v>
          </cell>
          <cell r="R1883">
            <v>2165056</v>
          </cell>
          <cell r="S1883">
            <v>541264</v>
          </cell>
          <cell r="T1883">
            <v>0</v>
          </cell>
          <cell r="U1883">
            <v>1623792</v>
          </cell>
          <cell r="V1883">
            <v>1623792</v>
          </cell>
        </row>
        <row r="1884">
          <cell r="J1884">
            <v>1254</v>
          </cell>
          <cell r="K1884">
            <v>43144</v>
          </cell>
          <cell r="L1884" t="str">
            <v>MARIA LUCENA QUINTERO ARIAS</v>
          </cell>
          <cell r="M1884">
            <v>31</v>
          </cell>
          <cell r="N1884" t="str">
            <v>RESOLUCION</v>
          </cell>
          <cell r="O1884">
            <v>909</v>
          </cell>
          <cell r="P1884">
            <v>43144</v>
          </cell>
          <cell r="Q1884" t="str">
            <v>AYUDA TEMPORAL A LAS FAMILIAS DE VARIAS LOCALIDADES, PARA RELOCALIZACIÓN DE HOGARES LOCALIZADOS EN ZONAS DE ALTO RIESGO NO MITIGABLE ID:2011-19-12886, LOCALIDAD:19 CIUDAD BOLÍVAR, UPZ:67 LUCERO</v>
          </cell>
          <cell r="R1884">
            <v>2924376</v>
          </cell>
          <cell r="S1884">
            <v>417768</v>
          </cell>
          <cell r="T1884">
            <v>0</v>
          </cell>
          <cell r="U1884">
            <v>2506608</v>
          </cell>
          <cell r="V1884">
            <v>2506608</v>
          </cell>
        </row>
        <row r="1885">
          <cell r="J1885">
            <v>1255</v>
          </cell>
          <cell r="K1885">
            <v>43144</v>
          </cell>
          <cell r="L1885" t="str">
            <v>SONIA CECILIA BEDOYA TRIANA</v>
          </cell>
          <cell r="M1885">
            <v>31</v>
          </cell>
          <cell r="N1885" t="str">
            <v>RESOLUCION</v>
          </cell>
          <cell r="O1885">
            <v>910</v>
          </cell>
          <cell r="P1885">
            <v>43144</v>
          </cell>
          <cell r="Q1885" t="str">
            <v>AYUDA TEMPORAL A LAS FAMILIAS DE VARIAS LOCALIDADES, PARA RELOCALIZACIÓN DE HOGARES LOCALIZADOS EN ZONAS DE ALTO RIESGO NO MITIGABLE ID:2011-5-13640, LOCALIDAD:05 USME, UPZ:58 COMUNEROS.</v>
          </cell>
          <cell r="R1885">
            <v>2437476</v>
          </cell>
          <cell r="S1885">
            <v>406246</v>
          </cell>
          <cell r="T1885">
            <v>0</v>
          </cell>
          <cell r="U1885">
            <v>2031230</v>
          </cell>
          <cell r="V1885">
            <v>2031230</v>
          </cell>
        </row>
        <row r="1886">
          <cell r="J1886">
            <v>1256</v>
          </cell>
          <cell r="K1886">
            <v>43144</v>
          </cell>
          <cell r="L1886" t="str">
            <v>LUIS JAVIER LEON CAICEDO</v>
          </cell>
          <cell r="M1886">
            <v>31</v>
          </cell>
          <cell r="N1886" t="str">
            <v>RESOLUCION</v>
          </cell>
          <cell r="O1886">
            <v>911</v>
          </cell>
          <cell r="P1886">
            <v>43144</v>
          </cell>
          <cell r="Q1886" t="str">
            <v>AYUDA TEMPORAL A LAS FAMILIAS DE VARIAS LOCALIDADES, PARA RELOCALIZACIÓN DE HOGARES LOCALIZADOS EN ZONAS DE ALTO RIESGO NO MITIGABLE ID:2011-19-13408, LOCALIDAD:19 CIUDAD BOLÍVAR, UPZ:3 UPR RIO TUNJUELO.</v>
          </cell>
          <cell r="R1886">
            <v>2706492</v>
          </cell>
          <cell r="S1886">
            <v>0</v>
          </cell>
          <cell r="T1886">
            <v>0</v>
          </cell>
          <cell r="U1886">
            <v>2706492</v>
          </cell>
          <cell r="V1886">
            <v>902164</v>
          </cell>
        </row>
        <row r="1887">
          <cell r="J1887">
            <v>1257</v>
          </cell>
          <cell r="K1887">
            <v>43144</v>
          </cell>
          <cell r="L1887" t="str">
            <v>LUZ MERY BERMUDEZ VARGAS</v>
          </cell>
          <cell r="M1887">
            <v>31</v>
          </cell>
          <cell r="N1887" t="str">
            <v>RESOLUCION</v>
          </cell>
          <cell r="O1887">
            <v>769</v>
          </cell>
          <cell r="P1887">
            <v>43144</v>
          </cell>
          <cell r="Q1887" t="str">
            <v>AYUDA TEMPORAL A LAS FAMILIAS DE VARIAS LOCALIDADES, PARA RELOCALIZACIÓN DE HOGARES LOCALIZADOS EN ZONAS DE ALTO RIESGO NO MITIGABLE ID:2015-Q03-03361, LOCALIDAD:19 CIUDAD BOLÍVAR, UPZ:67 LUCERO, SECTOR:LIMAS</v>
          </cell>
          <cell r="R1887">
            <v>1804204</v>
          </cell>
          <cell r="S1887">
            <v>451051</v>
          </cell>
          <cell r="T1887">
            <v>0</v>
          </cell>
          <cell r="U1887">
            <v>1353153</v>
          </cell>
          <cell r="V1887">
            <v>1353153</v>
          </cell>
        </row>
        <row r="1888">
          <cell r="J1888">
            <v>1258</v>
          </cell>
          <cell r="K1888">
            <v>43144</v>
          </cell>
          <cell r="L1888" t="str">
            <v>ELVIRA  CORZO DE GALEANO</v>
          </cell>
          <cell r="M1888">
            <v>31</v>
          </cell>
          <cell r="N1888" t="str">
            <v>RESOLUCION</v>
          </cell>
          <cell r="O1888">
            <v>770</v>
          </cell>
          <cell r="P1888">
            <v>43144</v>
          </cell>
          <cell r="Q1888" t="str">
            <v>AYUDA TEMPORAL A LAS FAMILIAS DE VARIAS LOCALIDADES, PARA RELOCALIZACIÓN DE HOGARES LOCALIZADOS EN ZONAS DE ALTO RIESGO NO MITIGABLE ID:2014-Q07-00919, LOCALIDAD:19 CIUDAD BOLÍVAR, UPZ:68 EL TESORO, SECTOR:QUEBRADA GALINDO</v>
          </cell>
          <cell r="R1888">
            <v>1534452</v>
          </cell>
          <cell r="S1888">
            <v>383613</v>
          </cell>
          <cell r="T1888">
            <v>0</v>
          </cell>
          <cell r="U1888">
            <v>1150839</v>
          </cell>
          <cell r="V1888">
            <v>1150839</v>
          </cell>
        </row>
        <row r="1889">
          <cell r="J1889">
            <v>1259</v>
          </cell>
          <cell r="K1889">
            <v>43144</v>
          </cell>
          <cell r="L1889" t="str">
            <v>ALVARO  GARZON GONZALEZ</v>
          </cell>
          <cell r="M1889">
            <v>31</v>
          </cell>
          <cell r="N1889" t="str">
            <v>RESOLUCION</v>
          </cell>
          <cell r="O1889">
            <v>771</v>
          </cell>
          <cell r="P1889">
            <v>43144</v>
          </cell>
          <cell r="Q1889" t="str">
            <v>AYUDA TEMPORAL A LAS FAMILIAS DE VARIAS LOCALIDADES, PARA RELOCALIZACIÓN DE HOGARES LOCALIZADOS EN ZONAS DE ALTO RIESGO NO MITIGABLE ID:2015-D227-00038, LOCALIDAD:04 SAN CRISTÓBAL, UPZ:51 LOS LIBERTADORES, SECTOR:SANTA TERESITA</v>
          </cell>
          <cell r="R1889">
            <v>1933048</v>
          </cell>
          <cell r="S1889">
            <v>483262</v>
          </cell>
          <cell r="T1889">
            <v>0</v>
          </cell>
          <cell r="U1889">
            <v>1449786</v>
          </cell>
          <cell r="V1889">
            <v>1449786</v>
          </cell>
        </row>
        <row r="1890">
          <cell r="J1890">
            <v>1260</v>
          </cell>
          <cell r="K1890">
            <v>43144</v>
          </cell>
          <cell r="L1890" t="str">
            <v>JENNY MARCELA MARTINEZ ECHEVERRI</v>
          </cell>
          <cell r="M1890">
            <v>31</v>
          </cell>
          <cell r="N1890" t="str">
            <v>RESOLUCION</v>
          </cell>
          <cell r="O1890">
            <v>772</v>
          </cell>
          <cell r="P1890">
            <v>43144</v>
          </cell>
          <cell r="Q1890" t="str">
            <v>AYUDA TEMPORAL A LAS FAMILIAS DE VARIAS LOCALIDADES, PARA RELOCALIZACIÓN DE HOGARES LOCALIZADOS EN ZONAS DE ALTO RIESGO NO MITIGABLE ID:2016-08-14868, LOCALIDAD:08 KENNEDY, UPZ:82 PATIO BONITO, SECTOR:PALMITAS</v>
          </cell>
          <cell r="R1890">
            <v>5466487</v>
          </cell>
          <cell r="S1890">
            <v>4625489</v>
          </cell>
          <cell r="T1890">
            <v>0</v>
          </cell>
          <cell r="U1890">
            <v>840998</v>
          </cell>
          <cell r="V1890">
            <v>840998</v>
          </cell>
        </row>
        <row r="1891">
          <cell r="J1891">
            <v>1261</v>
          </cell>
          <cell r="K1891">
            <v>43144</v>
          </cell>
          <cell r="L1891" t="str">
            <v>MARIA GILMA TAPIERO</v>
          </cell>
          <cell r="M1891">
            <v>31</v>
          </cell>
          <cell r="N1891" t="str">
            <v>RESOLUCION</v>
          </cell>
          <cell r="O1891">
            <v>822</v>
          </cell>
          <cell r="P1891">
            <v>43144</v>
          </cell>
          <cell r="Q1891" t="str">
            <v>AYUDA TEMPORAL A LAS FAMILIAS DE VARIAS LOCALIDADES, PARA RELOCALIZACIÓN DE HOGARES LOCALIZADOS EN ZONAS DE ALTO RIESGO NO MITIGABLE ID:2012-19-13830, LOCALIDAD:19 CIUDAD BOLÍVAR, UPZ:67 LUCERO, SECTOR:</v>
          </cell>
          <cell r="R1891">
            <v>2892240</v>
          </cell>
          <cell r="S1891">
            <v>0</v>
          </cell>
          <cell r="T1891">
            <v>0</v>
          </cell>
          <cell r="U1891">
            <v>2892240</v>
          </cell>
          <cell r="V1891">
            <v>964080</v>
          </cell>
        </row>
        <row r="1892">
          <cell r="J1892">
            <v>1262</v>
          </cell>
          <cell r="K1892">
            <v>43144</v>
          </cell>
          <cell r="L1892" t="str">
            <v>MARLEN  BELTRAN MUÑOZ</v>
          </cell>
          <cell r="M1892">
            <v>31</v>
          </cell>
          <cell r="N1892" t="str">
            <v>RESOLUCION</v>
          </cell>
          <cell r="O1892">
            <v>773</v>
          </cell>
          <cell r="P1892">
            <v>43144</v>
          </cell>
          <cell r="Q1892" t="str">
            <v>AYUDA TEMPORAL A LAS FAMILIAS DE VARIAS LOCALIDADES, PARA RELOCALIZACIÓN DE HOGARES LOCALIZADOS EN ZONAS DE ALTO RIESGO NO MITIGABLE ID:2011-4-13393, LOCALIDAD:04 SAN CRISTÓBAL, UPZ:32 SAN BLAS.</v>
          </cell>
          <cell r="R1892">
            <v>5430984</v>
          </cell>
          <cell r="S1892">
            <v>0</v>
          </cell>
          <cell r="T1892">
            <v>0</v>
          </cell>
          <cell r="U1892">
            <v>5430984</v>
          </cell>
          <cell r="V1892">
            <v>3342144</v>
          </cell>
        </row>
        <row r="1893">
          <cell r="J1893">
            <v>1263</v>
          </cell>
          <cell r="K1893">
            <v>43144</v>
          </cell>
          <cell r="L1893" t="str">
            <v>JOSE URBANO MUNZA PEÑA</v>
          </cell>
          <cell r="M1893">
            <v>31</v>
          </cell>
          <cell r="N1893" t="str">
            <v>RESOLUCION</v>
          </cell>
          <cell r="O1893">
            <v>774</v>
          </cell>
          <cell r="P1893">
            <v>43144</v>
          </cell>
          <cell r="Q1893" t="str">
            <v>AYUDA TEMPORAL A LAS FAMILIAS DE VARIAS LOCALIDADES, PARA RELOCALIZACIÓN DE HOGARES LOCALIZADOS EN ZONAS DE ALTO RIESGO NO MITIGABLE ID:2016-08-14811, LOCALIDAD:08 KENNEDY, UPZ:82 PATIO BONITO, SECTOR:PALMITAS</v>
          </cell>
          <cell r="R1893">
            <v>4986969</v>
          </cell>
          <cell r="S1893">
            <v>0</v>
          </cell>
          <cell r="T1893">
            <v>0</v>
          </cell>
          <cell r="U1893">
            <v>4986969</v>
          </cell>
          <cell r="V1893">
            <v>3068904</v>
          </cell>
        </row>
        <row r="1894">
          <cell r="J1894">
            <v>1264</v>
          </cell>
          <cell r="K1894">
            <v>43144</v>
          </cell>
          <cell r="L1894" t="str">
            <v>ESPERANZA  CANCHON LUGO</v>
          </cell>
          <cell r="M1894">
            <v>31</v>
          </cell>
          <cell r="N1894" t="str">
            <v>RESOLUCION</v>
          </cell>
          <cell r="O1894">
            <v>826</v>
          </cell>
          <cell r="P1894">
            <v>43144</v>
          </cell>
          <cell r="Q1894" t="str">
            <v>AYUDA TEMPORAL A LAS FAMILIAS DE VARIAS LOCALIDADES, PARA RELOCALIZACIÓN DE HOGARES LOCALIZADOS EN ZONAS DE ALTO RIESGO NO MITIGABLE ID:2011-4-13092, LOCALIDAD:04 SAN CRISTÓBAL, UPZ:34 20 DE JULIO, SECTOR:</v>
          </cell>
          <cell r="R1894">
            <v>5430984</v>
          </cell>
          <cell r="S1894">
            <v>0</v>
          </cell>
          <cell r="T1894">
            <v>0</v>
          </cell>
          <cell r="U1894">
            <v>5430984</v>
          </cell>
          <cell r="V1894">
            <v>417768</v>
          </cell>
        </row>
        <row r="1895">
          <cell r="J1895">
            <v>1265</v>
          </cell>
          <cell r="K1895">
            <v>43144</v>
          </cell>
          <cell r="L1895" t="str">
            <v>ANGIE GINETH RODRIGUEZ SUAREZ</v>
          </cell>
          <cell r="M1895">
            <v>31</v>
          </cell>
          <cell r="N1895" t="str">
            <v>RESOLUCION</v>
          </cell>
          <cell r="O1895">
            <v>823</v>
          </cell>
          <cell r="P1895">
            <v>43144</v>
          </cell>
          <cell r="Q1895" t="str">
            <v>AYUDA TEMPORAL A LAS FAMILIAS DE VARIAS LOCALIDADES, PARA RELOCALIZACIÓN DE HOGARES LOCALIZADOS EN ZONAS DE ALTO RIESGO NO MITIGABLE ID:2012-ALES-58, LOCALIDAD:19 CIUDAD BOLÍVAR, UPZ:69 ISMAEL PERDOMO, SECTOR:ALTOS DE LA ESTANCIA</v>
          </cell>
          <cell r="R1895">
            <v>3421842</v>
          </cell>
          <cell r="S1895">
            <v>0</v>
          </cell>
          <cell r="T1895">
            <v>0</v>
          </cell>
          <cell r="U1895">
            <v>3421842</v>
          </cell>
          <cell r="V1895">
            <v>1140614</v>
          </cell>
        </row>
        <row r="1896">
          <cell r="J1896">
            <v>1266</v>
          </cell>
          <cell r="K1896">
            <v>43144</v>
          </cell>
          <cell r="L1896" t="str">
            <v>LUZ MARINA GARCIA</v>
          </cell>
          <cell r="M1896">
            <v>31</v>
          </cell>
          <cell r="N1896" t="str">
            <v>RESOLUCION</v>
          </cell>
          <cell r="O1896">
            <v>775</v>
          </cell>
          <cell r="P1896">
            <v>43144</v>
          </cell>
          <cell r="Q1896" t="str">
            <v>AYUDA TEMPORAL A LAS FAMILIAS DE VARIAS LOCALIDADES, PARA RELOCALIZACIÓN DE HOGARES LOCALIZADOS EN ZONAS DE ALTO RIESGO NO MITIGABLE ID:2011-5-13414, LOCALIDAD:05 USME, UPZ:58 COMUNEROS.</v>
          </cell>
          <cell r="R1896">
            <v>3363360</v>
          </cell>
          <cell r="S1896">
            <v>480480</v>
          </cell>
          <cell r="T1896">
            <v>0</v>
          </cell>
          <cell r="U1896">
            <v>2882880</v>
          </cell>
          <cell r="V1896">
            <v>2882880</v>
          </cell>
        </row>
        <row r="1897">
          <cell r="J1897">
            <v>1267</v>
          </cell>
          <cell r="K1897">
            <v>43144</v>
          </cell>
          <cell r="L1897" t="str">
            <v>NANCY  CANCHON LUGO</v>
          </cell>
          <cell r="M1897">
            <v>31</v>
          </cell>
          <cell r="N1897" t="str">
            <v>RESOLUCION</v>
          </cell>
          <cell r="O1897">
            <v>827</v>
          </cell>
          <cell r="P1897">
            <v>43144</v>
          </cell>
          <cell r="Q1897" t="str">
            <v>AYUDA TEMPORAL A LAS FAMILIAS DE VARIAS LOCALIDADES, PARA RELOCALIZACIÓN DE HOGARES LOCALIZADOS EN ZONAS DE ALTO RIESGO NO MITIGABLE ID:2011-4-13091, LOCALIDAD:04 SAN CRISTÓBAL, UPZ:34 20 DE JULIO, SECTOR:</v>
          </cell>
          <cell r="R1897">
            <v>6266520</v>
          </cell>
          <cell r="S1897">
            <v>0</v>
          </cell>
          <cell r="T1897">
            <v>0</v>
          </cell>
          <cell r="U1897">
            <v>6266520</v>
          </cell>
          <cell r="V1897">
            <v>482040</v>
          </cell>
        </row>
        <row r="1898">
          <cell r="J1898">
            <v>1268</v>
          </cell>
          <cell r="K1898">
            <v>43144</v>
          </cell>
          <cell r="L1898" t="str">
            <v>ANA JAZMIN MUÑOZ PEÑA</v>
          </cell>
          <cell r="M1898">
            <v>31</v>
          </cell>
          <cell r="N1898" t="str">
            <v>RESOLUCION</v>
          </cell>
          <cell r="O1898">
            <v>776</v>
          </cell>
          <cell r="P1898">
            <v>43144</v>
          </cell>
          <cell r="Q1898" t="str">
            <v>AYUDA TEMPORAL A LAS FAMILIAS DE VARIAS LOCALIDADES, PARA RELOCALIZACIÓN DE HOGARES LOCALIZADOS EN ZONAS DE ALTO RIESGO NO MITIGABLE ID:2015-D227-00012, LOCALIDAD:04 SAN CRISTÓBAL, UPZ:51 LOS LIBERTADORES, SECTOR:SANTA TERESITA</v>
          </cell>
          <cell r="R1898">
            <v>2552010</v>
          </cell>
          <cell r="S1898">
            <v>425335</v>
          </cell>
          <cell r="T1898">
            <v>0</v>
          </cell>
          <cell r="U1898">
            <v>2126675</v>
          </cell>
          <cell r="V1898">
            <v>2126675</v>
          </cell>
        </row>
        <row r="1899">
          <cell r="J1899">
            <v>1269</v>
          </cell>
          <cell r="K1899">
            <v>43144</v>
          </cell>
          <cell r="L1899" t="str">
            <v>LYDA MARCELA VELASQUEZ DIAZ</v>
          </cell>
          <cell r="M1899">
            <v>31</v>
          </cell>
          <cell r="N1899" t="str">
            <v>RESOLUCION</v>
          </cell>
          <cell r="O1899">
            <v>828</v>
          </cell>
          <cell r="P1899">
            <v>43144</v>
          </cell>
          <cell r="Q1899" t="str">
            <v>AYUDA TEMPORAL A LAS FAMILIAS DE VARIAS LOCALIDADES, PARA RELOCALIZACIÓN DE HOGARES LOCALIZADOS EN ZONAS DE ALTO RIESGO NO MITIGABLE ID:2011-4-12484, LOCALIDAD:04 SAN CRISTÓBAL, UPZ:50 LA GLORIA, SECTOR:OLA INVERNAL 2010 FOPAE</v>
          </cell>
          <cell r="R1899">
            <v>5378477</v>
          </cell>
          <cell r="S1899">
            <v>0</v>
          </cell>
          <cell r="T1899">
            <v>0</v>
          </cell>
          <cell r="U1899">
            <v>5378477</v>
          </cell>
          <cell r="V1899">
            <v>2896103</v>
          </cell>
        </row>
        <row r="1900">
          <cell r="J1900">
            <v>1270</v>
          </cell>
          <cell r="K1900">
            <v>43144</v>
          </cell>
          <cell r="L1900" t="str">
            <v>YURI MARCELA RODRIGUEZ TRUJILLO</v>
          </cell>
          <cell r="M1900">
            <v>31</v>
          </cell>
          <cell r="N1900" t="str">
            <v>RESOLUCION</v>
          </cell>
          <cell r="O1900">
            <v>829</v>
          </cell>
          <cell r="P1900">
            <v>43144</v>
          </cell>
          <cell r="Q1900" t="str">
            <v>AYUDA TEMPORAL A LAS FAMILIAS DE VARIAS LOCALIDADES, PARA RELOCALIZACIÓN DE HOGARES LOCALIZADOS EN ZONAS DE ALTO RIESGO NO MITIGABLE ID:2012-4-14480, LOCALIDAD:04 SAN CRISTÓBAL, UPZ:32 SAN BLAS, SECTOR:</v>
          </cell>
          <cell r="R1900">
            <v>8632728</v>
          </cell>
          <cell r="S1900">
            <v>0</v>
          </cell>
          <cell r="T1900">
            <v>0</v>
          </cell>
          <cell r="U1900">
            <v>8632728</v>
          </cell>
          <cell r="V1900">
            <v>4648392</v>
          </cell>
        </row>
        <row r="1901">
          <cell r="J1901">
            <v>1271</v>
          </cell>
          <cell r="K1901">
            <v>43144</v>
          </cell>
          <cell r="L1901" t="str">
            <v>GEIMAR ARLEY NIÑO SANCHEZ</v>
          </cell>
          <cell r="M1901">
            <v>31</v>
          </cell>
          <cell r="N1901" t="str">
            <v>RESOLUCION</v>
          </cell>
          <cell r="O1901">
            <v>824</v>
          </cell>
          <cell r="P1901">
            <v>43144</v>
          </cell>
          <cell r="Q1901" t="str">
            <v>AYUDA TEMPORAL A LAS FAMILIAS DE VARIAS LOCALIDADES, PARA RELOCALIZACIÓN DE HOGARES LOCALIZADOS EN ZONAS DE ALTO RIESGO NO MITIGABLE ID:2014-Q03-01077, LOCALIDAD:19 CIUDAD BOLÍVAR, UPZ:66 SAN FRANCISCO, SECTOR:LIMAS</v>
          </cell>
          <cell r="R1901">
            <v>928002</v>
          </cell>
          <cell r="S1901">
            <v>464001</v>
          </cell>
          <cell r="T1901">
            <v>0</v>
          </cell>
          <cell r="U1901">
            <v>464001</v>
          </cell>
          <cell r="V1901">
            <v>464001</v>
          </cell>
        </row>
        <row r="1902">
          <cell r="J1902">
            <v>1272</v>
          </cell>
          <cell r="K1902">
            <v>43144</v>
          </cell>
          <cell r="L1902" t="str">
            <v>ISABELA  OPUA MEMBACHE</v>
          </cell>
          <cell r="M1902">
            <v>31</v>
          </cell>
          <cell r="N1902" t="str">
            <v>RESOLUCION</v>
          </cell>
          <cell r="O1902">
            <v>523</v>
          </cell>
          <cell r="P1902">
            <v>43144</v>
          </cell>
          <cell r="Q1902" t="str">
            <v>AYUDA TEMPORAL A LAS FAMILIAS DE VARIAS LOCALIDADES, PARA RELOCALIZACIÓN DE HOGARES LOCALIZADOS EN ZONAS DE ALTO RIESGO NO MITIGABLE ID:2015-W166-436, LOCALIDAD:19 CIUDAD BOLÍVAR, UPZ:68 EL TESORO, SECTOR:WOUNAAN</v>
          </cell>
          <cell r="R1902">
            <v>7020000</v>
          </cell>
          <cell r="S1902">
            <v>0</v>
          </cell>
          <cell r="T1902">
            <v>0</v>
          </cell>
          <cell r="U1902">
            <v>7020000</v>
          </cell>
          <cell r="V1902">
            <v>4320000</v>
          </cell>
        </row>
        <row r="1903">
          <cell r="J1903">
            <v>1273</v>
          </cell>
          <cell r="K1903">
            <v>43144</v>
          </cell>
          <cell r="L1903" t="str">
            <v>OTONIEL  GIRALDO RODRIGUEZ</v>
          </cell>
          <cell r="M1903">
            <v>31</v>
          </cell>
          <cell r="N1903" t="str">
            <v>RESOLUCION</v>
          </cell>
          <cell r="O1903">
            <v>830</v>
          </cell>
          <cell r="P1903">
            <v>43144</v>
          </cell>
          <cell r="Q1903" t="str">
            <v>AYUDA TEMPORAL A LAS FAMILIAS DE VARIAS LOCALIDADES, PARA RELOCALIZACIÓN DE HOGARES LOCALIZADOS EN ZONAS DE ALTO RIESGO NO MITIGABLE ID:2014-Q04-00835, LOCALIDAD:19 CIUDAD BOLÍVAR, UPZ:67 LUCERO, SECTOR:PEÑA COLORADA</v>
          </cell>
          <cell r="R1903">
            <v>2706270</v>
          </cell>
          <cell r="S1903">
            <v>902090</v>
          </cell>
          <cell r="T1903">
            <v>0</v>
          </cell>
          <cell r="U1903">
            <v>1804180</v>
          </cell>
          <cell r="V1903">
            <v>1804180</v>
          </cell>
        </row>
        <row r="1904">
          <cell r="J1904">
            <v>1274</v>
          </cell>
          <cell r="K1904">
            <v>43144</v>
          </cell>
          <cell r="L1904" t="str">
            <v>MARTHA LILIANA BLANCO PEREZ</v>
          </cell>
          <cell r="M1904">
            <v>31</v>
          </cell>
          <cell r="N1904" t="str">
            <v>RESOLUCION</v>
          </cell>
          <cell r="O1904">
            <v>831</v>
          </cell>
          <cell r="P1904">
            <v>43144</v>
          </cell>
          <cell r="Q1904" t="str">
            <v>AYUDA TEMPORAL A LAS FAMILIAS DE VARIAS LOCALIDADES, PARA RELOCALIZACIÓN DE HOGARES LOCALIZADOS EN ZONAS DE ALTO RIESGO NO MITIGABLE ID:2014-Q03-01021, LOCALIDAD:19 CIUDAD BOLÍVAR, UPZ:66 SAN FRANCISCO, SECTOR:LIMAS</v>
          </cell>
          <cell r="R1904">
            <v>6205092</v>
          </cell>
          <cell r="S1904">
            <v>0</v>
          </cell>
          <cell r="T1904">
            <v>0</v>
          </cell>
          <cell r="U1904">
            <v>6205092</v>
          </cell>
          <cell r="V1904">
            <v>3619637</v>
          </cell>
        </row>
        <row r="1905">
          <cell r="J1905">
            <v>1275</v>
          </cell>
          <cell r="K1905">
            <v>43144</v>
          </cell>
          <cell r="L1905" t="str">
            <v>HEIDY CAROLINA CONTRERAS GONZALEZ</v>
          </cell>
          <cell r="M1905">
            <v>31</v>
          </cell>
          <cell r="N1905" t="str">
            <v>RESOLUCION</v>
          </cell>
          <cell r="O1905">
            <v>832</v>
          </cell>
          <cell r="P1905">
            <v>43144</v>
          </cell>
          <cell r="Q1905" t="str">
            <v>AYUDA TEMPORAL A LAS FAMILIAS DE VARIAS LOCALIDADES, PARA RELOCALIZACIÓN DE HOGARES LOCALIZADOS EN ZONAS DE ALTO RIESGO NO MITIGABLE ID:2014-OTR-01216, LOCALIDAD:11 SUBA, UPZ:71 TIBABUYES, SECTOR:GAVILANES</v>
          </cell>
          <cell r="R1905">
            <v>3319728</v>
          </cell>
          <cell r="S1905">
            <v>553288</v>
          </cell>
          <cell r="T1905">
            <v>0</v>
          </cell>
          <cell r="U1905">
            <v>2766440</v>
          </cell>
          <cell r="V1905">
            <v>2766440</v>
          </cell>
        </row>
        <row r="1906">
          <cell r="J1906">
            <v>1276</v>
          </cell>
          <cell r="K1906">
            <v>43144</v>
          </cell>
          <cell r="L1906" t="str">
            <v>ANGIE NATALIA TORRES RISCANEVO</v>
          </cell>
          <cell r="M1906">
            <v>31</v>
          </cell>
          <cell r="N1906" t="str">
            <v>RESOLUCION</v>
          </cell>
          <cell r="O1906">
            <v>833</v>
          </cell>
          <cell r="P1906">
            <v>43144</v>
          </cell>
          <cell r="Q1906" t="str">
            <v>AYUDA TEMPORAL A LAS FAMILIAS DE VARIAS LOCALIDADES, PARA RELOCALIZACIÓN DE HOGARES LOCALIZADOS EN ZONAS DE ALTO RIESGO NO MITIGABLE ID:2016-08-14883, LOCALIDAD:08 KENNEDY, UPZ:82 PATIO BONITO, SECTOR:PALMITAS</v>
          </cell>
          <cell r="R1906">
            <v>4780404</v>
          </cell>
          <cell r="S1906">
            <v>0</v>
          </cell>
          <cell r="T1906">
            <v>0</v>
          </cell>
          <cell r="U1906">
            <v>4780404</v>
          </cell>
          <cell r="V1906">
            <v>2788569</v>
          </cell>
        </row>
        <row r="1907">
          <cell r="J1907">
            <v>1277</v>
          </cell>
          <cell r="K1907">
            <v>43144</v>
          </cell>
          <cell r="L1907" t="str">
            <v>AIDA LUCI CARPIO MEMBACHE</v>
          </cell>
          <cell r="M1907">
            <v>31</v>
          </cell>
          <cell r="N1907" t="str">
            <v>RESOLUCION</v>
          </cell>
          <cell r="O1907">
            <v>834</v>
          </cell>
          <cell r="P1907">
            <v>43144</v>
          </cell>
          <cell r="Q1907" t="str">
            <v>AYUDA TEMPORAL A LAS FAMILIAS DE VARIAS LOCALIDADES, PARA RELOCALIZACIÓN DE HOGARES LOCALIZADOS EN ZONAS DE ALTO RIESGO NO MITIGABLE ID:2014-W166-032, LOCALIDAD:19 CIUDAD BOLÍVAR, UPZ:67 LUCERO, SECTOR:WOUNAAN</v>
          </cell>
          <cell r="R1907">
            <v>6196824</v>
          </cell>
          <cell r="S1907">
            <v>0</v>
          </cell>
          <cell r="T1907">
            <v>0</v>
          </cell>
          <cell r="U1907">
            <v>6196824</v>
          </cell>
          <cell r="V1907">
            <v>3614814</v>
          </cell>
        </row>
        <row r="1908">
          <cell r="J1908">
            <v>1278</v>
          </cell>
          <cell r="K1908">
            <v>43144</v>
          </cell>
          <cell r="L1908" t="str">
            <v>FLOR ALBA MONTERO RICAURTE</v>
          </cell>
          <cell r="M1908">
            <v>31</v>
          </cell>
          <cell r="N1908" t="str">
            <v>RESOLUCION</v>
          </cell>
          <cell r="O1908">
            <v>835</v>
          </cell>
          <cell r="P1908">
            <v>43144</v>
          </cell>
          <cell r="Q1908" t="str">
            <v>AYUDA TEMPORAL A LAS FAMILIAS DE VARIAS LOCALIDADES, PARA RELOCALIZACIÓN DE HOGARES LOCALIZADOS EN ZONAS DE ALTO RIESGO NO MITIGABLE ID:2010-5-11616, LOCALIDAD:05 USME, UPZ:57 GRAN YOMASA, SECTOR:OLA INVERNAL 2010 FOPAE</v>
          </cell>
          <cell r="R1908">
            <v>2442336</v>
          </cell>
          <cell r="S1908">
            <v>0</v>
          </cell>
          <cell r="T1908">
            <v>0</v>
          </cell>
          <cell r="U1908">
            <v>2442336</v>
          </cell>
          <cell r="V1908">
            <v>1221168</v>
          </cell>
        </row>
        <row r="1909">
          <cell r="J1909">
            <v>1279</v>
          </cell>
          <cell r="K1909">
            <v>43144</v>
          </cell>
          <cell r="L1909" t="str">
            <v>JOSE PABLO LUNA CUELLAR</v>
          </cell>
          <cell r="M1909">
            <v>31</v>
          </cell>
          <cell r="N1909" t="str">
            <v>RESOLUCION</v>
          </cell>
          <cell r="O1909">
            <v>836</v>
          </cell>
          <cell r="P1909">
            <v>43144</v>
          </cell>
          <cell r="Q1909" t="str">
            <v>AYUDA TEMPORAL A LAS FAMILIAS DE VARIAS LOCALIDADES, PARA RELOCALIZACIÓN DE HOGARES LOCALIZADOS EN ZONAS DE ALTO RIESGO NO MITIGABLE ID:2014-OTR-01258, LOCALIDAD:11 SUBA, UPZ:71 TIBABUYES, SECTOR:GAVILANES</v>
          </cell>
          <cell r="R1909">
            <v>2550450</v>
          </cell>
          <cell r="S1909">
            <v>425075</v>
          </cell>
          <cell r="T1909">
            <v>0</v>
          </cell>
          <cell r="U1909">
            <v>2125375</v>
          </cell>
          <cell r="V1909">
            <v>2125375</v>
          </cell>
        </row>
        <row r="1910">
          <cell r="J1910">
            <v>1280</v>
          </cell>
          <cell r="K1910">
            <v>43144</v>
          </cell>
          <cell r="L1910" t="str">
            <v>MARIA LILIA BONILLA</v>
          </cell>
          <cell r="M1910">
            <v>31</v>
          </cell>
          <cell r="N1910" t="str">
            <v>RESOLUCION</v>
          </cell>
          <cell r="O1910">
            <v>837</v>
          </cell>
          <cell r="P1910">
            <v>43144</v>
          </cell>
          <cell r="Q1910" t="str">
            <v>AYUDA TEMPORAL A LAS FAMILIAS DE VARIAS LOCALIDADES, PARA RELOCALIZACIÓN DE HOGARES LOCALIZADOS EN ZONAS DE ALTO RIESGO NO MITIGABLE ID:2012-19-13821, LOCALIDAD:19 CIUDAD BOLÍVAR, UPZ:67 LUCERO, SECTOR:</v>
          </cell>
          <cell r="R1910">
            <v>2892240</v>
          </cell>
          <cell r="S1910">
            <v>482040</v>
          </cell>
          <cell r="T1910">
            <v>0</v>
          </cell>
          <cell r="U1910">
            <v>2410200</v>
          </cell>
          <cell r="V1910">
            <v>2410200</v>
          </cell>
        </row>
        <row r="1911">
          <cell r="J1911">
            <v>1282</v>
          </cell>
          <cell r="K1911">
            <v>43144</v>
          </cell>
          <cell r="L1911" t="str">
            <v>ANTONIO VICENTE TORRES RUBIO</v>
          </cell>
          <cell r="M1911">
            <v>31</v>
          </cell>
          <cell r="N1911" t="str">
            <v>RESOLUCION</v>
          </cell>
          <cell r="O1911">
            <v>838</v>
          </cell>
          <cell r="P1911">
            <v>43144</v>
          </cell>
          <cell r="Q1911" t="str">
            <v>AYUDA TEMPORAL A LAS FAMILIAS DE VARIAS LOCALIDADES, PARA RELOCALIZACIÓN DE HOGARES LOCALIZADOS EN ZONAS DE ALTO RIESGO NO MITIGABLE ID:2015-D227-00008, LOCALIDAD:04 SAN CRISTÓBAL, UPZ:51 LOS LIBERTADORES, SECTOR:SANTA TERESITA</v>
          </cell>
          <cell r="R1911">
            <v>6108300</v>
          </cell>
          <cell r="S1911">
            <v>0</v>
          </cell>
          <cell r="T1911">
            <v>0</v>
          </cell>
          <cell r="U1911">
            <v>6108300</v>
          </cell>
          <cell r="V1911">
            <v>3563175</v>
          </cell>
        </row>
        <row r="1912">
          <cell r="J1912">
            <v>1283</v>
          </cell>
          <cell r="K1912">
            <v>43144</v>
          </cell>
          <cell r="L1912" t="str">
            <v>ELVER YAIMA BONILLA</v>
          </cell>
          <cell r="M1912">
            <v>31</v>
          </cell>
          <cell r="N1912" t="str">
            <v>RESOLUCION</v>
          </cell>
          <cell r="O1912">
            <v>839</v>
          </cell>
          <cell r="P1912">
            <v>43144</v>
          </cell>
          <cell r="Q1912" t="str">
            <v>AYUDA TEMPORAL A LAS FAMILIAS DE VARIAS LOCALIDADES, PARA RELOCALIZACIÓN DE HOGARES LOCALIZADOS EN ZONAS DE ALTO RIESGO NO MITIGABLE ID:2012-19-13884, LOCALIDAD:19 CIUDAD BOLÍVAR, UPZ:67 LUCERO, SECTOR:</v>
          </cell>
          <cell r="R1912">
            <v>2671848</v>
          </cell>
          <cell r="S1912">
            <v>445308</v>
          </cell>
          <cell r="T1912">
            <v>0</v>
          </cell>
          <cell r="U1912">
            <v>2226540</v>
          </cell>
          <cell r="V1912">
            <v>2226540</v>
          </cell>
        </row>
        <row r="1913">
          <cell r="J1913">
            <v>1284</v>
          </cell>
          <cell r="K1913">
            <v>43144</v>
          </cell>
          <cell r="L1913" t="str">
            <v>BLANCA LUZ TORRES CARRILLO</v>
          </cell>
          <cell r="M1913">
            <v>31</v>
          </cell>
          <cell r="N1913" t="str">
            <v>RESOLUCION</v>
          </cell>
          <cell r="O1913">
            <v>840</v>
          </cell>
          <cell r="P1913">
            <v>43144</v>
          </cell>
          <cell r="Q1913" t="str">
            <v>AYUDA TEMPORAL A LAS FAMILIAS DE VARIAS LOCALIDADES, PARA RELOCALIZACIÓN DE HOGARES LOCALIZADOS EN ZONAS DE ALTO RIESGO NO MITIGABLE ID:2014-Q03-01022, LOCALIDAD:19 CIUDAD BOLÍVAR, UPZ:66 SAN FRANCISCO, SECTOR:LIMAS</v>
          </cell>
          <cell r="R1913">
            <v>2924376</v>
          </cell>
          <cell r="S1913">
            <v>417768</v>
          </cell>
          <cell r="T1913">
            <v>0</v>
          </cell>
          <cell r="U1913">
            <v>2506608</v>
          </cell>
          <cell r="V1913">
            <v>2506608</v>
          </cell>
        </row>
        <row r="1914">
          <cell r="J1914">
            <v>1285</v>
          </cell>
          <cell r="K1914">
            <v>43144</v>
          </cell>
          <cell r="L1914" t="str">
            <v>JACKELINE  GOMEZ NUÑEZ</v>
          </cell>
          <cell r="M1914">
            <v>31</v>
          </cell>
          <cell r="N1914" t="str">
            <v>RESOLUCION</v>
          </cell>
          <cell r="O1914">
            <v>841</v>
          </cell>
          <cell r="P1914">
            <v>43144</v>
          </cell>
          <cell r="Q1914" t="str">
            <v>AYUDA TEMPORAL A LAS FAMILIAS DE VARIAS LOCALIDADES, PARA RELOCALIZACIÓN DE HOGARES LOCALIZADOS EN ZONAS DE ALTO RIESGO NO MITIGABLE ID:2014-Q09-00928, LOCALIDAD:19 CIUDAD BOLÍVAR, UPZ:67 LUCERO, SECTOR:QUEBRADA TROMPETA</v>
          </cell>
          <cell r="R1914">
            <v>2343726</v>
          </cell>
          <cell r="S1914">
            <v>390621</v>
          </cell>
          <cell r="T1914">
            <v>0</v>
          </cell>
          <cell r="U1914">
            <v>1953105</v>
          </cell>
          <cell r="V1914">
            <v>1953105</v>
          </cell>
        </row>
        <row r="1915">
          <cell r="J1915">
            <v>1286</v>
          </cell>
          <cell r="K1915">
            <v>43144</v>
          </cell>
          <cell r="L1915" t="str">
            <v>ANA MERCEDES GUTIERREZ NAJAR</v>
          </cell>
          <cell r="M1915">
            <v>31</v>
          </cell>
          <cell r="N1915" t="str">
            <v>RESOLUCION</v>
          </cell>
          <cell r="O1915">
            <v>842</v>
          </cell>
          <cell r="P1915">
            <v>43144</v>
          </cell>
          <cell r="Q1915" t="str">
            <v>AYUDA TEMPORAL A LAS FAMILIAS DE VARIAS LOCALIDADES, PARA RELOCALIZACIÓN DE HOGARES LOCALIZADOS EN ZONAS DE ALTO RIESGO NO MITIGABLE ID:2006-3-9153, LOCALIDAD:03 SANTA FE, UPZ:92 LA MACARENA, SECTOR:</v>
          </cell>
          <cell r="R1915">
            <v>4868928</v>
          </cell>
          <cell r="S1915">
            <v>0</v>
          </cell>
          <cell r="T1915">
            <v>0</v>
          </cell>
          <cell r="U1915">
            <v>4868928</v>
          </cell>
          <cell r="V1915">
            <v>2840208</v>
          </cell>
        </row>
        <row r="1916">
          <cell r="J1916">
            <v>1287</v>
          </cell>
          <cell r="K1916">
            <v>43144</v>
          </cell>
          <cell r="L1916" t="str">
            <v>SANDRA BIBIANA GONZALEZ SABOGAL</v>
          </cell>
          <cell r="M1916">
            <v>31</v>
          </cell>
          <cell r="N1916" t="str">
            <v>RESOLUCION</v>
          </cell>
          <cell r="O1916">
            <v>843</v>
          </cell>
          <cell r="P1916">
            <v>43144</v>
          </cell>
          <cell r="Q1916" t="str">
            <v>AYUDA TEMPORAL A LAS FAMILIAS DE VARIAS LOCALIDADES, PARA RELOCALIZACIÓN DE HOGARES LOCALIZADOS EN ZONAS DE ALTO RIESGO NO MITIGABLE ID:2006-4-8696, LOCALIDAD:04 SAN CRISTÓBAL, UPZ:50 LA GLORIA, SECTOR:</v>
          </cell>
          <cell r="R1916">
            <v>4687452</v>
          </cell>
          <cell r="S1916">
            <v>0</v>
          </cell>
          <cell r="T1916">
            <v>0</v>
          </cell>
          <cell r="U1916">
            <v>4687452</v>
          </cell>
          <cell r="V1916">
            <v>2734347</v>
          </cell>
        </row>
        <row r="1917">
          <cell r="J1917">
            <v>1288</v>
          </cell>
          <cell r="K1917">
            <v>43144</v>
          </cell>
          <cell r="L1917" t="str">
            <v>FRANCELY  MURRILLO LARROTTA</v>
          </cell>
          <cell r="M1917">
            <v>31</v>
          </cell>
          <cell r="N1917" t="str">
            <v>RESOLUCION</v>
          </cell>
          <cell r="O1917">
            <v>844</v>
          </cell>
          <cell r="P1917">
            <v>43144</v>
          </cell>
          <cell r="Q1917" t="str">
            <v>AYUDA TEMPORAL A LAS FAMILIAS DE VARIAS LOCALIDADES, PARA RELOCALIZACIÓN DE HOGARES LOCALIZADOS EN ZONAS DE ALTO RIESGO NO MITIGABLE ID:2012-19-13778, LOCALIDAD:19 CIUDAD BOLÍVAR, UPZ:67 LUCERO, SECTOR:</v>
          </cell>
          <cell r="R1917">
            <v>2343726</v>
          </cell>
          <cell r="S1917">
            <v>390621</v>
          </cell>
          <cell r="T1917">
            <v>0</v>
          </cell>
          <cell r="U1917">
            <v>1953105</v>
          </cell>
          <cell r="V1917">
            <v>1953105</v>
          </cell>
        </row>
        <row r="1918">
          <cell r="J1918">
            <v>1289</v>
          </cell>
          <cell r="K1918">
            <v>43144</v>
          </cell>
          <cell r="L1918" t="str">
            <v>JOSE JESUS NUÑEZ</v>
          </cell>
          <cell r="M1918">
            <v>31</v>
          </cell>
          <cell r="N1918" t="str">
            <v>RESOLUCION</v>
          </cell>
          <cell r="O1918">
            <v>845</v>
          </cell>
          <cell r="P1918">
            <v>43144</v>
          </cell>
          <cell r="Q1918" t="str">
            <v>AYUDA TEMPORAL A LAS FAMILIAS DE VARIAS LOCALIDADES, PARA RELOCALIZACIÓN DE HOGARES LOCALIZADOS EN ZONAS DE ALTO RIESGO NO MITIGABLE ID:2012-ALES-260, LOCALIDAD:19 CIUDAD BOLÍVAR, UPZ:69 ISMAEL PERDOMO, SECTOR:ALTOS DE LA ESTANCIA</v>
          </cell>
          <cell r="R1918">
            <v>5304312</v>
          </cell>
          <cell r="S1918">
            <v>0</v>
          </cell>
          <cell r="T1918">
            <v>0</v>
          </cell>
          <cell r="U1918">
            <v>5304312</v>
          </cell>
          <cell r="V1918">
            <v>3094182</v>
          </cell>
        </row>
        <row r="1919">
          <cell r="J1919">
            <v>1290</v>
          </cell>
          <cell r="K1919">
            <v>43144</v>
          </cell>
          <cell r="L1919" t="str">
            <v>JOSE DE LOS SANTOS RIOS SALGADO</v>
          </cell>
          <cell r="M1919">
            <v>31</v>
          </cell>
          <cell r="N1919" t="str">
            <v>RESOLUCION</v>
          </cell>
          <cell r="O1919">
            <v>846</v>
          </cell>
          <cell r="P1919">
            <v>43144</v>
          </cell>
          <cell r="Q1919" t="str">
            <v>AYUDA TEMPORAL A LAS FAMILIAS DE VARIAS LOCALIDADES, PARA RELOCALIZACIÓN DE HOGARES LOCALIZADOS EN ZONAS DE ALTO RIESGO NO MITIGABLE ID:2012-ALES-261, LOCALIDAD:19 CIUDAD BOLÍVAR, UPZ:69 ISMAEL PERDOMO, SECTOR:ALTOS DE LA ESTANCIA</v>
          </cell>
          <cell r="R1919">
            <v>3247524</v>
          </cell>
          <cell r="S1919">
            <v>541254</v>
          </cell>
          <cell r="T1919">
            <v>0</v>
          </cell>
          <cell r="U1919">
            <v>2706270</v>
          </cell>
          <cell r="V1919">
            <v>2706270</v>
          </cell>
        </row>
        <row r="1920">
          <cell r="J1920">
            <v>1291</v>
          </cell>
          <cell r="K1920">
            <v>43144</v>
          </cell>
          <cell r="L1920" t="str">
            <v>JHON FLAVIO MORALES GUARNIZO</v>
          </cell>
          <cell r="M1920">
            <v>31</v>
          </cell>
          <cell r="N1920" t="str">
            <v>RESOLUCION</v>
          </cell>
          <cell r="O1920">
            <v>817</v>
          </cell>
          <cell r="P1920">
            <v>43144</v>
          </cell>
          <cell r="Q1920" t="str">
            <v>AYUDA TEMPORAL A LAS FAMILIAS DE VARIAS LOCALIDADES, PARA RELOCALIZACIÓN DE HOGARES LOCALIZADOS EN ZONAS DE ALTO RIESGO NO MITIGABLE ID:2017-19-15043, LOCALIDAD:19 CIUDAD BOLÍVAR, UPZ:67 EL LUCERO, SECTOR:BELLA FLOR</v>
          </cell>
          <cell r="R1920">
            <v>3098412</v>
          </cell>
          <cell r="S1920">
            <v>516402</v>
          </cell>
          <cell r="T1920">
            <v>0</v>
          </cell>
          <cell r="U1920">
            <v>2582010</v>
          </cell>
          <cell r="V1920">
            <v>2582010</v>
          </cell>
        </row>
        <row r="1921">
          <cell r="J1921">
            <v>1292</v>
          </cell>
          <cell r="K1921">
            <v>43144</v>
          </cell>
          <cell r="L1921" t="str">
            <v>ROBERTO DE JESUS URREA ATEHORTUA</v>
          </cell>
          <cell r="M1921">
            <v>31</v>
          </cell>
          <cell r="N1921" t="str">
            <v>RESOLUCION</v>
          </cell>
          <cell r="O1921">
            <v>825</v>
          </cell>
          <cell r="P1921">
            <v>43144</v>
          </cell>
          <cell r="Q1921" t="str">
            <v>AYUDA TEMPORAL A LAS FAMILIAS DE VARIAS LOCALIDADES, PARA RELOCALIZACIÓN DE HOGARES LOCALIZADOS EN ZONAS DE ALTO RIESGO NO MITIGABLE ID:2012-19-13808, LOCALIDAD:19 CIUDAD BOLÍVAR, UPZ:67 LUCERO, SECTOR:</v>
          </cell>
          <cell r="R1921">
            <v>5721420</v>
          </cell>
          <cell r="S1921">
            <v>0</v>
          </cell>
          <cell r="T1921">
            <v>0</v>
          </cell>
          <cell r="U1921">
            <v>5721420</v>
          </cell>
          <cell r="V1921">
            <v>3337495</v>
          </cell>
        </row>
        <row r="1922">
          <cell r="J1922">
            <v>1293</v>
          </cell>
          <cell r="K1922">
            <v>43144</v>
          </cell>
          <cell r="L1922" t="str">
            <v>BERNARDA  MATEUS</v>
          </cell>
          <cell r="M1922">
            <v>31</v>
          </cell>
          <cell r="N1922" t="str">
            <v>RESOLUCION</v>
          </cell>
          <cell r="O1922">
            <v>999</v>
          </cell>
          <cell r="P1922">
            <v>43144</v>
          </cell>
          <cell r="Q1922" t="str">
            <v>AYUDA TEMPORAL A LAS FAMILIAS DE VARIAS LOCALIDADES, PARA RELOCALIZACIÓN DE HOGARES LOCALIZADOS EN ZONAS DE ALTO RIESGO NO MITIGABLE ID:2015-OTR-01369, LOCALIDAD:11 SUBA, UPZ:71 TIBABUYES, SECTOR:GAVILANES</v>
          </cell>
          <cell r="R1922">
            <v>3983670</v>
          </cell>
          <cell r="S1922">
            <v>0</v>
          </cell>
          <cell r="T1922">
            <v>0</v>
          </cell>
          <cell r="U1922">
            <v>3983670</v>
          </cell>
          <cell r="V1922">
            <v>3098410</v>
          </cell>
        </row>
        <row r="1923">
          <cell r="J1923">
            <v>1294</v>
          </cell>
          <cell r="K1923">
            <v>43144</v>
          </cell>
          <cell r="L1923" t="str">
            <v>EDWIN ANGEL DUARTE GOMEZ</v>
          </cell>
          <cell r="M1923">
            <v>31</v>
          </cell>
          <cell r="N1923" t="str">
            <v>RESOLUCION</v>
          </cell>
          <cell r="O1923">
            <v>998</v>
          </cell>
          <cell r="P1923">
            <v>43144</v>
          </cell>
          <cell r="Q1923" t="str">
            <v>AYUDA TEMPORAL A LAS FAMILIAS DE VARIAS LOCALIDADES, PARA RELOCALIZACIÓN DE HOGARES LOCALIZADOS EN ZONAS DE ALTO RIESGO NO MITIGABLE ID:2013-Q21-00607, LOCALIDAD:19 CIUDAD BOLÍVAR, UPZ:67 LUCERO, SECTOR:BRAZO DERECHO DE LIMAS</v>
          </cell>
          <cell r="R1923">
            <v>2706270</v>
          </cell>
          <cell r="S1923">
            <v>0</v>
          </cell>
          <cell r="T1923">
            <v>0</v>
          </cell>
          <cell r="U1923">
            <v>2706270</v>
          </cell>
          <cell r="V1923">
            <v>1804180</v>
          </cell>
        </row>
        <row r="1924">
          <cell r="J1924">
            <v>1295</v>
          </cell>
          <cell r="K1924">
            <v>43144</v>
          </cell>
          <cell r="L1924" t="str">
            <v>CAROLINA  GUZMAN ROMERO</v>
          </cell>
          <cell r="M1924">
            <v>31</v>
          </cell>
          <cell r="N1924" t="str">
            <v>RESOLUCION</v>
          </cell>
          <cell r="O1924">
            <v>997</v>
          </cell>
          <cell r="P1924">
            <v>43144</v>
          </cell>
          <cell r="Q1924" t="str">
            <v>AYUDA TEMPORAL A LAS FAMILIAS DE VARIAS LOCALIDADES, PARA RELOCALIZACIÓN DE HOGARES LOCALIZADOS EN ZONAS DE ALTO RIESGO NO MITIGABLE ID:2016-08-14921, LOCALIDAD:08 KENNEDY, UPZ:82 PATIO BONITO, SECTOR:PALMITAS</v>
          </cell>
          <cell r="R1924">
            <v>1593468</v>
          </cell>
          <cell r="S1924">
            <v>398367</v>
          </cell>
          <cell r="T1924">
            <v>0</v>
          </cell>
          <cell r="U1924">
            <v>1195101</v>
          </cell>
          <cell r="V1924">
            <v>1195101</v>
          </cell>
        </row>
        <row r="1925">
          <cell r="J1925">
            <v>1296</v>
          </cell>
          <cell r="K1925">
            <v>43144</v>
          </cell>
          <cell r="L1925" t="str">
            <v>PEDRO ANTONIO POSADA VILLAMIL</v>
          </cell>
          <cell r="M1925">
            <v>31</v>
          </cell>
          <cell r="N1925" t="str">
            <v>RESOLUCION</v>
          </cell>
          <cell r="O1925">
            <v>996</v>
          </cell>
          <cell r="P1925">
            <v>43144</v>
          </cell>
          <cell r="Q1925" t="str">
            <v>AYUDA TEMPORAL A LAS FAMILIAS DE VARIAS LOCALIDADES, PARA RELOCALIZACIÓN DE HOGARES LOCALIZADOS EN ZONAS DE ALTO RIESGO NO MITIGABLE ID:2015-D227-00049, LOCALIDAD:04 SAN CRISTÓBAL, UPZ:51 LOS LIBERTADORES, SECTOR:SANTA TERESITA</v>
          </cell>
          <cell r="R1925">
            <v>4795154</v>
          </cell>
          <cell r="S1925">
            <v>0</v>
          </cell>
          <cell r="T1925">
            <v>0</v>
          </cell>
          <cell r="U1925">
            <v>4795154</v>
          </cell>
          <cell r="V1925">
            <v>2950864</v>
          </cell>
        </row>
        <row r="1926">
          <cell r="J1926">
            <v>1297</v>
          </cell>
          <cell r="K1926">
            <v>43144</v>
          </cell>
          <cell r="L1926" t="str">
            <v>JUAN DE JESUS RUBIO NIETO</v>
          </cell>
          <cell r="M1926">
            <v>31</v>
          </cell>
          <cell r="N1926" t="str">
            <v>RESOLUCION</v>
          </cell>
          <cell r="O1926">
            <v>990</v>
          </cell>
          <cell r="P1926">
            <v>43144</v>
          </cell>
          <cell r="Q1926" t="str">
            <v>AYUDA TEMPORAL A LAS FAMILIAS DE VARIAS LOCALIDADES, PARA RELOCALIZACIÓN DE HOGARES LOCALIZADOS EN ZONAS DE ALTO RIESGO NO MITIGABLE ID:2011-19-13767, LOCALIDAD:19 CIUDAD BOLÍVAR, UPZ:67 LUCERO, SECTOR:</v>
          </cell>
          <cell r="R1926">
            <v>6450353</v>
          </cell>
          <cell r="S1926">
            <v>0</v>
          </cell>
          <cell r="T1926">
            <v>0</v>
          </cell>
          <cell r="U1926">
            <v>6450353</v>
          </cell>
          <cell r="V1926">
            <v>2480905</v>
          </cell>
        </row>
        <row r="1927">
          <cell r="J1927">
            <v>1298</v>
          </cell>
          <cell r="K1927">
            <v>43144</v>
          </cell>
          <cell r="L1927" t="str">
            <v>CLARA INES MARTINEZ</v>
          </cell>
          <cell r="M1927">
            <v>31</v>
          </cell>
          <cell r="N1927" t="str">
            <v>RESOLUCION</v>
          </cell>
          <cell r="O1927">
            <v>995</v>
          </cell>
          <cell r="P1927">
            <v>43144</v>
          </cell>
          <cell r="Q1927" t="str">
            <v>AYUDA TEMPORAL A LAS FAMILIAS DE VARIAS LOCALIDADES, PARA RELOCALIZACIÓN DE HOGARES LOCALIZADOS EN ZONAS DE ALTO RIESGO NO MITIGABLE ID:2013000015, LOCALIDAD:19 CIUDAD BOLÍVAR, UPZ:67 LUCERO, SECTOR:QUEBRADA CAÑO BAÚL</v>
          </cell>
          <cell r="R1927">
            <v>2586000</v>
          </cell>
          <cell r="S1927">
            <v>431000</v>
          </cell>
          <cell r="T1927">
            <v>0</v>
          </cell>
          <cell r="U1927">
            <v>2155000</v>
          </cell>
          <cell r="V1927">
            <v>2155000</v>
          </cell>
        </row>
        <row r="1928">
          <cell r="J1928">
            <v>1299</v>
          </cell>
          <cell r="K1928">
            <v>43144</v>
          </cell>
          <cell r="L1928" t="str">
            <v>YANETH  LOPEZ MURCIA</v>
          </cell>
          <cell r="M1928">
            <v>31</v>
          </cell>
          <cell r="N1928" t="str">
            <v>RESOLUCION</v>
          </cell>
          <cell r="O1928">
            <v>994</v>
          </cell>
          <cell r="P1928">
            <v>43144</v>
          </cell>
          <cell r="Q1928" t="str">
            <v>AYUDA TEMPORAL A LAS FAMILIAS DE VARIAS LOCALIDADES, PARA RELOCALIZACIÓN DE HOGARES LOCALIZADOS EN ZONAS DE ALTO RIESGO NO MITIGABLE ID:2011-4-12698, LOCALIDAD:04 SAN CRISTÓBAL, UPZ:32 SAN BLAS</v>
          </cell>
          <cell r="R1928">
            <v>5181132</v>
          </cell>
          <cell r="S1928">
            <v>0</v>
          </cell>
          <cell r="T1928">
            <v>0</v>
          </cell>
          <cell r="U1928">
            <v>5181132</v>
          </cell>
          <cell r="V1928">
            <v>2590566</v>
          </cell>
        </row>
        <row r="1929">
          <cell r="J1929">
            <v>1300</v>
          </cell>
          <cell r="K1929">
            <v>43144</v>
          </cell>
          <cell r="L1929" t="str">
            <v>MARIA ELENA NIEVES MARTINEZ TOVAR</v>
          </cell>
          <cell r="M1929">
            <v>31</v>
          </cell>
          <cell r="N1929" t="str">
            <v>RESOLUCION</v>
          </cell>
          <cell r="O1929">
            <v>989</v>
          </cell>
          <cell r="P1929">
            <v>43144</v>
          </cell>
          <cell r="Q1929" t="str">
            <v>AYUDA TEMPORAL A LAS FAMILIAS DE VARIAS LOCALIDADES, PARA RELOCALIZACIÓN DE HOGARES LOCALIZADOS EN ZONAS DE ALTO RIESGO NO MITIGABLE ID:2010-19-11687, LOCALIDAD:19 CIUDAD BOLÍVAR, UPZ:69 ISMAEL PERDOMO, SECTOR:OLA INVERNAL 2010 FOPAE</v>
          </cell>
          <cell r="R1929">
            <v>2358570</v>
          </cell>
          <cell r="S1929">
            <v>393095</v>
          </cell>
          <cell r="T1929">
            <v>0</v>
          </cell>
          <cell r="U1929">
            <v>1965475</v>
          </cell>
          <cell r="V1929">
            <v>1965475</v>
          </cell>
        </row>
        <row r="1930">
          <cell r="J1930">
            <v>1301</v>
          </cell>
          <cell r="K1930">
            <v>43144</v>
          </cell>
          <cell r="L1930" t="str">
            <v>LINA MARIA MALPICA FUENTES</v>
          </cell>
          <cell r="M1930">
            <v>31</v>
          </cell>
          <cell r="N1930" t="str">
            <v>RESOLUCION</v>
          </cell>
          <cell r="O1930">
            <v>1008</v>
          </cell>
          <cell r="P1930">
            <v>43144</v>
          </cell>
          <cell r="Q1930" t="str">
            <v>AYUDA TEMPORAL A LAS FAMILIAS DE VARIAS LOCALIDADES, PARA RELOCALIZACIÓN DE HOGARES LOCALIZADOS EN ZONAS DE ALTO RIESGO NO MITIGABLE ID:2013-Q04-00309, LOCALIDAD:04 SAN CRISTÓBAL, UPZ:51 LOS LIBERTADORES, SECTOR:QUEBRADA VEREJONES</v>
          </cell>
          <cell r="R1930">
            <v>5285280</v>
          </cell>
          <cell r="S1930">
            <v>0</v>
          </cell>
          <cell r="T1930">
            <v>0</v>
          </cell>
          <cell r="U1930">
            <v>5285280</v>
          </cell>
          <cell r="V1930">
            <v>3252480</v>
          </cell>
        </row>
        <row r="1931">
          <cell r="J1931">
            <v>1302</v>
          </cell>
          <cell r="K1931">
            <v>43144</v>
          </cell>
          <cell r="L1931" t="str">
            <v>RAUL ALBERTO CERON LOPEZ</v>
          </cell>
          <cell r="M1931">
            <v>31</v>
          </cell>
          <cell r="N1931" t="str">
            <v>RESOLUCION</v>
          </cell>
          <cell r="O1931">
            <v>993</v>
          </cell>
          <cell r="P1931">
            <v>43144</v>
          </cell>
          <cell r="Q1931" t="str">
            <v>AYUDA TEMPORAL A LAS FAMILIAS DE VARIAS LOCALIDADES, PARA RELOCALIZACIÓN DE HOGARES LOCALIZADOS EN ZONAS DE ALTO RIESGO NO MITIGABLE ID:2013-Q04-00580, LOCALIDAD:19 CIUDAD BOLÍVAR, UPZ:67 LUCERO, SECTOR:PEÑA COLORADA</v>
          </cell>
          <cell r="R1931">
            <v>5031235</v>
          </cell>
          <cell r="S1931">
            <v>0</v>
          </cell>
          <cell r="T1931">
            <v>0</v>
          </cell>
          <cell r="U1931">
            <v>5031235</v>
          </cell>
          <cell r="V1931">
            <v>3201695</v>
          </cell>
        </row>
        <row r="1932">
          <cell r="J1932">
            <v>1303</v>
          </cell>
          <cell r="K1932">
            <v>43144</v>
          </cell>
          <cell r="L1932" t="str">
            <v>KATHERINE PAOLA DUARTE BENITEZ</v>
          </cell>
          <cell r="M1932">
            <v>31</v>
          </cell>
          <cell r="N1932" t="str">
            <v>RESOLUCION</v>
          </cell>
          <cell r="O1932">
            <v>992</v>
          </cell>
          <cell r="P1932">
            <v>43144</v>
          </cell>
          <cell r="Q1932" t="str">
            <v>AYUDA TEMPORAL A LAS FAMILIAS DE VARIAS LOCALIDADES, PARA RELOCALIZACIÓN DE HOGARES LOCALIZADOS EN ZONAS DE ALTO RIESGO NO MITIGABLE ID:2016-04-14918, LOCALIDAD:04 SAN CRISTÓBAL, UPZ:51 LOS LIBERTADORES, SECTOR:SANTA TERESITA</v>
          </cell>
          <cell r="R1932">
            <v>5754192</v>
          </cell>
          <cell r="S1932">
            <v>0</v>
          </cell>
          <cell r="T1932">
            <v>0</v>
          </cell>
          <cell r="U1932">
            <v>5754192</v>
          </cell>
          <cell r="V1932">
            <v>3356612</v>
          </cell>
        </row>
        <row r="1933">
          <cell r="J1933">
            <v>1304</v>
          </cell>
          <cell r="K1933">
            <v>43144</v>
          </cell>
          <cell r="L1933" t="str">
            <v>JORGE ANDRES CANTOR PINZON</v>
          </cell>
          <cell r="M1933">
            <v>31</v>
          </cell>
          <cell r="N1933" t="str">
            <v>RESOLUCION</v>
          </cell>
          <cell r="O1933">
            <v>1007</v>
          </cell>
          <cell r="P1933">
            <v>43144</v>
          </cell>
          <cell r="Q1933" t="str">
            <v>AYUDA TEMPORAL A LAS FAMILIAS DE VARIAS LOCALIDADES, PARA RELOCALIZACIÓN DE HOGARES LOCALIZADOS EN ZONAS DE ALTO RIESGO NO MITIGABLE ID:2013000265, LOCALIDAD:04 SAN CRISTÓBAL, UPZ:51 LOS LIBERTADORES, SECTOR:QUEBRADA VEREJONES</v>
          </cell>
          <cell r="R1933">
            <v>5110235</v>
          </cell>
          <cell r="S1933">
            <v>0</v>
          </cell>
          <cell r="T1933">
            <v>0</v>
          </cell>
          <cell r="U1933">
            <v>5110235</v>
          </cell>
          <cell r="V1933">
            <v>2751665</v>
          </cell>
        </row>
        <row r="1934">
          <cell r="J1934">
            <v>1305</v>
          </cell>
          <cell r="K1934">
            <v>43144</v>
          </cell>
          <cell r="L1934" t="str">
            <v>LUIS EDUARDO GARCIA MORENO</v>
          </cell>
          <cell r="M1934">
            <v>31</v>
          </cell>
          <cell r="N1934" t="str">
            <v>RESOLUCION</v>
          </cell>
          <cell r="O1934">
            <v>988</v>
          </cell>
          <cell r="P1934">
            <v>43144</v>
          </cell>
          <cell r="Q1934" t="str">
            <v>AYUDA TEMPORAL A LAS FAMILIAS DE VARIAS LOCALIDADES, PARA RELOCALIZACIÓN DE HOGARES LOCALIZADOS EN ZONAS DE ALTO RIESGO NO MITIGABLE ID:2013-Q07-00024, LOCALIDAD:19 CIUDAD BOLÍVAR, UPZ:67 LUCERO, SECTOR:ZANJÓN DEL AHORCADO</v>
          </cell>
          <cell r="R1934">
            <v>3102546</v>
          </cell>
          <cell r="S1934">
            <v>517091</v>
          </cell>
          <cell r="T1934">
            <v>0</v>
          </cell>
          <cell r="U1934">
            <v>2585455</v>
          </cell>
          <cell r="V1934">
            <v>2585455</v>
          </cell>
        </row>
        <row r="1935">
          <cell r="J1935">
            <v>1306</v>
          </cell>
          <cell r="K1935">
            <v>43144</v>
          </cell>
          <cell r="L1935" t="str">
            <v>ANDRES  TURRIAGO FORERO</v>
          </cell>
          <cell r="M1935">
            <v>31</v>
          </cell>
          <cell r="N1935" t="str">
            <v>RESOLUCION</v>
          </cell>
          <cell r="O1935">
            <v>991</v>
          </cell>
          <cell r="P1935">
            <v>43144</v>
          </cell>
          <cell r="Q1935" t="str">
            <v>AYUDA TEMPORAL A LAS FAMILIAS DE VARIAS LOCALIDADES, PARA RELOCALIZACIÓN DE HOGARES LOCALIZADOS EN ZONAS DE ALTO RIESGO NO MITIGABLE ID:2012-T314-07, LOCALIDAD:04 SAN CRISTÓBAL, UPZ:50 LA GLORIA</v>
          </cell>
          <cell r="R1935">
            <v>2435382</v>
          </cell>
          <cell r="S1935">
            <v>405897</v>
          </cell>
          <cell r="T1935">
            <v>0</v>
          </cell>
          <cell r="U1935">
            <v>2029485</v>
          </cell>
          <cell r="V1935">
            <v>2029485</v>
          </cell>
        </row>
        <row r="1936">
          <cell r="J1936">
            <v>1307</v>
          </cell>
          <cell r="K1936">
            <v>43144</v>
          </cell>
          <cell r="L1936" t="str">
            <v>ANASTASIO  RIVERA RIVERA</v>
          </cell>
          <cell r="M1936">
            <v>31</v>
          </cell>
          <cell r="N1936" t="str">
            <v>RESOLUCION</v>
          </cell>
          <cell r="O1936">
            <v>1006</v>
          </cell>
          <cell r="P1936">
            <v>43144</v>
          </cell>
          <cell r="Q1936" t="str">
            <v>AYUDA TEMPORAL A LAS FAMILIAS DE VARIAS LOCALIDADES, PARA RELOCALIZACIÓN DE HOGARES LOCALIZADOS EN ZONAS DE ALTO RIESGO NO MITIGABLE ID:2015-W166-402, LOCALIDAD:19 CIUDAD BOLÍVAR, UPZ:67 LUCERO, SECTOR:UITOTO</v>
          </cell>
          <cell r="R1936">
            <v>7113432</v>
          </cell>
          <cell r="S1936">
            <v>0</v>
          </cell>
          <cell r="T1936">
            <v>0</v>
          </cell>
          <cell r="U1936">
            <v>7113432</v>
          </cell>
          <cell r="V1936">
            <v>4149502</v>
          </cell>
        </row>
        <row r="1937">
          <cell r="J1937">
            <v>1308</v>
          </cell>
          <cell r="K1937">
            <v>43144</v>
          </cell>
          <cell r="L1937" t="str">
            <v>JOSE SIGIFREDO CASTELLANOS MONTILLA</v>
          </cell>
          <cell r="M1937">
            <v>31</v>
          </cell>
          <cell r="N1937" t="str">
            <v>RESOLUCION</v>
          </cell>
          <cell r="O1937">
            <v>1005</v>
          </cell>
          <cell r="P1937">
            <v>43144</v>
          </cell>
          <cell r="Q1937" t="str">
            <v>AYUDA TEMPORAL A LAS FAMILIAS DE VARIAS LOCALIDADES, PARA RELOCALIZACIÓN DE HOGARES LOCALIZADOS EN ZONAS DE ALTO RIESGO NO MITIGABLE ID:2010-19-11685, LOCALIDAD:19 CIUDAD BOLÍVAR, UPZ:69 ISMAEL PERDOMO, SECTOR:OLA INVERNAL 2010 FOPAE</v>
          </cell>
          <cell r="R1937">
            <v>3098410</v>
          </cell>
          <cell r="S1937">
            <v>442630</v>
          </cell>
          <cell r="T1937">
            <v>0</v>
          </cell>
          <cell r="U1937">
            <v>2655780</v>
          </cell>
          <cell r="V1937">
            <v>2655780</v>
          </cell>
        </row>
        <row r="1938">
          <cell r="J1938">
            <v>1309</v>
          </cell>
          <cell r="K1938">
            <v>43144</v>
          </cell>
          <cell r="L1938" t="str">
            <v>REGINALDO  PIZARIO CHAMAPURO</v>
          </cell>
          <cell r="M1938">
            <v>31</v>
          </cell>
          <cell r="N1938" t="str">
            <v>RESOLUCION</v>
          </cell>
          <cell r="O1938">
            <v>1004</v>
          </cell>
          <cell r="P1938">
            <v>43144</v>
          </cell>
          <cell r="Q1938" t="str">
            <v>AYUDA TEMPORAL A LAS FAMILIAS DE VARIAS LOCALIDADES, PARA RELOCALIZACIÓN DE HOGARES LOCALIZADOS EN ZONAS DE ALTO RIESGO NO MITIGABLE ID:2014-W166-003, LOCALIDAD:19 CIUDAD BOLÍVAR, UPZ:68 EL TESORO, SECTOR:WOUNAAN</v>
          </cell>
          <cell r="R1938">
            <v>2360696</v>
          </cell>
          <cell r="S1938">
            <v>590174</v>
          </cell>
          <cell r="T1938">
            <v>0</v>
          </cell>
          <cell r="U1938">
            <v>1770522</v>
          </cell>
          <cell r="V1938">
            <v>1770522</v>
          </cell>
        </row>
        <row r="1939">
          <cell r="J1939">
            <v>1310</v>
          </cell>
          <cell r="K1939">
            <v>43144</v>
          </cell>
          <cell r="L1939" t="str">
            <v>BLANCA EDITH RINCON ROJAS</v>
          </cell>
          <cell r="M1939">
            <v>31</v>
          </cell>
          <cell r="N1939" t="str">
            <v>RESOLUCION</v>
          </cell>
          <cell r="O1939">
            <v>1003</v>
          </cell>
          <cell r="P1939">
            <v>43144</v>
          </cell>
          <cell r="Q1939" t="str">
            <v>AYUDA TEMPORAL A LAS FAMILIAS DE VARIAS LOCALIDADES, PARA RELOCALIZACIÓN DE HOGARES LOCALIZADOS EN ZONAS DE ALTO RIESGO NO MITIGABLE ID:2016-08-14787, LOCALIDAD:08 KENNEDY, UPZ:82 PATIO BONITO, SECTOR:PALMITAS</v>
          </cell>
          <cell r="R1939">
            <v>4057438</v>
          </cell>
          <cell r="S1939">
            <v>0</v>
          </cell>
          <cell r="T1939">
            <v>0</v>
          </cell>
          <cell r="U1939">
            <v>4057438</v>
          </cell>
          <cell r="V1939">
            <v>2582006</v>
          </cell>
        </row>
        <row r="1940">
          <cell r="J1940">
            <v>1311</v>
          </cell>
          <cell r="K1940">
            <v>43144</v>
          </cell>
          <cell r="L1940" t="str">
            <v>NOEL  TORRES BECERRA</v>
          </cell>
          <cell r="M1940">
            <v>31</v>
          </cell>
          <cell r="N1940" t="str">
            <v>RESOLUCION</v>
          </cell>
          <cell r="O1940">
            <v>987</v>
          </cell>
          <cell r="P1940">
            <v>43144</v>
          </cell>
          <cell r="Q1940" t="str">
            <v>AYUDA TEMPORAL A LAS FAMILIAS DE VARIAS LOCALIDADES, PARA RELOCALIZACIÓN DE HOGARES LOCALIZADOS EN ZONAS DE ALTO RIESGO NO MITIGABLE ID:2011-20-13433, LOCALIDAD:20 SUMAPAZ, UPZ:5 UPR RIO SUMAPAZ, SECTOR:</v>
          </cell>
          <cell r="R1940">
            <v>9302605</v>
          </cell>
          <cell r="S1940">
            <v>0</v>
          </cell>
          <cell r="T1940">
            <v>0</v>
          </cell>
          <cell r="U1940">
            <v>9302605</v>
          </cell>
          <cell r="V1940">
            <v>5724680</v>
          </cell>
        </row>
        <row r="1941">
          <cell r="J1941">
            <v>1312</v>
          </cell>
          <cell r="K1941">
            <v>43144</v>
          </cell>
          <cell r="L1941" t="str">
            <v>ROSA MARIA MONTENEGRO DE SAYAGO</v>
          </cell>
          <cell r="M1941">
            <v>31</v>
          </cell>
          <cell r="N1941" t="str">
            <v>RESOLUCION</v>
          </cell>
          <cell r="O1941">
            <v>986</v>
          </cell>
          <cell r="P1941">
            <v>43144</v>
          </cell>
          <cell r="Q1941" t="str">
            <v>AYUDA TEMPORAL A LAS FAMILIAS DE VARIAS LOCALIDADES, PARA RELOCALIZACIÓN DE HOGARES LOCALIZADOS EN ZONAS DE ALTO RIESGO NO MITIGABLE ID:2011-5-13264, LOCALIDAD:05 USME, UPZ:56 DANUBIO, SECTOR:</v>
          </cell>
          <cell r="R1941">
            <v>3216354</v>
          </cell>
          <cell r="S1941">
            <v>536059</v>
          </cell>
          <cell r="T1941">
            <v>0</v>
          </cell>
          <cell r="U1941">
            <v>2680295</v>
          </cell>
          <cell r="V1941">
            <v>2680295</v>
          </cell>
        </row>
        <row r="1942">
          <cell r="J1942">
            <v>1313</v>
          </cell>
          <cell r="K1942">
            <v>43144</v>
          </cell>
          <cell r="L1942" t="str">
            <v>ADOLFO  DAZA CAMARGO</v>
          </cell>
          <cell r="M1942">
            <v>31</v>
          </cell>
          <cell r="N1942" t="str">
            <v>RESOLUCION</v>
          </cell>
          <cell r="O1942">
            <v>985</v>
          </cell>
          <cell r="P1942">
            <v>43144</v>
          </cell>
          <cell r="Q1942" t="str">
            <v>AYUDA TEMPORAL A LAS FAMILIAS DE VARIAS LOCALIDADES, PARA RELOCALIZACIÓN DE HOGARES LOCALIZADOS EN ZONAS DE ALTO RIESGO NO MITIGABLE ID:2013-Q21-00671, LOCALIDAD:19 CIUDAD BOLÍVAR, UPZ:67 LUCERO, SECTOR:BRAZO DERECHO DE LIMAS</v>
          </cell>
          <cell r="R1942">
            <v>2582006</v>
          </cell>
          <cell r="S1942">
            <v>368858</v>
          </cell>
          <cell r="T1942">
            <v>0</v>
          </cell>
          <cell r="U1942">
            <v>2213148</v>
          </cell>
          <cell r="V1942">
            <v>2213148</v>
          </cell>
        </row>
        <row r="1943">
          <cell r="J1943">
            <v>1314</v>
          </cell>
          <cell r="K1943">
            <v>43144</v>
          </cell>
          <cell r="L1943" t="str">
            <v>TOMAS AUGUSTO QUIZA ALVAREZ</v>
          </cell>
          <cell r="M1943">
            <v>31</v>
          </cell>
          <cell r="N1943" t="str">
            <v>RESOLUCION</v>
          </cell>
          <cell r="O1943">
            <v>984</v>
          </cell>
          <cell r="P1943">
            <v>43144</v>
          </cell>
          <cell r="Q1943" t="str">
            <v>AYUDA TEMPORAL A LAS FAMILIAS DE VARIAS LOCALIDADES, PARA RELOCALIZACIÓN DE HOGARES LOCALIZADOS EN ZONAS DE ALTO RIESGO NO MITIGABLE ID:2006-4-8838, LOCALIDAD:04 SAN CRISTÓBAL, UPZ:50 LA GLORIA, SECTOR:</v>
          </cell>
          <cell r="R1943">
            <v>3275466</v>
          </cell>
          <cell r="S1943">
            <v>545911</v>
          </cell>
          <cell r="T1943">
            <v>0</v>
          </cell>
          <cell r="U1943">
            <v>2729555</v>
          </cell>
          <cell r="V1943">
            <v>2729555</v>
          </cell>
        </row>
        <row r="1944">
          <cell r="J1944">
            <v>1315</v>
          </cell>
          <cell r="K1944">
            <v>43144</v>
          </cell>
          <cell r="L1944" t="str">
            <v>JOSE VICENTE DUARTE GONZALEZ</v>
          </cell>
          <cell r="M1944">
            <v>31</v>
          </cell>
          <cell r="N1944" t="str">
            <v>RESOLUCION</v>
          </cell>
          <cell r="O1944">
            <v>1009</v>
          </cell>
          <cell r="P1944">
            <v>43144</v>
          </cell>
          <cell r="Q1944" t="str">
            <v>AYUDA TEMPORAL A LAS FAMILIAS DE VARIAS LOCALIDADES, PARA RELOCALIZACIÓN DE HOGARES LOCALIZADOS EN ZONAS DE ALTO RIESGO NO MITIGABLE ID:2010-19-12227, LOCALIDAD:19 CIUDAD BOLÍVAR, UPZ:67 LUCERO, SECTOR:LIMAS</v>
          </cell>
          <cell r="R1944">
            <v>2582006</v>
          </cell>
          <cell r="S1944">
            <v>368858</v>
          </cell>
          <cell r="T1944">
            <v>0</v>
          </cell>
          <cell r="U1944">
            <v>2213148</v>
          </cell>
          <cell r="V1944">
            <v>2213148</v>
          </cell>
        </row>
        <row r="1945">
          <cell r="J1945">
            <v>1316</v>
          </cell>
          <cell r="K1945">
            <v>43144</v>
          </cell>
          <cell r="L1945" t="str">
            <v>HERMINSO  ALTURO PERDOMO</v>
          </cell>
          <cell r="M1945">
            <v>31</v>
          </cell>
          <cell r="N1945" t="str">
            <v>RESOLUCION</v>
          </cell>
          <cell r="O1945">
            <v>1093</v>
          </cell>
          <cell r="P1945">
            <v>43144</v>
          </cell>
          <cell r="Q1945" t="str">
            <v>AYUDA TEMPORAL A LAS FAMILIAS DE VARIAS LOCALIDADES, PARA RELOCALIZACIÓN DE HOGARES LOCALIZADOS EN ZONAS DE ALTO RIESGO NO MITIGABLE ID:2015-OTR-01375, LOCALIDAD:11 SUBA, UPZ:71 TIBABUYES, SECTOR:GAVILANES</v>
          </cell>
          <cell r="R1945">
            <v>3209076</v>
          </cell>
          <cell r="S1945">
            <v>534846</v>
          </cell>
          <cell r="T1945">
            <v>0</v>
          </cell>
          <cell r="U1945">
            <v>2674230</v>
          </cell>
          <cell r="V1945">
            <v>2674230</v>
          </cell>
        </row>
        <row r="1946">
          <cell r="J1946">
            <v>1317</v>
          </cell>
          <cell r="K1946">
            <v>43144</v>
          </cell>
          <cell r="L1946" t="str">
            <v>GEIMAR ARLEY NIÑO SANCHEZ</v>
          </cell>
          <cell r="M1946">
            <v>31</v>
          </cell>
          <cell r="N1946" t="str">
            <v>RESOLUCION</v>
          </cell>
          <cell r="O1946">
            <v>1092</v>
          </cell>
          <cell r="P1946">
            <v>43144</v>
          </cell>
          <cell r="Q1946" t="str">
            <v>AYUDA TEMPORAL A LAS FAMILIAS DE VARIAS LOCALIDADES, PARA RELOCALIZACIÓN DE HOGARES LOCALIZADOS EN ZONAS DE ALTO RIESGO NO MITIGABLE ID:2014-Q03-01077, LOCALIDAD:19 CIUDAD BOLÍVAR, UPZ:66 SAN FRANCISCO, SECTOR:LIMAS</v>
          </cell>
          <cell r="R1946">
            <v>2784006</v>
          </cell>
          <cell r="S1946">
            <v>464001</v>
          </cell>
          <cell r="T1946">
            <v>0</v>
          </cell>
          <cell r="U1946">
            <v>2320005</v>
          </cell>
          <cell r="V1946">
            <v>2320005</v>
          </cell>
        </row>
        <row r="1947">
          <cell r="J1947">
            <v>1318</v>
          </cell>
          <cell r="K1947">
            <v>43144</v>
          </cell>
          <cell r="L1947" t="str">
            <v>TEOFILO  CABEZON CARDENAS</v>
          </cell>
          <cell r="M1947">
            <v>31</v>
          </cell>
          <cell r="N1947" t="str">
            <v>RESOLUCION</v>
          </cell>
          <cell r="O1947">
            <v>1091</v>
          </cell>
          <cell r="P1947">
            <v>43144</v>
          </cell>
          <cell r="Q1947" t="str">
            <v>AYUDA TEMPORAL A LAS FAMILIAS DE VARIAS LOCALIDADES, PARA RELOCALIZACIÓN DE HOGARES LOCALIZADOS EN ZONAS DE ALTO RIESGO NO MITIGABLE ID:2014-W166-023, LOCALIDAD:19 CIUDAD BOLÍVAR, UPZ:68 EL TESORO, SECTOR:WOUNAAN</v>
          </cell>
          <cell r="R1947">
            <v>7207200</v>
          </cell>
          <cell r="S1947">
            <v>0</v>
          </cell>
          <cell r="T1947">
            <v>0</v>
          </cell>
          <cell r="U1947">
            <v>7207200</v>
          </cell>
          <cell r="V1947">
            <v>4435200</v>
          </cell>
        </row>
        <row r="1948">
          <cell r="J1948">
            <v>1319</v>
          </cell>
          <cell r="K1948">
            <v>43144</v>
          </cell>
          <cell r="L1948" t="str">
            <v>GILBERTO  FORERO</v>
          </cell>
          <cell r="M1948">
            <v>31</v>
          </cell>
          <cell r="N1948" t="str">
            <v>RESOLUCION</v>
          </cell>
          <cell r="O1948">
            <v>983</v>
          </cell>
          <cell r="P1948">
            <v>43144</v>
          </cell>
          <cell r="Q1948" t="str">
            <v>AYUDA TEMPORAL A LAS FAMILIAS DE VARIAS LOCALIDADES, PARA RELOCALIZACIÓN DE HOGARES LOCALIZADOS EN ZONAS DE ALTO RIESGO NO MITIGABLE ID:2012-ALES-190, LOCALIDAD:19 CIUDAD BOLÍVAR, UPZ:69 ISMAEL PERDOMO, SECTOR:ALTOS DE LA ESTANCIA</v>
          </cell>
          <cell r="R1948">
            <v>2788569</v>
          </cell>
          <cell r="S1948">
            <v>398367</v>
          </cell>
          <cell r="T1948">
            <v>0</v>
          </cell>
          <cell r="U1948">
            <v>2390202</v>
          </cell>
          <cell r="V1948">
            <v>2390202</v>
          </cell>
        </row>
        <row r="1949">
          <cell r="J1949">
            <v>1320</v>
          </cell>
          <cell r="K1949">
            <v>43144</v>
          </cell>
          <cell r="L1949" t="str">
            <v>LEYDI YOHANA GARZON MARTINEZ</v>
          </cell>
          <cell r="M1949">
            <v>31</v>
          </cell>
          <cell r="N1949" t="str">
            <v>RESOLUCION</v>
          </cell>
          <cell r="O1949">
            <v>1015</v>
          </cell>
          <cell r="P1949">
            <v>43144</v>
          </cell>
          <cell r="Q1949" t="str">
            <v>AYUDA TEMPORAL A LAS FAMILIAS DE VARIAS LOCALIDADES, PARA RELOCALIZACIÓN DE HOGARES LOCALIZADOS EN ZONAS DE ALTO RIESGO NO MITIGABLE ID:2015-Q03-03625, LOCALIDAD:19 CIUDAD BOLÍVAR, UPZ:67 LUCERO, SECTOR:LIMAS</v>
          </cell>
          <cell r="R1949">
            <v>4604880</v>
          </cell>
          <cell r="S1949">
            <v>0</v>
          </cell>
          <cell r="T1949">
            <v>0</v>
          </cell>
          <cell r="U1949">
            <v>4604880</v>
          </cell>
          <cell r="V1949">
            <v>3223416</v>
          </cell>
        </row>
        <row r="1950">
          <cell r="J1950">
            <v>1321</v>
          </cell>
          <cell r="K1950">
            <v>43144</v>
          </cell>
          <cell r="L1950" t="str">
            <v>FABELICIA  BURGARA CHAUCARAMA</v>
          </cell>
          <cell r="M1950">
            <v>31</v>
          </cell>
          <cell r="N1950" t="str">
            <v>RESOLUCION</v>
          </cell>
          <cell r="O1950">
            <v>1002</v>
          </cell>
          <cell r="P1950">
            <v>43144</v>
          </cell>
          <cell r="Q1950" t="str">
            <v>AYUDA TEMPORAL A LAS FAMILIAS DE VARIAS LOCALIDADES, PARA RELOCALIZACIÓN DE HOGARES LOCALIZADOS EN ZONAS DE ALTO RIESGO NO MITIGABLE ID:2015-W166-438, LOCALIDAD:19 CIUDAD BOLÍVAR, UPZ:68 EL TESORO, SECTOR:WOUNAAN</v>
          </cell>
          <cell r="R1950">
            <v>6491914</v>
          </cell>
          <cell r="S1950">
            <v>0</v>
          </cell>
          <cell r="T1950">
            <v>0</v>
          </cell>
          <cell r="U1950">
            <v>6491914</v>
          </cell>
          <cell r="V1950">
            <v>2950870</v>
          </cell>
        </row>
        <row r="1951">
          <cell r="J1951">
            <v>1322</v>
          </cell>
          <cell r="K1951">
            <v>43144</v>
          </cell>
          <cell r="L1951" t="str">
            <v>OLGA  CHIRIMIA GINGUIMIA</v>
          </cell>
          <cell r="M1951">
            <v>31</v>
          </cell>
          <cell r="N1951" t="str">
            <v>RESOLUCION</v>
          </cell>
          <cell r="O1951">
            <v>1014</v>
          </cell>
          <cell r="P1951">
            <v>43144</v>
          </cell>
          <cell r="Q1951" t="str">
            <v>AYUDA TEMPORAL A LAS FAMILIAS DE VARIAS LOCALIDADES, PARA RELOCALIZACIÓN DE HOGARES LOCALIZADOS EN ZONAS DE ALTO RIESGO NO MITIGABLE ID:2015-W166-204, LOCALIDAD:04 SAN CRISTÓBAL, UPZ:33 SOSIEGO, SECTOR:EPERARA</v>
          </cell>
          <cell r="R1951">
            <v>5532880</v>
          </cell>
          <cell r="S1951">
            <v>0</v>
          </cell>
          <cell r="T1951">
            <v>0</v>
          </cell>
          <cell r="U1951">
            <v>5532880</v>
          </cell>
          <cell r="V1951">
            <v>2766440</v>
          </cell>
        </row>
        <row r="1952">
          <cell r="J1952">
            <v>1323</v>
          </cell>
          <cell r="K1952">
            <v>43144</v>
          </cell>
          <cell r="L1952" t="str">
            <v>JOSE RICARDO TANGARIFE GOMEZ</v>
          </cell>
          <cell r="M1952">
            <v>31</v>
          </cell>
          <cell r="N1952" t="str">
            <v>RESOLUCION</v>
          </cell>
          <cell r="O1952">
            <v>982</v>
          </cell>
          <cell r="P1952">
            <v>43144</v>
          </cell>
          <cell r="Q1952" t="str">
            <v>AYUDA TEMPORAL A LAS FAMILIAS DE VARIAS LOCALIDADES, PARA RELOCALIZACIÓN DE HOGARES LOCALIZADOS EN ZONAS DE ALTO RIESGO NO MITIGABLE ID:2015-D227-00054, LOCALIDAD:04 SAN CRISTÓBAL, UPZ:51 LOS LIBERTADORES, SECTOR:SANTA TERESITA</v>
          </cell>
          <cell r="R1952">
            <v>4687452</v>
          </cell>
          <cell r="S1952">
            <v>0</v>
          </cell>
          <cell r="T1952">
            <v>0</v>
          </cell>
          <cell r="U1952">
            <v>4687452</v>
          </cell>
          <cell r="V1952">
            <v>1953105</v>
          </cell>
        </row>
        <row r="1953">
          <cell r="J1953">
            <v>1324</v>
          </cell>
          <cell r="K1953">
            <v>43144</v>
          </cell>
          <cell r="L1953" t="str">
            <v>LAMINIA  ISMARE OPUA</v>
          </cell>
          <cell r="M1953">
            <v>31</v>
          </cell>
          <cell r="N1953" t="str">
            <v>RESOLUCION</v>
          </cell>
          <cell r="O1953">
            <v>1013</v>
          </cell>
          <cell r="P1953">
            <v>43144</v>
          </cell>
          <cell r="Q1953" t="str">
            <v>AYUDA TEMPORAL A LAS FAMILIAS DE VARIAS LOCALIDADES, PARA RELOCALIZACIÓN DE HOGARES LOCALIZADOS EN ZONAS DE ALTO RIESGO NO MITIGABLE ID:2014-W166-035, LOCALIDAD:19 CIUDAD BOLÍVAR, UPZ:67 LUCERO, SECTOR:WOUNAAN</v>
          </cell>
          <cell r="R1953">
            <v>5901740</v>
          </cell>
          <cell r="S1953">
            <v>0</v>
          </cell>
          <cell r="T1953">
            <v>0</v>
          </cell>
          <cell r="U1953">
            <v>5901740</v>
          </cell>
          <cell r="V1953">
            <v>2950870</v>
          </cell>
        </row>
        <row r="1954">
          <cell r="J1954">
            <v>1325</v>
          </cell>
          <cell r="K1954">
            <v>43144</v>
          </cell>
          <cell r="L1954" t="str">
            <v>CLARA LILIA AREVALO</v>
          </cell>
          <cell r="M1954">
            <v>31</v>
          </cell>
          <cell r="N1954" t="str">
            <v>RESOLUCION</v>
          </cell>
          <cell r="O1954">
            <v>1001</v>
          </cell>
          <cell r="P1954">
            <v>43144</v>
          </cell>
          <cell r="Q1954" t="str">
            <v>AYUDA TEMPORAL A LAS FAMILIAS DE VARIAS LOCALIDADES, PARA RELOCALIZACIÓN DE HOGARES LOCALIZADOS EN ZONAS DE ALTO RIESGO NO MITIGABLE ID:2011-5-13260, LOCALIDAD:05 USME, UPZ:56 DANUBIO</v>
          </cell>
          <cell r="R1954">
            <v>2531226</v>
          </cell>
          <cell r="S1954">
            <v>421871</v>
          </cell>
          <cell r="T1954">
            <v>0</v>
          </cell>
          <cell r="U1954">
            <v>2109355</v>
          </cell>
          <cell r="V1954">
            <v>2109355</v>
          </cell>
        </row>
        <row r="1955">
          <cell r="J1955">
            <v>1326</v>
          </cell>
          <cell r="K1955">
            <v>43144</v>
          </cell>
          <cell r="L1955" t="str">
            <v>MARIA  AYALA</v>
          </cell>
          <cell r="M1955">
            <v>31</v>
          </cell>
          <cell r="N1955" t="str">
            <v>RESOLUCION</v>
          </cell>
          <cell r="O1955">
            <v>981</v>
          </cell>
          <cell r="P1955">
            <v>43144</v>
          </cell>
          <cell r="Q1955" t="str">
            <v>AYUDA TEMPORAL A LAS FAMILIAS DE VARIAS LOCALIDADES, PARA RELOCALIZACIÓN DE HOGARES LOCALIZADOS EN ZONAS DE ALTO RIESGO NO MITIGABLE ID:2006-19-8520, LOCALIDAD:19 CIUDAD BOLÍVAR, UPZ:68 EL TESORO, SECTOR:QUEBRADA EL INFIERNO</v>
          </cell>
          <cell r="R1955">
            <v>3088757</v>
          </cell>
          <cell r="S1955">
            <v>441251</v>
          </cell>
          <cell r="T1955">
            <v>0</v>
          </cell>
          <cell r="U1955">
            <v>2647506</v>
          </cell>
          <cell r="V1955">
            <v>2647506</v>
          </cell>
        </row>
        <row r="1956">
          <cell r="J1956">
            <v>1327</v>
          </cell>
          <cell r="K1956">
            <v>43144</v>
          </cell>
          <cell r="L1956" t="str">
            <v>YEISA AYCHELL RIVERA OLAYA</v>
          </cell>
          <cell r="M1956">
            <v>31</v>
          </cell>
          <cell r="N1956" t="str">
            <v>RESOLUCION</v>
          </cell>
          <cell r="O1956">
            <v>1012</v>
          </cell>
          <cell r="P1956">
            <v>43144</v>
          </cell>
          <cell r="Q1956" t="str">
            <v>AYUDA TEMPORAL A LAS FAMILIAS DE VARIAS LOCALIDADES, PARA RELOCALIZACIÓN DE HOGARES LOCALIZADOS EN ZONAS DE ALTO RIESGO NO MITIGABLE ID:2015-W166-403, LOCALIDAD:19 CIUDAD BOLÍVAR, UPZ:67 LUCERO, SECTOR:UITOTO</v>
          </cell>
          <cell r="R1956">
            <v>5489556</v>
          </cell>
          <cell r="S1956">
            <v>0</v>
          </cell>
          <cell r="T1956">
            <v>0</v>
          </cell>
          <cell r="U1956">
            <v>5489556</v>
          </cell>
          <cell r="V1956">
            <v>3659704</v>
          </cell>
        </row>
        <row r="1957">
          <cell r="J1957">
            <v>1328</v>
          </cell>
          <cell r="K1957">
            <v>43144</v>
          </cell>
          <cell r="L1957" t="str">
            <v>FLOR MARIA JAIME</v>
          </cell>
          <cell r="M1957">
            <v>31</v>
          </cell>
          <cell r="N1957" t="str">
            <v>RESOLUCION</v>
          </cell>
          <cell r="O1957">
            <v>1011</v>
          </cell>
          <cell r="P1957">
            <v>43144</v>
          </cell>
          <cell r="Q1957" t="str">
            <v>AYUDA TEMPORAL A LAS FAMILIAS DE VARIAS LOCALIDADES, PARA RELOCALIZACIÓN DE HOGARES LOCALIZADOS EN ZONAS DE ALTO RIESGO NO MITIGABLE ID:2013-Q09-00146, LOCALIDAD:19 CIUDAD BOLÍVAR, UPZ:67 LUCERO, SECTOR:QUEBRADA TROMPETA</v>
          </cell>
          <cell r="R1957">
            <v>2213148</v>
          </cell>
          <cell r="S1957">
            <v>368858</v>
          </cell>
          <cell r="T1957">
            <v>0</v>
          </cell>
          <cell r="U1957">
            <v>1844290</v>
          </cell>
          <cell r="V1957">
            <v>1844290</v>
          </cell>
        </row>
        <row r="1958">
          <cell r="J1958">
            <v>1329</v>
          </cell>
          <cell r="K1958">
            <v>43144</v>
          </cell>
          <cell r="L1958" t="str">
            <v>YENIFER  AGUDELO GONZALEZ</v>
          </cell>
          <cell r="M1958">
            <v>31</v>
          </cell>
          <cell r="N1958" t="str">
            <v>RESOLUCION</v>
          </cell>
          <cell r="O1958">
            <v>1000</v>
          </cell>
          <cell r="P1958">
            <v>43144</v>
          </cell>
          <cell r="Q1958" t="str">
            <v>AYUDA TEMPORAL A LAS FAMILIAS DE VARIAS LOCALIDADES, PARA RELOCALIZACIÓN DE HOGARES LOCALIZADOS EN ZONAS DE ALTO RIESGO NO MITIGABLE ID:2011-19-13423, LOCALIDAD:19 CIUDAD BOLÍVAR, UPZ:69 ISMAEL PERDOMO.</v>
          </cell>
          <cell r="R1958">
            <v>5812440</v>
          </cell>
          <cell r="S1958">
            <v>0</v>
          </cell>
          <cell r="T1958">
            <v>0</v>
          </cell>
          <cell r="U1958">
            <v>5812440</v>
          </cell>
          <cell r="V1958">
            <v>3390590</v>
          </cell>
        </row>
        <row r="1959">
          <cell r="J1959">
            <v>1330</v>
          </cell>
          <cell r="K1959">
            <v>43144</v>
          </cell>
          <cell r="L1959" t="str">
            <v>MERY LILIA FURQUE VEGA</v>
          </cell>
          <cell r="M1959">
            <v>31</v>
          </cell>
          <cell r="N1959" t="str">
            <v>RESOLUCION</v>
          </cell>
          <cell r="O1959">
            <v>1010</v>
          </cell>
          <cell r="P1959">
            <v>43144</v>
          </cell>
          <cell r="Q1959" t="str">
            <v>AYUDA TEMPORAL A LAS FAMILIAS DE VARIAS LOCALIDADES, PARA RELOCALIZACIÓN DE HOGARES LOCALIZADOS EN ZONAS DE ALTO RIESGO NO MITIGABLE ID:2007-4-9376, LOCALIDAD:04 SAN CRISTÓBAL, UPZ:32 SAN BLAS</v>
          </cell>
          <cell r="R1959">
            <v>3098410</v>
          </cell>
          <cell r="S1959">
            <v>442630</v>
          </cell>
          <cell r="T1959">
            <v>0</v>
          </cell>
          <cell r="U1959">
            <v>2655780</v>
          </cell>
          <cell r="V1959">
            <v>2655780</v>
          </cell>
        </row>
        <row r="1960">
          <cell r="J1960">
            <v>1331</v>
          </cell>
          <cell r="K1960">
            <v>43144</v>
          </cell>
          <cell r="L1960" t="str">
            <v>OMAIRA  SALCEDO ANGARITA</v>
          </cell>
          <cell r="M1960">
            <v>31</v>
          </cell>
          <cell r="N1960" t="str">
            <v>RESOLUCION</v>
          </cell>
          <cell r="O1960">
            <v>1098</v>
          </cell>
          <cell r="P1960">
            <v>43144</v>
          </cell>
          <cell r="Q1960" t="str">
            <v>Asignacion del instrumento financiero a las familias ocupantes del predio que hayan superado la fase de verificacion dentro  del marco del Decreto 457 de 2017. LOCALIDAD: KENNEDY; BARRIO: VEREDITAS; ID: 2017-8-383767</v>
          </cell>
          <cell r="R1960">
            <v>54686940</v>
          </cell>
          <cell r="S1960">
            <v>0</v>
          </cell>
          <cell r="T1960">
            <v>0</v>
          </cell>
          <cell r="U1960">
            <v>54686940</v>
          </cell>
          <cell r="V1960">
            <v>0</v>
          </cell>
        </row>
        <row r="1961">
          <cell r="J1961">
            <v>1332</v>
          </cell>
          <cell r="K1961">
            <v>43144</v>
          </cell>
          <cell r="L1961" t="str">
            <v>REYES ALFONSO LEYTON</v>
          </cell>
          <cell r="M1961">
            <v>31</v>
          </cell>
          <cell r="N1961" t="str">
            <v>RESOLUCION</v>
          </cell>
          <cell r="O1961">
            <v>1102</v>
          </cell>
          <cell r="P1961">
            <v>43144</v>
          </cell>
          <cell r="Q1961" t="str">
            <v>Asignacion del instrumento financiero a las familias ocupantes del predio que hayan superado la fase de verificacion dentro  del marco del Decreto 457 de 2017. LOCALIDAD: KENNEDY; BARRIO: VEREDITAS; ID: 2017-8-383690</v>
          </cell>
          <cell r="R1961">
            <v>54686940</v>
          </cell>
          <cell r="S1961">
            <v>0</v>
          </cell>
          <cell r="T1961">
            <v>0</v>
          </cell>
          <cell r="U1961">
            <v>54686940</v>
          </cell>
          <cell r="V1961">
            <v>54686940</v>
          </cell>
        </row>
        <row r="1962">
          <cell r="J1962">
            <v>1333</v>
          </cell>
          <cell r="K1962">
            <v>43144</v>
          </cell>
          <cell r="L1962" t="str">
            <v>JUAN DAVID LOPEZ PENAGOS</v>
          </cell>
          <cell r="M1962">
            <v>31</v>
          </cell>
          <cell r="N1962" t="str">
            <v>RESOLUCION</v>
          </cell>
          <cell r="O1962">
            <v>762</v>
          </cell>
          <cell r="P1962">
            <v>43144</v>
          </cell>
          <cell r="Q1962" t="str">
            <v>Asignacion del instrumento financiero a las familias ocupantes del predio que hayan superado la fase de verificacion dentro  del marco del Decreto 457 de 2017. LOCALIDAD: KENNEDY; BARRIO: VEREDITAS; ID: 2017-8-383887</v>
          </cell>
          <cell r="R1962">
            <v>54686940</v>
          </cell>
          <cell r="S1962">
            <v>0</v>
          </cell>
          <cell r="T1962">
            <v>0</v>
          </cell>
          <cell r="U1962">
            <v>54686940</v>
          </cell>
          <cell r="V1962">
            <v>54686940</v>
          </cell>
        </row>
        <row r="1963">
          <cell r="J1963">
            <v>1334</v>
          </cell>
          <cell r="K1963">
            <v>43144</v>
          </cell>
          <cell r="L1963" t="str">
            <v>ANYI VANESSA ARIZA CAMACHO</v>
          </cell>
          <cell r="M1963">
            <v>31</v>
          </cell>
          <cell r="N1963" t="str">
            <v>RESOLUCION</v>
          </cell>
          <cell r="O1963">
            <v>1101</v>
          </cell>
          <cell r="P1963">
            <v>43144</v>
          </cell>
          <cell r="Q1963" t="str">
            <v>Asignacion del instrumento financiero a las familias ocupantes del predio que hayan superado la fase de verificacion dentro  del marco del Decreto 457 de 2017. LOCALIDAD: KENNEDY; BARRIO: VEREDITAS; ID: 2017-8-383612</v>
          </cell>
          <cell r="R1963">
            <v>54686940</v>
          </cell>
          <cell r="S1963">
            <v>54686940</v>
          </cell>
          <cell r="T1963">
            <v>0</v>
          </cell>
          <cell r="U1963">
            <v>0</v>
          </cell>
          <cell r="V1963">
            <v>0</v>
          </cell>
        </row>
        <row r="1964">
          <cell r="J1964">
            <v>1335</v>
          </cell>
          <cell r="K1964">
            <v>43144</v>
          </cell>
          <cell r="L1964" t="str">
            <v>LEIDY YOHANNA AGUILAR VELASQUEZ</v>
          </cell>
          <cell r="M1964">
            <v>31</v>
          </cell>
          <cell r="N1964" t="str">
            <v>RESOLUCION</v>
          </cell>
          <cell r="O1964">
            <v>1100</v>
          </cell>
          <cell r="P1964">
            <v>43144</v>
          </cell>
          <cell r="Q1964" t="str">
            <v>Asignacion del instrumento financiero a las familias ocupantes del predio que hayan superado la fase de verificacion dentro  del marco del Decreto 457 de 2017. LOCALIDAD: KENNEDY; BARRIO: VEREDITAS; ID: 2017-8-383789</v>
          </cell>
          <cell r="R1964">
            <v>54686940</v>
          </cell>
          <cell r="S1964">
            <v>54686940</v>
          </cell>
          <cell r="T1964">
            <v>0</v>
          </cell>
          <cell r="U1964">
            <v>0</v>
          </cell>
          <cell r="V1964">
            <v>0</v>
          </cell>
        </row>
        <row r="1965">
          <cell r="J1965">
            <v>1336</v>
          </cell>
          <cell r="K1965">
            <v>43144</v>
          </cell>
          <cell r="L1965" t="str">
            <v>ALFREDO  CASTELLANOS</v>
          </cell>
          <cell r="M1965">
            <v>31</v>
          </cell>
          <cell r="N1965" t="str">
            <v>RESOLUCION</v>
          </cell>
          <cell r="O1965">
            <v>1099</v>
          </cell>
          <cell r="P1965">
            <v>43144</v>
          </cell>
          <cell r="Q1965" t="str">
            <v>Asignacion del instrumento financiero a las familias ocupantes del predio que hayan superado la fase de verificacion dentro  del marco del Decreto 457 de 2017. LOCALIDAD: KENNEDY; BARRIO: VEREDITAS; ID: 2017-8-383894</v>
          </cell>
          <cell r="R1965">
            <v>54686940</v>
          </cell>
          <cell r="S1965">
            <v>0</v>
          </cell>
          <cell r="T1965">
            <v>0</v>
          </cell>
          <cell r="U1965">
            <v>54686940</v>
          </cell>
          <cell r="V1965">
            <v>54686940</v>
          </cell>
        </row>
        <row r="1966">
          <cell r="J1966">
            <v>1337</v>
          </cell>
          <cell r="K1966">
            <v>43144</v>
          </cell>
          <cell r="L1966" t="str">
            <v>ANYI VANESSA ARIZA CAMACHO</v>
          </cell>
          <cell r="M1966">
            <v>31</v>
          </cell>
          <cell r="N1966" t="str">
            <v>RESOLUCION</v>
          </cell>
          <cell r="O1966">
            <v>1101</v>
          </cell>
          <cell r="P1966">
            <v>43144</v>
          </cell>
          <cell r="Q1966" t="str">
            <v>Asignacion del instrumento financiero a las familias ocupantes del predio que hayan superado la fase de verificacion dentro  del marco del Decreto 457 de 2017. LOCALIDAD: KENNEDY; BARRIO: VEREDITAS; ID: 2017-8-383612</v>
          </cell>
          <cell r="R1966">
            <v>54686940</v>
          </cell>
          <cell r="S1966">
            <v>0</v>
          </cell>
          <cell r="T1966">
            <v>0</v>
          </cell>
          <cell r="U1966">
            <v>54686940</v>
          </cell>
          <cell r="V1966">
            <v>54686940</v>
          </cell>
        </row>
        <row r="1967">
          <cell r="J1967">
            <v>1338</v>
          </cell>
          <cell r="K1967">
            <v>43144</v>
          </cell>
          <cell r="L1967" t="str">
            <v>MARIA GLADYS OSORIO CASTRO</v>
          </cell>
          <cell r="M1967">
            <v>31</v>
          </cell>
          <cell r="N1967" t="str">
            <v>RESOLUCION</v>
          </cell>
          <cell r="O1967">
            <v>1126</v>
          </cell>
          <cell r="P1967">
            <v>43144</v>
          </cell>
          <cell r="Q1967" t="str">
            <v>Asignacion del instrumento financiero a las familias ocupantes del predio que hayan superado la fase de verificacion dentro  del marco del Decreto 457 de 2017. LOCALIDAD: KENNEDY; BARRIO: VEREDITAS; ID: 2018-8-383900</v>
          </cell>
          <cell r="R1967">
            <v>54686940</v>
          </cell>
          <cell r="S1967">
            <v>0</v>
          </cell>
          <cell r="T1967">
            <v>0</v>
          </cell>
          <cell r="U1967">
            <v>54686940</v>
          </cell>
          <cell r="V1967">
            <v>54686940</v>
          </cell>
        </row>
        <row r="1968">
          <cell r="J1968">
            <v>1339</v>
          </cell>
          <cell r="K1968">
            <v>43144</v>
          </cell>
          <cell r="L1968" t="str">
            <v>CELIA MARIA AGUIRRE MUÑOZ</v>
          </cell>
          <cell r="M1968">
            <v>31</v>
          </cell>
          <cell r="N1968" t="str">
            <v>RESOLUCION</v>
          </cell>
          <cell r="O1968">
            <v>1105</v>
          </cell>
          <cell r="P1968">
            <v>43144</v>
          </cell>
          <cell r="Q1968" t="str">
            <v>Asignacion del instrumento financiero a las familias ocupantes del predio que hayan superado la fase de verificacion dentro  del marco del Decreto 457 de 2017. LOCALIDAD: KENNEDY; BARRIO: VEREDITAS; ID: 2018-8-383910</v>
          </cell>
          <cell r="R1968">
            <v>54686940</v>
          </cell>
          <cell r="S1968">
            <v>0</v>
          </cell>
          <cell r="T1968">
            <v>0</v>
          </cell>
          <cell r="U1968">
            <v>54686940</v>
          </cell>
          <cell r="V1968">
            <v>54686940</v>
          </cell>
        </row>
        <row r="1969">
          <cell r="J1969">
            <v>1340</v>
          </cell>
          <cell r="K1969">
            <v>43144</v>
          </cell>
          <cell r="L1969" t="str">
            <v>AURORA YANETH VELASQUEZ</v>
          </cell>
          <cell r="M1969">
            <v>31</v>
          </cell>
          <cell r="N1969" t="str">
            <v>RESOLUCION</v>
          </cell>
          <cell r="O1969">
            <v>1097</v>
          </cell>
          <cell r="P1969">
            <v>43144</v>
          </cell>
          <cell r="Q1969" t="str">
            <v>Asignacion del instrumento financiero a las familias ocupantes del predio que hayan superado la fase de verificacion dentro  del marco del Decreto 457 de 2017. LOCALIDAD: KENNEDY; BARRIO: VEREDITAS; ID: 2017-8-383789</v>
          </cell>
          <cell r="R1969">
            <v>54686940</v>
          </cell>
          <cell r="S1969">
            <v>0</v>
          </cell>
          <cell r="T1969">
            <v>0</v>
          </cell>
          <cell r="U1969">
            <v>54686940</v>
          </cell>
          <cell r="V1969">
            <v>54686940</v>
          </cell>
        </row>
        <row r="1970">
          <cell r="J1970">
            <v>1341</v>
          </cell>
          <cell r="K1970">
            <v>43144</v>
          </cell>
          <cell r="L1970" t="str">
            <v>MARTHA JANETH ARIZA CAMACHO</v>
          </cell>
          <cell r="M1970">
            <v>31</v>
          </cell>
          <cell r="N1970" t="str">
            <v>RESOLUCION</v>
          </cell>
          <cell r="O1970">
            <v>1104</v>
          </cell>
          <cell r="P1970">
            <v>43144</v>
          </cell>
          <cell r="Q1970" t="str">
            <v>Asignacion del instrumento financiero a las familias ocupantes del predio que hayan superado la fase de verificacion dentro  del marco del Decreto 457 de 2017. LOCALIDAD: KENNEDY; BARRIO: VEREDITAS; ID: 2018-8-383917</v>
          </cell>
          <cell r="R1970">
            <v>54686940</v>
          </cell>
          <cell r="S1970">
            <v>0</v>
          </cell>
          <cell r="T1970">
            <v>0</v>
          </cell>
          <cell r="U1970">
            <v>54686940</v>
          </cell>
          <cell r="V1970">
            <v>54686940</v>
          </cell>
        </row>
        <row r="1971">
          <cell r="J1971">
            <v>1342</v>
          </cell>
          <cell r="K1971">
            <v>43144</v>
          </cell>
          <cell r="L1971" t="str">
            <v>JOSE MANUEL TORRES NAIZAQUE</v>
          </cell>
          <cell r="M1971">
            <v>31</v>
          </cell>
          <cell r="N1971" t="str">
            <v>RESOLUCION</v>
          </cell>
          <cell r="O1971">
            <v>1096</v>
          </cell>
          <cell r="P1971">
            <v>43144</v>
          </cell>
          <cell r="Q1971" t="str">
            <v>Asignacion del instrumento financiero a las familias ocupantes del predio que hayan superado la fase de verificacion dentro  del marco del Decreto 457 de 2017. LOCALIDAD: KENNEDY; BARRIO: VEREDITAS; ID: 2018-8-383913</v>
          </cell>
          <cell r="R1971">
            <v>54686940</v>
          </cell>
          <cell r="S1971">
            <v>0</v>
          </cell>
          <cell r="T1971">
            <v>0</v>
          </cell>
          <cell r="U1971">
            <v>54686940</v>
          </cell>
          <cell r="V1971">
            <v>54686940</v>
          </cell>
        </row>
        <row r="1972">
          <cell r="J1972">
            <v>1343</v>
          </cell>
          <cell r="K1972">
            <v>43144</v>
          </cell>
          <cell r="L1972" t="str">
            <v>LEIDY YOHANNA AGUILAR VELASQUEZ</v>
          </cell>
          <cell r="M1972">
            <v>31</v>
          </cell>
          <cell r="N1972" t="str">
            <v>RESOLUCION</v>
          </cell>
          <cell r="O1972">
            <v>1100</v>
          </cell>
          <cell r="P1972">
            <v>43144</v>
          </cell>
          <cell r="Q1972" t="str">
            <v>Asignacion del instrumento financiero a las familias ocupantes del predio que hayan superado la fase de verificacion dentro  del marco del Decreto 457 de 2017. LOCALIDAD: KENNEDY; BARRIO: VEREDITAS; ID: 2018-8-383915</v>
          </cell>
          <cell r="R1972">
            <v>54686940</v>
          </cell>
          <cell r="S1972">
            <v>0</v>
          </cell>
          <cell r="T1972">
            <v>0</v>
          </cell>
          <cell r="U1972">
            <v>54686940</v>
          </cell>
          <cell r="V1972">
            <v>54686940</v>
          </cell>
        </row>
        <row r="1973">
          <cell r="J1973">
            <v>1344</v>
          </cell>
          <cell r="K1973">
            <v>43144</v>
          </cell>
          <cell r="L1973" t="str">
            <v>LUZ ADRIANA GARCIA DIAZ</v>
          </cell>
          <cell r="M1973">
            <v>31</v>
          </cell>
          <cell r="N1973" t="str">
            <v>RESOLUCION</v>
          </cell>
          <cell r="O1973">
            <v>1095</v>
          </cell>
          <cell r="P1973">
            <v>43144</v>
          </cell>
          <cell r="Q1973" t="str">
            <v>Asignacion del instrumento financiero a las familias ocupantes del predio que hayan superado la fase de verificacion dentro  del marco del Decreto 457 de 2017. LOCALIDAD: KENNEDY; BARRIO: VEREDITAS; ID: 2018-8-383904.</v>
          </cell>
          <cell r="R1973">
            <v>54686940</v>
          </cell>
          <cell r="S1973">
            <v>0</v>
          </cell>
          <cell r="T1973">
            <v>0</v>
          </cell>
          <cell r="U1973">
            <v>54686940</v>
          </cell>
          <cell r="V1973">
            <v>54686940</v>
          </cell>
        </row>
        <row r="1974">
          <cell r="J1974">
            <v>1345</v>
          </cell>
          <cell r="K1974">
            <v>43144</v>
          </cell>
          <cell r="L1974" t="str">
            <v>DEIVY JAIR NAVARRO SARMIENTO</v>
          </cell>
          <cell r="M1974">
            <v>31</v>
          </cell>
          <cell r="N1974" t="str">
            <v>RESOLUCION</v>
          </cell>
          <cell r="O1974">
            <v>1103</v>
          </cell>
          <cell r="P1974">
            <v>43144</v>
          </cell>
          <cell r="Q1974" t="str">
            <v>Asignacion del instrumento financiero a las familias ocupantes del predio que hayan superado la fase de verificacion dentro  del marco del Decreto 457 de 2017. LOCALIDAD: KENNEDY; BARRIO: VEREDITAS; ID: 2017-8-383722.</v>
          </cell>
          <cell r="R1974">
            <v>54686940</v>
          </cell>
          <cell r="S1974">
            <v>0</v>
          </cell>
          <cell r="T1974">
            <v>0</v>
          </cell>
          <cell r="U1974">
            <v>54686940</v>
          </cell>
          <cell r="V1974">
            <v>54686940</v>
          </cell>
        </row>
        <row r="1975">
          <cell r="J1975">
            <v>1346</v>
          </cell>
          <cell r="K1975">
            <v>43145</v>
          </cell>
          <cell r="L1975" t="str">
            <v>CARMEN ROSA POVEDA VDA DE CAMACHO</v>
          </cell>
          <cell r="M1975">
            <v>31</v>
          </cell>
          <cell r="N1975" t="str">
            <v>RESOLUCION</v>
          </cell>
          <cell r="O1975">
            <v>732</v>
          </cell>
          <cell r="P1975">
            <v>43145</v>
          </cell>
          <cell r="Q1975" t="str">
            <v>AYUDA TEMPORAL A LAS FAMILIAS DE VARIAS LOCALIDADES, PARA RELOCALIZACIÓN DE HOGARES LOCALIZADOS EN ZONAS DE ALTO RIESGO NO MITIGABLE ID:2014-Q07-00795, LOCALIDAD:19 CIUDAD BOLÍVAR, UPZ:68 EL TESORO, SECTOR:QUEBRADA GALINDO</v>
          </cell>
          <cell r="R1975">
            <v>3330061</v>
          </cell>
          <cell r="S1975">
            <v>475723</v>
          </cell>
          <cell r="T1975">
            <v>0</v>
          </cell>
          <cell r="U1975">
            <v>2854338</v>
          </cell>
          <cell r="V1975">
            <v>2854338</v>
          </cell>
        </row>
        <row r="1976">
          <cell r="J1976">
            <v>1347</v>
          </cell>
          <cell r="K1976">
            <v>43145</v>
          </cell>
          <cell r="L1976" t="str">
            <v>ISABEL  GOMEZ JIMENEZ</v>
          </cell>
          <cell r="M1976">
            <v>31</v>
          </cell>
          <cell r="N1976" t="str">
            <v>RESOLUCION</v>
          </cell>
          <cell r="O1976">
            <v>1177</v>
          </cell>
          <cell r="P1976">
            <v>43145</v>
          </cell>
          <cell r="Q1976" t="str">
            <v>AYUDA TEMPORAL A LAS FAMILIAS DE VARIAS LOCALIDADES, PARA RELOCALIZACIÓN DE HOGARES LOCALIZADOS EN ZONAS DE ALTO RIESGO NO MITIGABLE ID:2012-ALES-227, LOCALIDAD:19 CIUDAD BOLÍVAR, UPZ:69 ISMAEL PERDOMO, SECTOR:ALTOS DE LA ESTANCIA</v>
          </cell>
          <cell r="R1976">
            <v>3382995</v>
          </cell>
          <cell r="S1976">
            <v>483285</v>
          </cell>
          <cell r="T1976">
            <v>0</v>
          </cell>
          <cell r="U1976">
            <v>2899710</v>
          </cell>
          <cell r="V1976">
            <v>2899710</v>
          </cell>
        </row>
        <row r="1977">
          <cell r="J1977">
            <v>1348</v>
          </cell>
          <cell r="K1977">
            <v>43145</v>
          </cell>
          <cell r="L1977" t="str">
            <v>OSCAR JAVIER VELANDIA SIERRA</v>
          </cell>
          <cell r="M1977">
            <v>31</v>
          </cell>
          <cell r="N1977" t="str">
            <v>RESOLUCION</v>
          </cell>
          <cell r="O1977">
            <v>1178</v>
          </cell>
          <cell r="P1977">
            <v>43145</v>
          </cell>
          <cell r="Q1977" t="str">
            <v>AYUDA TEMPORAL A LAS FAMILIAS DE VARIAS LOCALIDADES, PARA RELOCALIZACIÓN DE HOGARES LOCALIZADOS EN ZONAS DE ALTO RIESGO NO MITIGABLE ID:2013-Q10-00548, LOCALIDAD:04 SAN CRISTÓBAL, UPZ:51 LOS LIBERTADORES, SECTOR:QUEBRADA VEREJONES</v>
          </cell>
          <cell r="R1977">
            <v>3201695</v>
          </cell>
          <cell r="S1977">
            <v>457385</v>
          </cell>
          <cell r="T1977">
            <v>0</v>
          </cell>
          <cell r="U1977">
            <v>2744310</v>
          </cell>
          <cell r="V1977">
            <v>2744310</v>
          </cell>
        </row>
        <row r="1978">
          <cell r="J1978">
            <v>1349</v>
          </cell>
          <cell r="K1978">
            <v>43145</v>
          </cell>
          <cell r="L1978" t="str">
            <v>NELSON  GALEANO CORZO</v>
          </cell>
          <cell r="M1978">
            <v>31</v>
          </cell>
          <cell r="N1978" t="str">
            <v>RESOLUCION</v>
          </cell>
          <cell r="O1978">
            <v>1179</v>
          </cell>
          <cell r="P1978">
            <v>43145</v>
          </cell>
          <cell r="Q1978" t="str">
            <v>AYUDA TEMPORAL A LAS FAMILIAS DE VARIAS LOCALIDADES, PARA RELOCALIZACIÓN DE HOGARES LOCALIZADOS EN ZONAS DE ALTO RIESGO NO MITIGABLE ID:2013-Q05-00054, LOCALIDAD:19 CIUDAD BOLÍVAR, UPZ:68 EL TESORO, SECTOR:QUEBRADA GALINDO</v>
          </cell>
          <cell r="R1978">
            <v>2596764</v>
          </cell>
          <cell r="S1978">
            <v>649191</v>
          </cell>
          <cell r="T1978">
            <v>0</v>
          </cell>
          <cell r="U1978">
            <v>1947573</v>
          </cell>
          <cell r="V1978">
            <v>1947573</v>
          </cell>
        </row>
        <row r="1979">
          <cell r="J1979">
            <v>1350</v>
          </cell>
          <cell r="K1979">
            <v>43145</v>
          </cell>
          <cell r="L1979" t="str">
            <v>ARCESIO  CANIZALEZ SOTO</v>
          </cell>
          <cell r="M1979">
            <v>31</v>
          </cell>
          <cell r="N1979" t="str">
            <v>RESOLUCION</v>
          </cell>
          <cell r="O1979">
            <v>1183</v>
          </cell>
          <cell r="P1979">
            <v>43145</v>
          </cell>
          <cell r="Q1979" t="str">
            <v>AYUDA TEMPORAL A LAS FAMILIAS DE VARIAS LOCALIDADES, PARA RELOCALIZACIÓN DE HOGARES LOCALIZADOS EN ZONAS DE ALTO RIESGO NO MITIGABLE ID:2016-08-14914, LOCALIDAD:08 KENNEDY, UPZ:82 PATIO BONITO, SECTOR:PALMITAS</v>
          </cell>
          <cell r="R1979">
            <v>4986969</v>
          </cell>
          <cell r="S1979">
            <v>0</v>
          </cell>
          <cell r="T1979">
            <v>0</v>
          </cell>
          <cell r="U1979">
            <v>4986969</v>
          </cell>
          <cell r="V1979">
            <v>3068904</v>
          </cell>
        </row>
        <row r="1980">
          <cell r="J1980">
            <v>1351</v>
          </cell>
          <cell r="K1980">
            <v>43145</v>
          </cell>
          <cell r="L1980" t="str">
            <v>JOSE ANTONIO GRIMALDO BONILLA</v>
          </cell>
          <cell r="M1980">
            <v>31</v>
          </cell>
          <cell r="N1980" t="str">
            <v>RESOLUCION</v>
          </cell>
          <cell r="O1980">
            <v>1174</v>
          </cell>
          <cell r="P1980">
            <v>43145</v>
          </cell>
          <cell r="Q1980" t="str">
            <v>AYUDA TEMPORAL A LAS FAMILIAS DE VARIAS LOCALIDADES, PARA RELOCALIZACIÓN DE HOGARES LOCALIZADOS EN ZONAS DE ALTO RIESGO NO MITIGABLE ID:2016-08-14892, LOCALIDAD:08 KENNEDY, UPZ:82 PATIO BONITO, SECTOR:PALMITAS</v>
          </cell>
          <cell r="R1980">
            <v>6722183</v>
          </cell>
          <cell r="S1980">
            <v>0</v>
          </cell>
          <cell r="T1980">
            <v>0</v>
          </cell>
          <cell r="U1980">
            <v>6722183</v>
          </cell>
          <cell r="V1980">
            <v>4136728</v>
          </cell>
        </row>
        <row r="1981">
          <cell r="J1981">
            <v>1352</v>
          </cell>
          <cell r="K1981">
            <v>43145</v>
          </cell>
          <cell r="L1981" t="str">
            <v>JOSE MIYER CHIRIPUA GARCIA</v>
          </cell>
          <cell r="M1981">
            <v>31</v>
          </cell>
          <cell r="N1981" t="str">
            <v>RESOLUCION</v>
          </cell>
          <cell r="O1981">
            <v>1175</v>
          </cell>
          <cell r="P1981">
            <v>43145</v>
          </cell>
          <cell r="Q1981" t="str">
            <v>AYUDA TEMPORAL A LAS FAMILIAS DE VARIAS LOCALIDADES, PARA RELOCALIZACIÓN DE HOGARES LOCALIZADOS EN ZONAS DE ALTO RIESGO NO MITIGABLE ID:2014-W166-025, LOCALIDAD:19 CIUDAD BOLÍVAR, UPZ:67 LUCERO, SECTOR:WOUNAAN</v>
          </cell>
          <cell r="R1981">
            <v>4795154</v>
          </cell>
          <cell r="S1981">
            <v>0</v>
          </cell>
          <cell r="T1981">
            <v>0</v>
          </cell>
          <cell r="U1981">
            <v>4795154</v>
          </cell>
          <cell r="V1981">
            <v>2950864</v>
          </cell>
        </row>
        <row r="1982">
          <cell r="J1982">
            <v>1353</v>
          </cell>
          <cell r="K1982">
            <v>43145</v>
          </cell>
          <cell r="L1982" t="str">
            <v>ORLANDO  OCHOA MOSUCA</v>
          </cell>
          <cell r="M1982">
            <v>31</v>
          </cell>
          <cell r="N1982" t="str">
            <v>RESOLUCION</v>
          </cell>
          <cell r="O1982">
            <v>1176</v>
          </cell>
          <cell r="P1982">
            <v>43145</v>
          </cell>
          <cell r="Q1982" t="str">
            <v>AYUDA TEMPORAL A LAS FAMILIAS DE VARIAS LOCALIDADES, PARA RELOCALIZACIÓN DE HOGARES LOCALIZADOS EN ZONAS DE ALTO RIESGO NO MITIGABLE ID:2013-Q04-00517, LOCALIDAD:19 CIUDAD BOLÍVAR, UPZ:67 LUCERO, SECTOR:PEÑA COLORADA</v>
          </cell>
          <cell r="R1982">
            <v>3150049</v>
          </cell>
          <cell r="S1982">
            <v>450007</v>
          </cell>
          <cell r="T1982">
            <v>0</v>
          </cell>
          <cell r="U1982">
            <v>2700042</v>
          </cell>
          <cell r="V1982">
            <v>2700042</v>
          </cell>
        </row>
        <row r="1983">
          <cell r="J1983">
            <v>1354</v>
          </cell>
          <cell r="K1983">
            <v>43145</v>
          </cell>
          <cell r="L1983" t="str">
            <v>NELSON RODRIGUEZ MONTOYA</v>
          </cell>
          <cell r="M1983">
            <v>31</v>
          </cell>
          <cell r="N1983" t="str">
            <v>RESOLUCION</v>
          </cell>
          <cell r="O1983">
            <v>1184</v>
          </cell>
          <cell r="P1983">
            <v>43145</v>
          </cell>
          <cell r="Q1983" t="str">
            <v>AYUDA TEMPORAL A LAS FAMILIAS DE VARIAS LOCALIDADES, PARA RELOCALIZACIÓN DE HOGARES LOCALIZADOS EN ZONAS DE ALTO RIESGO NO MITIGABLE ID:2014-Q09-01189, LOCALIDAD:19 CIUDAD BOLÍVAR, UPZ:67 LUCERO, SECTOR:QUEBRADA TROMPETA</v>
          </cell>
          <cell r="R1983">
            <v>3247524</v>
          </cell>
          <cell r="S1983">
            <v>541254</v>
          </cell>
          <cell r="T1983">
            <v>0</v>
          </cell>
          <cell r="U1983">
            <v>2706270</v>
          </cell>
          <cell r="V1983">
            <v>2706270</v>
          </cell>
        </row>
        <row r="1984">
          <cell r="J1984">
            <v>1355</v>
          </cell>
          <cell r="K1984">
            <v>43145</v>
          </cell>
          <cell r="L1984" t="str">
            <v>JOSE BRANDON TELLO NARANJO</v>
          </cell>
          <cell r="M1984">
            <v>31</v>
          </cell>
          <cell r="N1984" t="str">
            <v>RESOLUCION</v>
          </cell>
          <cell r="O1984">
            <v>1094</v>
          </cell>
          <cell r="P1984">
            <v>43145</v>
          </cell>
          <cell r="Q1984" t="str">
            <v>Asignacion del instrumento financiero a las familias ocupantes del predio que hayan superado la fase de verificacion dentro  del marco del Decreto 457 de 2017. LOCALIDAD: KENNEDY; BARRIO: VEREDITAS; ID: 2017-8-383655</v>
          </cell>
          <cell r="R1984">
            <v>54686940</v>
          </cell>
          <cell r="S1984">
            <v>0</v>
          </cell>
          <cell r="T1984">
            <v>0</v>
          </cell>
          <cell r="U1984">
            <v>54686940</v>
          </cell>
          <cell r="V1984">
            <v>54686940</v>
          </cell>
        </row>
        <row r="1985">
          <cell r="J1985">
            <v>1356</v>
          </cell>
          <cell r="K1985">
            <v>43146</v>
          </cell>
          <cell r="L1985" t="str">
            <v>YEISON ALEXANDER CHAPARRO ANGULO</v>
          </cell>
          <cell r="M1985">
            <v>31</v>
          </cell>
          <cell r="N1985" t="str">
            <v>RESOLUCION</v>
          </cell>
          <cell r="O1985">
            <v>1180</v>
          </cell>
          <cell r="P1985">
            <v>43146</v>
          </cell>
          <cell r="Q1985" t="str">
            <v>AYUDA TEMPORAL A LAS FAMILIAS DE VARIAS LOCALIDADES, PARA RELOCALIZACIÓN DE HOGARES LOCALIZADOS EN ZONAS DE ALTO RIESGO NO MITIGABLE ID:2011-5-13065, LOCALIDAD:05 USME, UPZ:56 DANUBIO.</v>
          </cell>
          <cell r="R1985">
            <v>3769724</v>
          </cell>
          <cell r="S1985">
            <v>538532</v>
          </cell>
          <cell r="T1985">
            <v>0</v>
          </cell>
          <cell r="U1985">
            <v>3231192</v>
          </cell>
          <cell r="V1985">
            <v>3231192</v>
          </cell>
        </row>
        <row r="1986">
          <cell r="J1986">
            <v>1357</v>
          </cell>
          <cell r="K1986">
            <v>43146</v>
          </cell>
          <cell r="L1986" t="str">
            <v>MARTHA CECILIA DIAZ DIAZ</v>
          </cell>
          <cell r="M1986">
            <v>31</v>
          </cell>
          <cell r="N1986" t="str">
            <v>RESOLUCION</v>
          </cell>
          <cell r="O1986">
            <v>1181</v>
          </cell>
          <cell r="P1986">
            <v>43146</v>
          </cell>
          <cell r="Q1986" t="str">
            <v>AYUDA TEMPORAL A LAS FAMILIAS DE VARIAS LOCALIDADES, PARA RELOCALIZACIÓN DE HOGARES LOCALIZADOS EN ZONAS DE ALTO RIESGO NO MITIGABLE ID:2015-D227-00015, LOCALIDAD:04 SAN CRISTÓBAL, UPZ:51 LOS LIBERTADORES, SECTOR:SANTA TERESITA</v>
          </cell>
          <cell r="R1986">
            <v>3865040</v>
          </cell>
          <cell r="S1986">
            <v>0</v>
          </cell>
          <cell r="T1986">
            <v>0</v>
          </cell>
          <cell r="U1986">
            <v>3865040</v>
          </cell>
          <cell r="V1986">
            <v>3381910</v>
          </cell>
        </row>
        <row r="1987">
          <cell r="J1987">
            <v>1358</v>
          </cell>
          <cell r="K1987">
            <v>43146</v>
          </cell>
          <cell r="L1987" t="str">
            <v>JUAN FRANCISCO ORTIZ REYES</v>
          </cell>
          <cell r="M1987">
            <v>31</v>
          </cell>
          <cell r="N1987" t="str">
            <v>RESOLUCION</v>
          </cell>
          <cell r="O1987">
            <v>1182</v>
          </cell>
          <cell r="P1987">
            <v>43146</v>
          </cell>
          <cell r="Q1987" t="str">
            <v>AYUDA TEMPORAL A LAS FAMILIAS DE VARIAS LOCALIDADES, PARA RELOCALIZACIÓN DE HOGARES LOCALIZADOS EN ZONAS DE ALTO RIESGO NO MITIGABLE ID:2014-Q09-00906, LOCALIDAD:19 CIUDAD BOLÍVAR, UPZ:67 LUCERO, SECTOR:QUEBRADA TROMPETA</v>
          </cell>
          <cell r="R1987">
            <v>5276661</v>
          </cell>
          <cell r="S1987">
            <v>0</v>
          </cell>
          <cell r="T1987">
            <v>0</v>
          </cell>
          <cell r="U1987">
            <v>5276661</v>
          </cell>
          <cell r="V1987">
            <v>2435382</v>
          </cell>
        </row>
        <row r="1988">
          <cell r="J1988">
            <v>1361</v>
          </cell>
          <cell r="K1988">
            <v>43146</v>
          </cell>
          <cell r="L1988" t="str">
            <v>ROSARIO  JANSASOY AGREDA</v>
          </cell>
          <cell r="M1988">
            <v>31</v>
          </cell>
          <cell r="N1988" t="str">
            <v>RESOLUCION</v>
          </cell>
          <cell r="O1988">
            <v>1266</v>
          </cell>
          <cell r="P1988">
            <v>43146</v>
          </cell>
          <cell r="Q1988" t="str">
            <v>VUR de la actual vigencia de acuerdo con el Decreto 255 de 2013. LOCALIDAD:CIUDAD BOLIVAR; BARRIO:LA CUMBRE 8 DE DICEMBRE; ID: 2014-LC-00814.</v>
          </cell>
          <cell r="R1988">
            <v>39062100</v>
          </cell>
          <cell r="S1988">
            <v>0</v>
          </cell>
          <cell r="T1988">
            <v>0</v>
          </cell>
          <cell r="U1988">
            <v>39062100</v>
          </cell>
          <cell r="V1988">
            <v>39062100</v>
          </cell>
        </row>
        <row r="1989">
          <cell r="J1989">
            <v>1363</v>
          </cell>
          <cell r="K1989">
            <v>43147</v>
          </cell>
          <cell r="L1989" t="str">
            <v>SANDRA MILENA CASTRO MORA</v>
          </cell>
          <cell r="M1989">
            <v>31</v>
          </cell>
          <cell r="N1989" t="str">
            <v>RESOLUCION</v>
          </cell>
          <cell r="O1989">
            <v>1274</v>
          </cell>
          <cell r="P1989">
            <v>43147</v>
          </cell>
          <cell r="Q1989" t="str">
            <v>Asignacion del instrumento financiero a las familias ocupantes del predio que hayan superado la fase de verificacion dentro  del marco del Decreto 457 de 2017. LOCALIDAD: KENNEDY; BARRIO: VEREDITAS; ID: 2018-8-383902.</v>
          </cell>
          <cell r="R1989">
            <v>54686940</v>
          </cell>
          <cell r="S1989">
            <v>0</v>
          </cell>
          <cell r="T1989">
            <v>0</v>
          </cell>
          <cell r="U1989">
            <v>54686940</v>
          </cell>
          <cell r="V1989">
            <v>54686940</v>
          </cell>
        </row>
        <row r="1990">
          <cell r="J1990">
            <v>1364</v>
          </cell>
          <cell r="K1990">
            <v>43147</v>
          </cell>
          <cell r="L1990" t="str">
            <v>MARIA CLEOTILDE CARO TOVAR</v>
          </cell>
          <cell r="M1990">
            <v>31</v>
          </cell>
          <cell r="N1990" t="str">
            <v>RESOLUCION</v>
          </cell>
          <cell r="O1990">
            <v>1275</v>
          </cell>
          <cell r="P1990">
            <v>43147</v>
          </cell>
          <cell r="Q1990" t="str">
            <v>Asignacion del instrumento financiero a las familias ocupantes del predio que hayan superado la fase de verificacion dentro  del marco del Decreto 457 de 2017. LOCALIDAD: KENNEDY; BARRIO: VEREDITAS; ID: 2017-8-383704</v>
          </cell>
          <cell r="R1990">
            <v>54686940</v>
          </cell>
          <cell r="S1990">
            <v>0</v>
          </cell>
          <cell r="T1990">
            <v>0</v>
          </cell>
          <cell r="U1990">
            <v>54686940</v>
          </cell>
          <cell r="V1990">
            <v>54686940</v>
          </cell>
        </row>
        <row r="1991">
          <cell r="J1991">
            <v>1365</v>
          </cell>
          <cell r="K1991">
            <v>43147</v>
          </cell>
          <cell r="L1991" t="str">
            <v>LUIS ALBERTO CERON ESPINOSA</v>
          </cell>
          <cell r="M1991">
            <v>31</v>
          </cell>
          <cell r="N1991" t="str">
            <v>RESOLUCION</v>
          </cell>
          <cell r="O1991">
            <v>1277</v>
          </cell>
          <cell r="P1991">
            <v>43147</v>
          </cell>
          <cell r="Q1991" t="str">
            <v>Asignacion del instrumento financiero a las familias ocupantes del predio que hayan superado la fase de verificacion dentro  del marco del Decreto 457 de 2017. LOCALIDAD: KENNEDY; BARRIO: VEREDITAS; ID: 2018-8-383905</v>
          </cell>
          <cell r="R1991">
            <v>54686940</v>
          </cell>
          <cell r="S1991">
            <v>0</v>
          </cell>
          <cell r="T1991">
            <v>0</v>
          </cell>
          <cell r="U1991">
            <v>54686940</v>
          </cell>
          <cell r="V1991">
            <v>54686940</v>
          </cell>
        </row>
        <row r="1992">
          <cell r="J1992">
            <v>1366</v>
          </cell>
          <cell r="K1992">
            <v>43147</v>
          </cell>
          <cell r="L1992" t="str">
            <v>MARIA ALEJANDRA ESPINOSA PASCUAS</v>
          </cell>
          <cell r="M1992">
            <v>31</v>
          </cell>
          <cell r="N1992" t="str">
            <v>RESOLUCION</v>
          </cell>
          <cell r="O1992">
            <v>1276</v>
          </cell>
          <cell r="P1992">
            <v>43147</v>
          </cell>
          <cell r="Q1992" t="str">
            <v>Asignacion del instrumento financiero a las familias ocupantes del predio que hayan superado la fase de verificacion dentro  del marco del Decreto 457 de 2017. LOCALIDAD: KENNEDY; BARRIO: VEREDITAS; ID: 2018-8-383921.</v>
          </cell>
          <cell r="R1992">
            <v>54686940</v>
          </cell>
          <cell r="S1992">
            <v>0</v>
          </cell>
          <cell r="T1992">
            <v>0</v>
          </cell>
          <cell r="U1992">
            <v>54686940</v>
          </cell>
          <cell r="V1992">
            <v>54686940</v>
          </cell>
        </row>
        <row r="1993">
          <cell r="J1993">
            <v>1367</v>
          </cell>
          <cell r="K1993">
            <v>43147</v>
          </cell>
          <cell r="L1993" t="str">
            <v>NIDIA JOHANA JIMENEZ CASTELLANOS</v>
          </cell>
          <cell r="M1993">
            <v>31</v>
          </cell>
          <cell r="N1993" t="str">
            <v>RESOLUCION</v>
          </cell>
          <cell r="O1993">
            <v>1269</v>
          </cell>
          <cell r="P1993">
            <v>43147</v>
          </cell>
          <cell r="Q1993" t="str">
            <v>Asignacion del instrumento financiero a las familias ocupantes del predio que hayan superado la fase de verificacion dentro  del marco del Decreto 457 de 2017. LOCALIDAD: KENNEDY; BARRIO: VEREDITAS; ID: 2017-8-383736</v>
          </cell>
          <cell r="R1993">
            <v>54686940</v>
          </cell>
          <cell r="S1993">
            <v>0</v>
          </cell>
          <cell r="T1993">
            <v>0</v>
          </cell>
          <cell r="U1993">
            <v>54686940</v>
          </cell>
          <cell r="V1993">
            <v>54686940</v>
          </cell>
        </row>
        <row r="1994">
          <cell r="J1994">
            <v>1368</v>
          </cell>
          <cell r="K1994">
            <v>43147</v>
          </cell>
          <cell r="L1994" t="str">
            <v>LEYDI CAROLINA ARIZA CAMACHO</v>
          </cell>
          <cell r="M1994">
            <v>31</v>
          </cell>
          <cell r="N1994" t="str">
            <v>RESOLUCION</v>
          </cell>
          <cell r="O1994">
            <v>1272</v>
          </cell>
          <cell r="P1994">
            <v>43147</v>
          </cell>
          <cell r="Q1994" t="str">
            <v>Asignacion del instrumento financiero a las familias ocupantes del predio que hayan superado la fase de verificacion dentro  del marco del Decreto 457 de 2017. LOCALIDAD: KENNEDY; BARRIO: VEREDITAS; ID: 2018-8-383916.</v>
          </cell>
          <cell r="R1994">
            <v>54686940</v>
          </cell>
          <cell r="S1994">
            <v>0</v>
          </cell>
          <cell r="T1994">
            <v>0</v>
          </cell>
          <cell r="U1994">
            <v>54686940</v>
          </cell>
          <cell r="V1994">
            <v>54686940</v>
          </cell>
        </row>
        <row r="1995">
          <cell r="J1995">
            <v>1369</v>
          </cell>
          <cell r="K1995">
            <v>43147</v>
          </cell>
          <cell r="L1995" t="str">
            <v>JHON ALEXANDER OROZCO CHITIVA</v>
          </cell>
          <cell r="M1995">
            <v>31</v>
          </cell>
          <cell r="N1995" t="str">
            <v>RESOLUCION</v>
          </cell>
          <cell r="O1995">
            <v>1268</v>
          </cell>
          <cell r="P1995">
            <v>43147</v>
          </cell>
          <cell r="Q1995" t="str">
            <v>Asignacion del instrumento financiero a las familias ocupantes del predio que hayan superado la fase de verificacion dentro  del marco del Decreto 457 de 2017. LOCALIDAD: KENNEDY; BARRIO: VEREDITAS; ID: 2018-8-383901</v>
          </cell>
          <cell r="R1995">
            <v>54686940</v>
          </cell>
          <cell r="S1995">
            <v>0</v>
          </cell>
          <cell r="T1995">
            <v>0</v>
          </cell>
          <cell r="U1995">
            <v>54686940</v>
          </cell>
          <cell r="V1995">
            <v>54686940</v>
          </cell>
        </row>
        <row r="1996">
          <cell r="J1996">
            <v>1370</v>
          </cell>
          <cell r="K1996">
            <v>43147</v>
          </cell>
          <cell r="L1996" t="str">
            <v>DANIEL  BARRERA MORENO</v>
          </cell>
          <cell r="M1996">
            <v>31</v>
          </cell>
          <cell r="N1996" t="str">
            <v>RESOLUCION</v>
          </cell>
          <cell r="O1996">
            <v>1270</v>
          </cell>
          <cell r="P1996">
            <v>43147</v>
          </cell>
          <cell r="Q1996" t="str">
            <v>Asignacion del instrumento financiero a las familias ocupantes del predio que hayan superado la fase de verificacion dentro  del marco del Decreto 457 de 2017. LOCALIDAD: KENNEDY; BARRIO: VEREDITAS; ID: 2018-8-383911</v>
          </cell>
          <cell r="R1996">
            <v>54686940</v>
          </cell>
          <cell r="S1996">
            <v>0</v>
          </cell>
          <cell r="T1996">
            <v>0</v>
          </cell>
          <cell r="U1996">
            <v>54686940</v>
          </cell>
          <cell r="V1996">
            <v>54686940</v>
          </cell>
        </row>
        <row r="1997">
          <cell r="J1997">
            <v>1371</v>
          </cell>
          <cell r="K1997">
            <v>43147</v>
          </cell>
          <cell r="L1997" t="str">
            <v>ROSA JULIA CHITIVA PABON</v>
          </cell>
          <cell r="M1997">
            <v>31</v>
          </cell>
          <cell r="N1997" t="str">
            <v>RESOLUCION</v>
          </cell>
          <cell r="O1997">
            <v>1273</v>
          </cell>
          <cell r="P1997">
            <v>43147</v>
          </cell>
          <cell r="Q1997" t="str">
            <v>Asignacion del instrumento financiero a las familias ocupantes del predio que hayan superado la fase de verificacion dentro  del marco del Decreto 457 de 2017. LOCALIDAD: KENNEDY; BARRIO: VEREDITAS; ID: 2017-8-383691</v>
          </cell>
          <cell r="R1997">
            <v>54686940</v>
          </cell>
          <cell r="S1997">
            <v>0</v>
          </cell>
          <cell r="T1997">
            <v>0</v>
          </cell>
          <cell r="U1997">
            <v>54686940</v>
          </cell>
          <cell r="V1997">
            <v>54686940</v>
          </cell>
        </row>
        <row r="1998">
          <cell r="J1998">
            <v>1372</v>
          </cell>
          <cell r="K1998">
            <v>43147</v>
          </cell>
          <cell r="L1998" t="str">
            <v>MANUEL FERNANDO GAMBA MARTINEZ</v>
          </cell>
          <cell r="M1998">
            <v>31</v>
          </cell>
          <cell r="N1998" t="str">
            <v>RESOLUCION</v>
          </cell>
          <cell r="O1998">
            <v>1271</v>
          </cell>
          <cell r="P1998">
            <v>43147</v>
          </cell>
          <cell r="Q1998" t="str">
            <v>Asignacion del instrumento financiero a las familias ocupantes del predio que hayan superado la fase de verificacion dentro  del marco del Decreto 457 de 2017. LOCALIDAD: KENNEDY; BARRIO: VEREDITAS; ID: 2018-8-383914</v>
          </cell>
          <cell r="R1998">
            <v>54686940</v>
          </cell>
          <cell r="S1998">
            <v>0</v>
          </cell>
          <cell r="T1998">
            <v>0</v>
          </cell>
          <cell r="U1998">
            <v>54686940</v>
          </cell>
          <cell r="V1998">
            <v>54686940</v>
          </cell>
        </row>
        <row r="1999">
          <cell r="J1999">
            <v>1373</v>
          </cell>
          <cell r="K1999">
            <v>43147</v>
          </cell>
          <cell r="L1999" t="str">
            <v>MARTHA EDITH VALDEZ CORTES</v>
          </cell>
          <cell r="M1999">
            <v>31</v>
          </cell>
          <cell r="N1999" t="str">
            <v>RESOLUCION</v>
          </cell>
          <cell r="O1999">
            <v>1279</v>
          </cell>
          <cell r="P1999">
            <v>43147</v>
          </cell>
          <cell r="Q1999" t="str">
            <v>Asignacion del instrumento financiero a las familias ocupantes del predio que hayan superado la fase de verificacion dentro  del marco del Decreto 457 de 2017. LOCALIDAD: KENNEDY; BARRIO: VEREDITAS; ID: 2017-8-383752</v>
          </cell>
          <cell r="R1999">
            <v>54686940</v>
          </cell>
          <cell r="S1999">
            <v>0</v>
          </cell>
          <cell r="T1999">
            <v>0</v>
          </cell>
          <cell r="U1999">
            <v>54686940</v>
          </cell>
          <cell r="V1999">
            <v>54686940</v>
          </cell>
        </row>
        <row r="2000">
          <cell r="J2000">
            <v>1374</v>
          </cell>
          <cell r="K2000">
            <v>43147</v>
          </cell>
          <cell r="L2000" t="str">
            <v>JAIRO  CASTRO MORA</v>
          </cell>
          <cell r="M2000">
            <v>31</v>
          </cell>
          <cell r="N2000" t="str">
            <v>RESOLUCION</v>
          </cell>
          <cell r="O2000">
            <v>1278</v>
          </cell>
          <cell r="P2000">
            <v>43147</v>
          </cell>
          <cell r="Q2000" t="str">
            <v>Asignacion del instrumento financiero a las familias ocupantes del predio que hayan superado la fase de verificacion dentro  del marco del Decreto 457 de 2017. LOCALIDAD: KENNEDY; BARRIO: VEREDITAS; ID: 2018-8-383903</v>
          </cell>
          <cell r="R2000">
            <v>54686940</v>
          </cell>
          <cell r="S2000">
            <v>0</v>
          </cell>
          <cell r="T2000">
            <v>0</v>
          </cell>
          <cell r="U2000">
            <v>54686940</v>
          </cell>
          <cell r="V2000">
            <v>54686940</v>
          </cell>
        </row>
        <row r="2001">
          <cell r="J2001">
            <v>1375</v>
          </cell>
          <cell r="K2001">
            <v>43147</v>
          </cell>
          <cell r="L2001" t="str">
            <v>LUISA FERNANDA MAHECHA MORENO</v>
          </cell>
          <cell r="M2001">
            <v>31</v>
          </cell>
          <cell r="N2001" t="str">
            <v>RESOLUCION</v>
          </cell>
          <cell r="O2001">
            <v>1283</v>
          </cell>
          <cell r="P2001">
            <v>43147</v>
          </cell>
          <cell r="Q2001" t="str">
            <v>Asignacion del instrumento financiero a las familias ocupantes del predio que hayan superado la fase de verificacion dentro  del marco del Decreto 457 de 2017. LOCALIDAD: KENNEDY; BARRIO: VEREDITAS; ID: 2018-8-383930</v>
          </cell>
          <cell r="R2001">
            <v>54686940</v>
          </cell>
          <cell r="S2001">
            <v>0</v>
          </cell>
          <cell r="T2001">
            <v>0</v>
          </cell>
          <cell r="U2001">
            <v>54686940</v>
          </cell>
          <cell r="V2001">
            <v>54686940</v>
          </cell>
        </row>
        <row r="2002">
          <cell r="J2002">
            <v>1376</v>
          </cell>
          <cell r="K2002">
            <v>43147</v>
          </cell>
          <cell r="L2002" t="str">
            <v>VICTOR LEONARDO CERON ESPINOSA</v>
          </cell>
          <cell r="M2002">
            <v>31</v>
          </cell>
          <cell r="N2002" t="str">
            <v>RESOLUCION</v>
          </cell>
          <cell r="O2002">
            <v>1282</v>
          </cell>
          <cell r="P2002">
            <v>43147</v>
          </cell>
          <cell r="Q2002" t="str">
            <v>Asignacion del instrumento financiero a las familias ocupantes del predio que hayan superado la fase de verificacion dentro  del marco del Decreto 457 de 2017. LOCALIDAD: KENNEDY; BARRIO: VEREDITAS; ID: 2018-8-383920</v>
          </cell>
          <cell r="R2002">
            <v>54686940</v>
          </cell>
          <cell r="S2002">
            <v>0</v>
          </cell>
          <cell r="T2002">
            <v>0</v>
          </cell>
          <cell r="U2002">
            <v>54686940</v>
          </cell>
          <cell r="V2002">
            <v>54686940</v>
          </cell>
        </row>
        <row r="2003">
          <cell r="J2003">
            <v>1377</v>
          </cell>
          <cell r="K2003">
            <v>43147</v>
          </cell>
          <cell r="L2003" t="str">
            <v>JOSE DAVID RODRIGUEZ VALDES</v>
          </cell>
          <cell r="M2003">
            <v>31</v>
          </cell>
          <cell r="N2003" t="str">
            <v>RESOLUCION</v>
          </cell>
          <cell r="O2003">
            <v>1281</v>
          </cell>
          <cell r="P2003">
            <v>43147</v>
          </cell>
          <cell r="Q2003" t="str">
            <v>Asignacion del instrumento financiero a las familias ocupantes del predio que hayan superado la fase de verificacion dentro  del marco del Decreto 457 de 2017. LOCALIDAD: KENNEDY; BARRIO: VEREDITAS; ID: 2018-8-383912.</v>
          </cell>
          <cell r="R2003">
            <v>54686940</v>
          </cell>
          <cell r="S2003">
            <v>0</v>
          </cell>
          <cell r="T2003">
            <v>0</v>
          </cell>
          <cell r="U2003">
            <v>54686940</v>
          </cell>
          <cell r="V2003">
            <v>54686940</v>
          </cell>
        </row>
        <row r="2004">
          <cell r="J2004">
            <v>1381</v>
          </cell>
          <cell r="K2004">
            <v>43150</v>
          </cell>
          <cell r="L2004" t="str">
            <v>RUBIELA  LEON OBANDO</v>
          </cell>
          <cell r="M2004">
            <v>31</v>
          </cell>
          <cell r="N2004" t="str">
            <v>RESOLUCION</v>
          </cell>
          <cell r="O2004">
            <v>1284</v>
          </cell>
          <cell r="P2004">
            <v>43150</v>
          </cell>
          <cell r="Q2004" t="str">
            <v>Asignacion del instrumento financiero a las familias ocupantes del predio que hayan superado la fase de verificacion dentro  del marco del Decreto 457 de 2017. LOCALIDAD: KENNEDY; BARRIO: VEREDITAS; ID: 2017-8-383607</v>
          </cell>
          <cell r="R2004">
            <v>54686940</v>
          </cell>
          <cell r="S2004">
            <v>0</v>
          </cell>
          <cell r="T2004">
            <v>0</v>
          </cell>
          <cell r="U2004">
            <v>54686940</v>
          </cell>
          <cell r="V2004">
            <v>54686940</v>
          </cell>
        </row>
        <row r="2005">
          <cell r="J2005">
            <v>1382</v>
          </cell>
          <cell r="K2005">
            <v>43150</v>
          </cell>
          <cell r="L2005" t="str">
            <v>EDWIN  PATIÑO LEON</v>
          </cell>
          <cell r="M2005">
            <v>31</v>
          </cell>
          <cell r="N2005" t="str">
            <v>RESOLUCION</v>
          </cell>
          <cell r="O2005">
            <v>1285</v>
          </cell>
          <cell r="P2005">
            <v>43150</v>
          </cell>
          <cell r="Q2005" t="str">
            <v>Asignacion del instrumento financiero a las familias ocupantes del predio que hayan superado la fase de verificacion dentro  del marco del Decreto 457 de 2017. LOCALIDAD: KENNEDY; BARRIO: VEREDITAS; ID: 2017-8-383615</v>
          </cell>
          <cell r="R2005">
            <v>54686940</v>
          </cell>
          <cell r="S2005">
            <v>0</v>
          </cell>
          <cell r="T2005">
            <v>0</v>
          </cell>
          <cell r="U2005">
            <v>54686940</v>
          </cell>
          <cell r="V2005">
            <v>54686940</v>
          </cell>
        </row>
        <row r="2006">
          <cell r="J2006">
            <v>1383</v>
          </cell>
          <cell r="K2006">
            <v>43150</v>
          </cell>
          <cell r="L2006" t="str">
            <v>CAROLINA  NOPE ARIAS</v>
          </cell>
          <cell r="M2006">
            <v>31</v>
          </cell>
          <cell r="N2006" t="str">
            <v>RESOLUCION</v>
          </cell>
          <cell r="O2006">
            <v>1280</v>
          </cell>
          <cell r="P2006">
            <v>43150</v>
          </cell>
          <cell r="Q2006" t="str">
            <v>ASIGNACION DEL INSTRUMENTO FINANCIERO A LAS FAMILIAS OCUPANTES DEL PREDIO QUE HAYAN SUPERADO LA FASE DE VERIFICACION; DENTRO DEL MARCO DELDECRETO 457 DE 2017. LOCALIDAD: KENNEDY; BARRIO: VEREDITAS; ID: 2018-8-15013 - CAROLINA NOPE ARIAS, REPRESENTANTE LEGAL DEL BENEFICIARIO ROBERT STEVEN RUSINQUE NOPE CON T.I.  1,001,052,651</v>
          </cell>
          <cell r="R2006">
            <v>54686940</v>
          </cell>
          <cell r="S2006">
            <v>0</v>
          </cell>
          <cell r="T2006">
            <v>0</v>
          </cell>
          <cell r="U2006">
            <v>54686940</v>
          </cell>
          <cell r="V2006">
            <v>54686940</v>
          </cell>
        </row>
        <row r="2007">
          <cell r="J2007">
            <v>1392</v>
          </cell>
          <cell r="K2007">
            <v>43151</v>
          </cell>
          <cell r="L2007" t="str">
            <v>FABIO IVAN ESPITIA GONZALEZ</v>
          </cell>
          <cell r="M2007">
            <v>31</v>
          </cell>
          <cell r="N2007" t="str">
            <v>RESOLUCION</v>
          </cell>
          <cell r="O2007">
            <v>1347</v>
          </cell>
          <cell r="P2007">
            <v>43151</v>
          </cell>
          <cell r="Q2007" t="str">
            <v>AYUDA TEMPORAL A LAS FAMILIAS DE VARIAS LOCALIDADES, PARA RELOCALIZACIÓN DE HOGARES LOCALIZADOS EN ZONAS DE ALTO RIESGO NO MITIGABLE ID:2014-OTR-01128, LOCALIDAD:11 SUBA, UPZ:71 TIBABUYES, SECTOR:GAVILANES</v>
          </cell>
          <cell r="R2007">
            <v>2550450</v>
          </cell>
          <cell r="S2007">
            <v>425075</v>
          </cell>
          <cell r="T2007">
            <v>0</v>
          </cell>
          <cell r="U2007">
            <v>2125375</v>
          </cell>
          <cell r="V2007">
            <v>2125375</v>
          </cell>
        </row>
        <row r="2008">
          <cell r="J2008">
            <v>1393</v>
          </cell>
          <cell r="K2008">
            <v>43151</v>
          </cell>
          <cell r="L2008" t="str">
            <v>CONSUELO DEL CARMEN HERNANDEZ ARCIA</v>
          </cell>
          <cell r="M2008">
            <v>31</v>
          </cell>
          <cell r="N2008" t="str">
            <v>RESOLUCION</v>
          </cell>
          <cell r="O2008">
            <v>1333</v>
          </cell>
          <cell r="P2008">
            <v>43151</v>
          </cell>
          <cell r="Q2008" t="str">
            <v>AYUDA TEMPORAL A LAS FAMILIAS DE VARIAS LOCALIDADES, PARA RELOCALIZACIÓN DE HOGARES LOCALIZADOS EN ZONAS DE ALTO RIESGO NO MITIGABLE ID:2015-Q04-01434, LOCALIDAD:19 CIUDAD BOLÍVAR, UPZ:67 LUCERO, SECTOR:PEÑA COLORADA</v>
          </cell>
          <cell r="R2008">
            <v>2706270</v>
          </cell>
          <cell r="S2008">
            <v>451045</v>
          </cell>
          <cell r="T2008">
            <v>0</v>
          </cell>
          <cell r="U2008">
            <v>2255225</v>
          </cell>
          <cell r="V2008">
            <v>2255225</v>
          </cell>
        </row>
        <row r="2009">
          <cell r="J2009">
            <v>1394</v>
          </cell>
          <cell r="K2009">
            <v>43151</v>
          </cell>
          <cell r="L2009" t="str">
            <v>JOSE ORLANDO GANZO MORALES</v>
          </cell>
          <cell r="M2009">
            <v>31</v>
          </cell>
          <cell r="N2009" t="str">
            <v>RESOLUCION</v>
          </cell>
          <cell r="O2009">
            <v>1334</v>
          </cell>
          <cell r="P2009">
            <v>43151</v>
          </cell>
          <cell r="Q2009" t="str">
            <v>AYUDA TEMPORAL A LAS FAMILIAS DE VARIAS LOCALIDADES, PARA RELOCALIZACIÓN DE HOGARES LOCALIZADOS EN ZONAS DE ALTO RIESGO NO MITIGABLE ID:2011-4-12724, LOCALIDAD:04 SAN CRISTÓBAL, UPZ:32 SAN BLAS</v>
          </cell>
          <cell r="R2009">
            <v>2213148</v>
          </cell>
          <cell r="S2009">
            <v>368858</v>
          </cell>
          <cell r="T2009">
            <v>0</v>
          </cell>
          <cell r="U2009">
            <v>1844290</v>
          </cell>
          <cell r="V2009">
            <v>1844290</v>
          </cell>
        </row>
        <row r="2010">
          <cell r="J2010">
            <v>1395</v>
          </cell>
          <cell r="K2010">
            <v>43151</v>
          </cell>
          <cell r="L2010" t="str">
            <v>ALBA LUCIA PEÑA LINARES</v>
          </cell>
          <cell r="M2010">
            <v>31</v>
          </cell>
          <cell r="N2010" t="str">
            <v>RESOLUCION</v>
          </cell>
          <cell r="O2010">
            <v>1335</v>
          </cell>
          <cell r="P2010">
            <v>43151</v>
          </cell>
          <cell r="Q2010" t="str">
            <v>AYUDA TEMPORAL A LAS FAMILIAS DE VARIAS LOCALIDADES, PARA RELOCALIZACIÓN DE HOGARES LOCALIZADOS EN ZONAS DE ALTO RIESGO NO MITIGABLE ID:2012-T314-09, LOCALIDAD:04 SAN CRISTÓBAL, UPZ:50 LA GLORIA</v>
          </cell>
          <cell r="R2010">
            <v>3054150</v>
          </cell>
          <cell r="S2010">
            <v>509025</v>
          </cell>
          <cell r="T2010">
            <v>0</v>
          </cell>
          <cell r="U2010">
            <v>2545125</v>
          </cell>
          <cell r="V2010">
            <v>2545125</v>
          </cell>
        </row>
        <row r="2011">
          <cell r="J2011">
            <v>1396</v>
          </cell>
          <cell r="K2011">
            <v>43151</v>
          </cell>
          <cell r="L2011" t="str">
            <v>ANA ISABEL FORERO SOTO</v>
          </cell>
          <cell r="M2011">
            <v>31</v>
          </cell>
          <cell r="N2011" t="str">
            <v>RESOLUCION</v>
          </cell>
          <cell r="O2011">
            <v>1336</v>
          </cell>
          <cell r="P2011">
            <v>43151</v>
          </cell>
          <cell r="Q2011" t="str">
            <v>AYUDA TEMPORAL A LAS FAMILIAS DE VARIAS LOCALIDADES, PARA RELOCALIZACIÓN DE HOGARES LOCALIZADOS EN ZONAS DE ALTO RIESGO NO MITIGABLE ID:2014-OTR-00879, LOCALIDAD:03 SANTA FE, UPZ:96 LOURDES, SECTOR:CASA 2</v>
          </cell>
          <cell r="R2011">
            <v>3014166</v>
          </cell>
          <cell r="S2011">
            <v>502361</v>
          </cell>
          <cell r="T2011">
            <v>0</v>
          </cell>
          <cell r="U2011">
            <v>2511805</v>
          </cell>
          <cell r="V2011">
            <v>2511805</v>
          </cell>
        </row>
        <row r="2012">
          <cell r="J2012">
            <v>1397</v>
          </cell>
          <cell r="K2012">
            <v>43151</v>
          </cell>
          <cell r="L2012" t="str">
            <v>MARLENY  MARTINEZ MARTINEZ</v>
          </cell>
          <cell r="M2012">
            <v>31</v>
          </cell>
          <cell r="N2012" t="str">
            <v>RESOLUCION</v>
          </cell>
          <cell r="O2012">
            <v>1337</v>
          </cell>
          <cell r="P2012">
            <v>43151</v>
          </cell>
          <cell r="Q2012" t="str">
            <v>AYUDA TEMPORAL A LAS FAMILIAS DE VARIAS LOCALIDADES, PARA RELOCALIZACIÓN DE HOGARES LOCALIZADOS EN ZONAS DE ALTO RIESGO NO MITIGABLE ID:2011-19-12731, LOCALIDAD:19 CIUDAD BOLÍVAR, UPZ:67 LUCERO, SECTOR:OLA INVERNAL 2010 FOPAE</v>
          </cell>
          <cell r="R2012">
            <v>2301678</v>
          </cell>
          <cell r="S2012">
            <v>383613</v>
          </cell>
          <cell r="T2012">
            <v>0</v>
          </cell>
          <cell r="U2012">
            <v>1918065</v>
          </cell>
          <cell r="V2012">
            <v>1918065</v>
          </cell>
        </row>
        <row r="2013">
          <cell r="J2013">
            <v>1398</v>
          </cell>
          <cell r="K2013">
            <v>43151</v>
          </cell>
          <cell r="L2013" t="str">
            <v>JOSE GUILLERMO ARIZA</v>
          </cell>
          <cell r="M2013">
            <v>31</v>
          </cell>
          <cell r="N2013" t="str">
            <v>RESOLUCION</v>
          </cell>
          <cell r="O2013">
            <v>1338</v>
          </cell>
          <cell r="P2013">
            <v>43151</v>
          </cell>
          <cell r="Q2013" t="str">
            <v>AYUDA TEMPORAL A LAS FAMILIAS DE VARIAS LOCALIDADES, PARA RELOCALIZACIÓN DE HOGARES LOCALIZADOS EN ZONAS DE ALTO RIESGO NO MITIGABLE ID:2011-4-12643, LOCALIDAD:04 SAN CRISTÓBAL, UPZ:32 SAN BLAS</v>
          </cell>
          <cell r="R2013">
            <v>2854338</v>
          </cell>
          <cell r="S2013">
            <v>475723</v>
          </cell>
          <cell r="T2013">
            <v>0</v>
          </cell>
          <cell r="U2013">
            <v>2378615</v>
          </cell>
          <cell r="V2013">
            <v>2378615</v>
          </cell>
        </row>
        <row r="2014">
          <cell r="J2014">
            <v>1399</v>
          </cell>
          <cell r="K2014">
            <v>43151</v>
          </cell>
          <cell r="L2014" t="str">
            <v>VICTOR MANUEL FIGUEROA RAMOS</v>
          </cell>
          <cell r="M2014">
            <v>31</v>
          </cell>
          <cell r="N2014" t="str">
            <v>RESOLUCION</v>
          </cell>
          <cell r="O2014">
            <v>1339</v>
          </cell>
          <cell r="P2014">
            <v>43151</v>
          </cell>
          <cell r="Q2014" t="str">
            <v>AYUDA TEMPORAL A LAS FAMILIAS DE VARIAS LOCALIDADES, PARA RELOCALIZACIÓN DE HOGARES LOCALIZADOS EN ZONAS DE ALTO RIESGO NO MITIGABLE ID:2014-Q03-01043, LOCALIDAD:19 CIUDAD BOLÍVAR, UPZ:66 SAN FRANCISCO, SECTOR:LIMAS</v>
          </cell>
          <cell r="R2014">
            <v>2987262</v>
          </cell>
          <cell r="S2014">
            <v>497877</v>
          </cell>
          <cell r="T2014">
            <v>0</v>
          </cell>
          <cell r="U2014">
            <v>2489385</v>
          </cell>
          <cell r="V2014">
            <v>2489385</v>
          </cell>
        </row>
        <row r="2015">
          <cell r="J2015">
            <v>1400</v>
          </cell>
          <cell r="K2015">
            <v>43151</v>
          </cell>
          <cell r="L2015" t="str">
            <v>JENNY PAOLA CABALLERO TORRES</v>
          </cell>
          <cell r="M2015">
            <v>31</v>
          </cell>
          <cell r="N2015" t="str">
            <v>RESOLUCION</v>
          </cell>
          <cell r="O2015">
            <v>1340</v>
          </cell>
          <cell r="P2015">
            <v>43151</v>
          </cell>
          <cell r="Q2015" t="str">
            <v>AYUDA TEMPORAL A LAS FAMILIAS DE VARIAS LOCALIDADES, PARA RELOCALIZACIÓN DE HOGARES LOCALIZADOS EN ZONAS DE ALTO RIESGO NO MITIGABLE ID:2015-Q03-01432, LOCALIDAD:19 CIUDAD BOLÍVAR, UPZ:66 SAN FRANCISCO, SECTOR:LIMAS</v>
          </cell>
          <cell r="R2015">
            <v>2706270</v>
          </cell>
          <cell r="S2015">
            <v>451045</v>
          </cell>
          <cell r="T2015">
            <v>0</v>
          </cell>
          <cell r="U2015">
            <v>2255225</v>
          </cell>
          <cell r="V2015">
            <v>2255225</v>
          </cell>
        </row>
        <row r="2016">
          <cell r="J2016">
            <v>1401</v>
          </cell>
          <cell r="K2016">
            <v>43151</v>
          </cell>
          <cell r="L2016" t="str">
            <v>MARIA GILMA RAMOS ROLDAN</v>
          </cell>
          <cell r="M2016">
            <v>31</v>
          </cell>
          <cell r="N2016" t="str">
            <v>RESOLUCION</v>
          </cell>
          <cell r="O2016">
            <v>1341</v>
          </cell>
          <cell r="P2016">
            <v>43151</v>
          </cell>
          <cell r="Q2016" t="str">
            <v>AYUDA TEMPORAL A LAS FAMILIAS DE VARIAS LOCALIDADES, PARA RELOCALIZACIÓN DE HOGARES LOCALIZADOS EN ZONAS DE ALTO RIESGO NO MITIGABLE ID:2014-OTR-00900, LOCALIDAD:03 SANTA FE, UPZ:96 LOURDES, SECTOR:CASA 3</v>
          </cell>
          <cell r="R2016">
            <v>2213148</v>
          </cell>
          <cell r="S2016">
            <v>368858</v>
          </cell>
          <cell r="T2016">
            <v>0</v>
          </cell>
          <cell r="U2016">
            <v>1844290</v>
          </cell>
          <cell r="V2016">
            <v>1844290</v>
          </cell>
        </row>
        <row r="2017">
          <cell r="J2017">
            <v>1402</v>
          </cell>
          <cell r="K2017">
            <v>43151</v>
          </cell>
          <cell r="L2017" t="str">
            <v>MARCELINA  VARGAS GONZALEZ</v>
          </cell>
          <cell r="M2017">
            <v>31</v>
          </cell>
          <cell r="N2017" t="str">
            <v>RESOLUCION</v>
          </cell>
          <cell r="O2017">
            <v>1302</v>
          </cell>
          <cell r="P2017">
            <v>43151</v>
          </cell>
          <cell r="Q2017" t="str">
            <v>AYUDA TEMPORAL A LAS FAMILIAS DE VARIAS LOCALIDADES, PARA RELOCALIZACIÓN DE HOGARES LOCALIZADOS EN ZONAS DE ALTO RIESGO NO MITIGABLE ID:2005-19-5791, LOCALIDAD:19 CIUDAD BOLÍVAR, UPZ:67 LUCERO, SECTOR:LIMAS</v>
          </cell>
          <cell r="R2017">
            <v>3054150</v>
          </cell>
          <cell r="S2017">
            <v>3054150</v>
          </cell>
          <cell r="T2017">
            <v>0</v>
          </cell>
          <cell r="U2017">
            <v>0</v>
          </cell>
          <cell r="V2017">
            <v>0</v>
          </cell>
        </row>
        <row r="2018">
          <cell r="J2018">
            <v>1403</v>
          </cell>
          <cell r="K2018">
            <v>43151</v>
          </cell>
          <cell r="L2018" t="str">
            <v>OFELIA  MARTINEZ DE GUTIERREZ</v>
          </cell>
          <cell r="M2018">
            <v>31</v>
          </cell>
          <cell r="N2018" t="str">
            <v>RESOLUCION</v>
          </cell>
          <cell r="O2018">
            <v>1342</v>
          </cell>
          <cell r="P2018">
            <v>43151</v>
          </cell>
          <cell r="Q2018" t="str">
            <v>AYUDA TEMPORAL A LAS FAMILIAS DE VARIAS LOCALIDADES, PARA RELOCALIZACIÓN DE HOGARES LOCALIZADOS EN ZONAS DE ALTO RIESGO NO MITIGABLE ID:2014-LC-00810, LOCALIDAD:19 CIUDAD BOLÍVAR, UPZ:69 ISMAEL PERDOMO</v>
          </cell>
          <cell r="R2018">
            <v>2439360</v>
          </cell>
          <cell r="S2018">
            <v>406560</v>
          </cell>
          <cell r="T2018">
            <v>0</v>
          </cell>
          <cell r="U2018">
            <v>2032800</v>
          </cell>
          <cell r="V2018">
            <v>2032800</v>
          </cell>
        </row>
        <row r="2019">
          <cell r="J2019">
            <v>1404</v>
          </cell>
          <cell r="K2019">
            <v>43151</v>
          </cell>
          <cell r="L2019" t="str">
            <v>ORLANDO  RODRIGUEZ ANZOLA</v>
          </cell>
          <cell r="M2019">
            <v>31</v>
          </cell>
          <cell r="N2019" t="str">
            <v>RESOLUCION</v>
          </cell>
          <cell r="O2019">
            <v>1306</v>
          </cell>
          <cell r="P2019">
            <v>43151</v>
          </cell>
          <cell r="Q2019" t="str">
            <v>AYUDA TEMPORAL A LAS FAMILIAS DE VARIAS LOCALIDADES, PARA RELOCALIZACIÓN DE HOGARES LOCALIZADOS EN ZONAS DE ALTO RIESGO NO MITIGABLE ID:2015-Q03-03362, LOCALIDAD:19 CIUDAD BOLÍVAR, UPZ:67 LUCERO, SECTOR:LIMAS</v>
          </cell>
          <cell r="R2019">
            <v>2655780</v>
          </cell>
          <cell r="S2019">
            <v>442630</v>
          </cell>
          <cell r="T2019">
            <v>0</v>
          </cell>
          <cell r="U2019">
            <v>2213150</v>
          </cell>
          <cell r="V2019">
            <v>2213150</v>
          </cell>
        </row>
        <row r="2020">
          <cell r="J2020">
            <v>1405</v>
          </cell>
          <cell r="K2020">
            <v>43151</v>
          </cell>
          <cell r="L2020" t="str">
            <v>FABIO NELSON BARRAGAN PERILLA</v>
          </cell>
          <cell r="M2020">
            <v>31</v>
          </cell>
          <cell r="N2020" t="str">
            <v>RESOLUCION</v>
          </cell>
          <cell r="O2020">
            <v>1343</v>
          </cell>
          <cell r="P2020">
            <v>43151</v>
          </cell>
          <cell r="Q2020" t="str">
            <v>AYUDA TEMPORAL A LAS FAMILIAS DE VARIAS LOCALIDADES, PARA RELOCALIZACIÓN DE HOGARES LOCALIZADOS EN ZONAS DE ALTO RIESGO NO MITIGABLE ID:2011-4-12644, LOCALIDAD:04 SAN CRISTÓBAL, UPZ:32 SAN BLAS</v>
          </cell>
          <cell r="R2020">
            <v>2899932</v>
          </cell>
          <cell r="S2020">
            <v>483322</v>
          </cell>
          <cell r="T2020">
            <v>0</v>
          </cell>
          <cell r="U2020">
            <v>2416610</v>
          </cell>
          <cell r="V2020">
            <v>2416610</v>
          </cell>
        </row>
        <row r="2021">
          <cell r="J2021">
            <v>1406</v>
          </cell>
          <cell r="K2021">
            <v>43151</v>
          </cell>
          <cell r="L2021" t="str">
            <v>MARYLIN  REALPE CAMACHO</v>
          </cell>
          <cell r="M2021">
            <v>31</v>
          </cell>
          <cell r="N2021" t="str">
            <v>RESOLUCION</v>
          </cell>
          <cell r="O2021">
            <v>1344</v>
          </cell>
          <cell r="P2021">
            <v>43151</v>
          </cell>
          <cell r="Q2021" t="str">
            <v>AYUDA TEMPORAL A LAS FAMILIAS DE VARIAS LOCALIDADES, PARA RELOCALIZACIÓN DE HOGARES LOCALIZADOS EN ZONAS DE ALTO RIESGO NO MITIGABLE ID:2014-OTR-00877, LOCALIDAD:03 SANTA FE, UPZ:96 LOURDES, SECTOR:CASA 1</v>
          </cell>
          <cell r="R2021">
            <v>2551518</v>
          </cell>
          <cell r="S2021">
            <v>425253</v>
          </cell>
          <cell r="T2021">
            <v>0</v>
          </cell>
          <cell r="U2021">
            <v>2126265</v>
          </cell>
          <cell r="V2021">
            <v>2126265</v>
          </cell>
        </row>
        <row r="2022">
          <cell r="J2022">
            <v>1407</v>
          </cell>
          <cell r="K2022">
            <v>43151</v>
          </cell>
          <cell r="L2022" t="str">
            <v>CLAUDIA MARCELA RUBIO MANCIPE</v>
          </cell>
          <cell r="M2022">
            <v>31</v>
          </cell>
          <cell r="N2022" t="str">
            <v>RESOLUCION</v>
          </cell>
          <cell r="O2022">
            <v>1307</v>
          </cell>
          <cell r="P2022">
            <v>43151</v>
          </cell>
          <cell r="Q2022" t="str">
            <v>AYUDA TEMPORAL A LAS FAMILIAS DE VARIAS LOCALIDADES, PARA RELOCALIZACIÓN DE HOGARES LOCALIZADOS EN ZONAS DE ALTO RIESGO NO MITIGABLE ID:2015-19-14753, LOCALIDAD:19 CIUDAD BOLÍVAR, UPZ:67 LUCERO</v>
          </cell>
          <cell r="R2022">
            <v>2844810</v>
          </cell>
          <cell r="S2022">
            <v>474135</v>
          </cell>
          <cell r="T2022">
            <v>0</v>
          </cell>
          <cell r="U2022">
            <v>2370675</v>
          </cell>
          <cell r="V2022">
            <v>2370675</v>
          </cell>
        </row>
        <row r="2023">
          <cell r="J2023">
            <v>1408</v>
          </cell>
          <cell r="K2023">
            <v>43151</v>
          </cell>
          <cell r="L2023" t="str">
            <v>MARYSOL  ROJAS</v>
          </cell>
          <cell r="M2023">
            <v>31</v>
          </cell>
          <cell r="N2023" t="str">
            <v>RESOLUCION</v>
          </cell>
          <cell r="O2023">
            <v>1308</v>
          </cell>
          <cell r="P2023">
            <v>43151</v>
          </cell>
          <cell r="Q2023" t="str">
            <v>AYUDA TEMPORAL A LAS FAMILIAS DE VARIAS LOCALIDADES, PARA RELOCALIZACIÓN DE HOGARES LOCALIZADOS EN ZONAS DE ALTO RIESGO NO MITIGABLE ID:2014-Q20-01175, LOCALIDAD:04 SAN CRISTÓBAL, UPZ:50 LA GLORIA, SECTOR:LA CHIGUAZA</v>
          </cell>
          <cell r="R2023">
            <v>2358570</v>
          </cell>
          <cell r="S2023">
            <v>393095</v>
          </cell>
          <cell r="T2023">
            <v>0</v>
          </cell>
          <cell r="U2023">
            <v>1965475</v>
          </cell>
          <cell r="V2023">
            <v>1965475</v>
          </cell>
        </row>
        <row r="2024">
          <cell r="J2024">
            <v>1409</v>
          </cell>
          <cell r="K2024">
            <v>43151</v>
          </cell>
          <cell r="L2024" t="str">
            <v>EZEQUIEL  ARISTIZABAL RAMOS</v>
          </cell>
          <cell r="M2024">
            <v>86</v>
          </cell>
          <cell r="N2024" t="str">
            <v>ESCRITURA PUBLICA</v>
          </cell>
          <cell r="O2024">
            <v>1345</v>
          </cell>
          <cell r="P2024">
            <v>43151</v>
          </cell>
          <cell r="Q2024" t="str">
            <v>AYUDA TEMPORAL A LAS FAMILIAS DE VARIAS LOCALIDADES, PARA RELOCALIZACIÓN DE HOGARES LOCALIZADOS EN ZONAS DE ALTO RIESGO NO MITIGABLE ID:2014-OTR-00899, LOCALIDAD:03 SANTA FE, UPZ:96 LOURDES, SECTOR:CASA 3</v>
          </cell>
          <cell r="R2024">
            <v>3014166</v>
          </cell>
          <cell r="S2024">
            <v>3014166</v>
          </cell>
          <cell r="T2024">
            <v>0</v>
          </cell>
          <cell r="U2024">
            <v>0</v>
          </cell>
          <cell r="V2024">
            <v>0</v>
          </cell>
        </row>
        <row r="2025">
          <cell r="J2025">
            <v>1410</v>
          </cell>
          <cell r="K2025">
            <v>43151</v>
          </cell>
          <cell r="L2025" t="str">
            <v>LUCILA  MEDINA</v>
          </cell>
          <cell r="M2025">
            <v>31</v>
          </cell>
          <cell r="N2025" t="str">
            <v>RESOLUCION</v>
          </cell>
          <cell r="O2025">
            <v>1346</v>
          </cell>
          <cell r="P2025">
            <v>43151</v>
          </cell>
          <cell r="Q2025" t="str">
            <v>AYUDA TEMPORAL A LAS FAMILIAS DE VARIAS LOCALIDADES, PARA RELOCALIZACIÓN DE HOGARES LOCALIZADOS EN ZONAS DE ALTO RIESGO NO MITIGABLE ID:2011-4-12683, LOCALIDAD:04 SAN CRISTÓBAL, UPZ:32 SAN BLAS</v>
          </cell>
          <cell r="R2025">
            <v>2474274</v>
          </cell>
          <cell r="S2025">
            <v>412379</v>
          </cell>
          <cell r="T2025">
            <v>0</v>
          </cell>
          <cell r="U2025">
            <v>2061895</v>
          </cell>
          <cell r="V2025">
            <v>2061895</v>
          </cell>
        </row>
        <row r="2026">
          <cell r="J2026">
            <v>1411</v>
          </cell>
          <cell r="K2026">
            <v>43151</v>
          </cell>
          <cell r="L2026" t="str">
            <v>ARQUIMEDES  VEGA ANZOLA</v>
          </cell>
          <cell r="M2026">
            <v>31</v>
          </cell>
          <cell r="N2026" t="str">
            <v>RESOLUCION</v>
          </cell>
          <cell r="O2026">
            <v>1309</v>
          </cell>
          <cell r="P2026">
            <v>43151</v>
          </cell>
          <cell r="Q2026" t="str">
            <v>AYUDA TEMPORAL A LAS FAMILIAS DE VARIAS LOCALIDADES, PARA RELOCALIZACIÓN DE HOGARES LOCALIZADOS EN ZONAS DE ALTO RIESGO NO MITIGABLE ID:2015-D227-00001, LOCALIDAD:04 SAN CRISTÓBAL, UPZ:51 LOS LIBERTADORES, SECTOR:SANTA TERESITA</v>
          </cell>
          <cell r="R2026">
            <v>2474274</v>
          </cell>
          <cell r="S2026">
            <v>412379</v>
          </cell>
          <cell r="T2026">
            <v>0</v>
          </cell>
          <cell r="U2026">
            <v>2061895</v>
          </cell>
          <cell r="V2026">
            <v>2061895</v>
          </cell>
        </row>
        <row r="2027">
          <cell r="J2027">
            <v>1412</v>
          </cell>
          <cell r="K2027">
            <v>43151</v>
          </cell>
          <cell r="L2027" t="str">
            <v>EZEQUIEL  ARISTIZABAL RAMOS</v>
          </cell>
          <cell r="M2027">
            <v>31</v>
          </cell>
          <cell r="N2027" t="str">
            <v>RESOLUCION</v>
          </cell>
          <cell r="O2027">
            <v>1409</v>
          </cell>
          <cell r="P2027">
            <v>43151</v>
          </cell>
          <cell r="Q2027" t="str">
            <v>AYUDA TEMPORAL A LAS FAMILIAS DE VARIAS LOCALIDADES, PARA RELOCALIZACIÓN DE HOGARES LOCALIZADOS EN ZONAS DE ALTO RIESGO NO MITIGABLE ID:2014-OTR-00899, LOCALIDAD:03 SANTA FE, UPZ:96 LOURDES, SECTOR:CASA 3</v>
          </cell>
          <cell r="R2027">
            <v>3014166</v>
          </cell>
          <cell r="S2027">
            <v>3014166</v>
          </cell>
          <cell r="T2027">
            <v>0</v>
          </cell>
          <cell r="U2027">
            <v>0</v>
          </cell>
          <cell r="V2027">
            <v>0</v>
          </cell>
        </row>
        <row r="2028">
          <cell r="J2028">
            <v>1413</v>
          </cell>
          <cell r="K2028">
            <v>43151</v>
          </cell>
          <cell r="L2028" t="str">
            <v>MARIA AURORA BELLO</v>
          </cell>
          <cell r="M2028">
            <v>31</v>
          </cell>
          <cell r="N2028" t="str">
            <v>RESOLUCION</v>
          </cell>
          <cell r="O2028">
            <v>1349</v>
          </cell>
          <cell r="P2028">
            <v>43151</v>
          </cell>
          <cell r="Q2028" t="str">
            <v>AYUDA TEMPORAL A LAS FAMILIAS DE VARIAS LOCALIDADES, PARA RELOCALIZACIÓN DE HOGARES LOCALIZADOS EN ZONAS DE ALTO RIESGO NO MITIGABLE ID:2013-Q21-00419, LOCALIDAD:19 CIUDAD BOLÍVAR, UPZ:67 LUCERO, SECTOR:BRAZO DERECHO DE LIMAS</v>
          </cell>
          <cell r="R2028">
            <v>2706270</v>
          </cell>
          <cell r="S2028">
            <v>451045</v>
          </cell>
          <cell r="T2028">
            <v>0</v>
          </cell>
          <cell r="U2028">
            <v>2255225</v>
          </cell>
          <cell r="V2028">
            <v>2255225</v>
          </cell>
        </row>
        <row r="2029">
          <cell r="J2029">
            <v>1414</v>
          </cell>
          <cell r="K2029">
            <v>43151</v>
          </cell>
          <cell r="L2029" t="str">
            <v>MARIA BEATRIZ NARANJO PATARROYO</v>
          </cell>
          <cell r="M2029">
            <v>31</v>
          </cell>
          <cell r="N2029" t="str">
            <v>RESOLUCION</v>
          </cell>
          <cell r="O2029">
            <v>1310</v>
          </cell>
          <cell r="P2029">
            <v>43151</v>
          </cell>
          <cell r="Q2029" t="str">
            <v>AYUDA TEMPORAL A LAS FAMILIAS DE VARIAS LOCALIDADES, PARA RELOCALIZACIÓN DE HOGARES LOCALIZADOS EN ZONAS DE ALTO RIESGO NO MITIGABLE ID:2014-OTR-00880, LOCALIDAD:03 SANTA FE, UPZ:96 LOURDES, SECTOR:CASA 2</v>
          </cell>
          <cell r="R2029">
            <v>2550450</v>
          </cell>
          <cell r="S2029">
            <v>425075</v>
          </cell>
          <cell r="T2029">
            <v>0</v>
          </cell>
          <cell r="U2029">
            <v>2125375</v>
          </cell>
          <cell r="V2029">
            <v>2125375</v>
          </cell>
        </row>
        <row r="2030">
          <cell r="J2030">
            <v>1415</v>
          </cell>
          <cell r="K2030">
            <v>43151</v>
          </cell>
          <cell r="L2030" t="str">
            <v>BAUDILIO  TOLOZA CASTILLO</v>
          </cell>
          <cell r="M2030">
            <v>31</v>
          </cell>
          <cell r="N2030" t="str">
            <v>RESOLUCION</v>
          </cell>
          <cell r="O2030">
            <v>1291</v>
          </cell>
          <cell r="P2030">
            <v>43151</v>
          </cell>
          <cell r="Q2030" t="str">
            <v>AYUDA TEMPORAL A LAS FAMILIAS DE VARIAS LOCALIDADES, PARA RELOCALIZACIÓN DE HOGARES LOCALIZADOS EN ZONAS DE ALTO RIESGO NO MITIGABLE ID:2014-LC-00790, LOCALIDAD:19 CIUDAD BOLÍVAR, UPZ:69 ISMAEL PERDOMO</v>
          </cell>
          <cell r="R2030">
            <v>2882880</v>
          </cell>
          <cell r="S2030">
            <v>480480</v>
          </cell>
          <cell r="T2030">
            <v>0</v>
          </cell>
          <cell r="U2030">
            <v>2402400</v>
          </cell>
          <cell r="V2030">
            <v>2402400</v>
          </cell>
        </row>
        <row r="2031">
          <cell r="J2031">
            <v>1416</v>
          </cell>
          <cell r="K2031">
            <v>43151</v>
          </cell>
          <cell r="L2031" t="str">
            <v>DIANA MARCELA OSORIO MORALES</v>
          </cell>
          <cell r="M2031">
            <v>31</v>
          </cell>
          <cell r="N2031" t="str">
            <v>RESOLUCION</v>
          </cell>
          <cell r="O2031">
            <v>1292</v>
          </cell>
          <cell r="P2031">
            <v>43151</v>
          </cell>
          <cell r="Q2031" t="str">
            <v>AYUDA TEMPORAL A LAS FAMILIAS DE VARIAS LOCALIDADES, PARA RELOCALIZACIÓN DE HOGARES LOCALIZADOS EN ZONAS DE ALTO RIESGO NO MITIGABLE ID:2014-LC-00791, LOCALIDAD:19 CIUDAD BOLÍVAR, UPZ:69 ISMAEL PERDOMO</v>
          </cell>
          <cell r="R2031">
            <v>2439360</v>
          </cell>
          <cell r="S2031">
            <v>406560</v>
          </cell>
          <cell r="T2031">
            <v>0</v>
          </cell>
          <cell r="U2031">
            <v>2032800</v>
          </cell>
          <cell r="V2031">
            <v>2032800</v>
          </cell>
        </row>
        <row r="2032">
          <cell r="J2032">
            <v>1417</v>
          </cell>
          <cell r="K2032">
            <v>43151</v>
          </cell>
          <cell r="L2032" t="str">
            <v>YURY JOHANNA BRICEÑO MORENO</v>
          </cell>
          <cell r="M2032">
            <v>31</v>
          </cell>
          <cell r="N2032" t="str">
            <v>RESOLUCION</v>
          </cell>
          <cell r="O2032">
            <v>1311</v>
          </cell>
          <cell r="P2032">
            <v>43151</v>
          </cell>
          <cell r="Q2032" t="str">
            <v>AYUDA TEMPORAL A LAS FAMILIAS DE VARIAS LOCALIDADES, PARA RELOCALIZACIÓN DE HOGARES LOCALIZADOS EN ZONAS DE ALTO RIESGO NO MITIGABLE ID:2014-OTR-00910, LOCALIDAD:03 SANTA FE, UPZ:96 LOURDES, SECTOR:CASA 3</v>
          </cell>
          <cell r="R2032">
            <v>2553138</v>
          </cell>
          <cell r="S2032">
            <v>425523</v>
          </cell>
          <cell r="T2032">
            <v>0</v>
          </cell>
          <cell r="U2032">
            <v>2127615</v>
          </cell>
          <cell r="V2032">
            <v>2127615</v>
          </cell>
        </row>
        <row r="2033">
          <cell r="J2033">
            <v>1418</v>
          </cell>
          <cell r="K2033">
            <v>43151</v>
          </cell>
          <cell r="L2033" t="str">
            <v>FLOR MARINA BAQUERO UMAÑA</v>
          </cell>
          <cell r="M2033">
            <v>31</v>
          </cell>
          <cell r="N2033" t="str">
            <v>RESOLUCION</v>
          </cell>
          <cell r="O2033">
            <v>1293</v>
          </cell>
          <cell r="P2033">
            <v>43151</v>
          </cell>
          <cell r="Q2033" t="str">
            <v>AYUDA TEMPORAL A LAS FAMILIAS DE VARIAS LOCALIDADES, PARA RELOCALIZACIÓN DE HOGARES LOCALIZADOS EN ZONAS DE ALTO RIESGO NO MITIGABLE ID:2015-Q03-01481, LOCALIDAD:19 CIUDAD BOLÍVAR, UPZ:66 SAN FRANCISCO, SECTOR:LIMAS</v>
          </cell>
          <cell r="R2033">
            <v>2887073</v>
          </cell>
          <cell r="S2033">
            <v>412439</v>
          </cell>
          <cell r="T2033">
            <v>0</v>
          </cell>
          <cell r="U2033">
            <v>2474634</v>
          </cell>
          <cell r="V2033">
            <v>2474634</v>
          </cell>
        </row>
        <row r="2034">
          <cell r="J2034">
            <v>1419</v>
          </cell>
          <cell r="K2034">
            <v>43151</v>
          </cell>
          <cell r="L2034" t="str">
            <v>JUAN EVANGELISTA NARANJO PATARROYO</v>
          </cell>
          <cell r="M2034">
            <v>31</v>
          </cell>
          <cell r="N2034" t="str">
            <v>RESOLUCION</v>
          </cell>
          <cell r="O2034">
            <v>1312</v>
          </cell>
          <cell r="P2034">
            <v>43151</v>
          </cell>
          <cell r="Q2034" t="str">
            <v>AYUDA TEMPORAL A LAS FAMILIAS DE VARIAS LOCALIDADES, PARA RELOCALIZACIÓN DE HOGARES LOCALIZADOS EN ZONAS DE ALTO RIESGO NO MITIGABLE ID:2014-OTR-00886, LOCALIDAD:03 SANTA FE, UPZ:96 LOURDES, SECTOR:CASA 2</v>
          </cell>
          <cell r="R2034">
            <v>3014166</v>
          </cell>
          <cell r="S2034">
            <v>502361</v>
          </cell>
          <cell r="T2034">
            <v>0</v>
          </cell>
          <cell r="U2034">
            <v>2511805</v>
          </cell>
          <cell r="V2034">
            <v>2511805</v>
          </cell>
        </row>
        <row r="2035">
          <cell r="J2035">
            <v>1420</v>
          </cell>
          <cell r="K2035">
            <v>43151</v>
          </cell>
          <cell r="L2035" t="str">
            <v>ALEXANDRA  REY GUTIERREZ</v>
          </cell>
          <cell r="M2035">
            <v>31</v>
          </cell>
          <cell r="N2035" t="str">
            <v>RESOLUCION</v>
          </cell>
          <cell r="O2035">
            <v>1313</v>
          </cell>
          <cell r="P2035">
            <v>43151</v>
          </cell>
          <cell r="Q2035" t="str">
            <v>AYUDA TEMPORAL A LAS FAMILIAS DE VARIAS LOCALIDADES, PARA RELOCALIZACIÓN DE HOGARES LOCALIZADOS EN ZONAS DE ALTO RIESGO NO MITIGABLE ID:2012-T314-05, LOCALIDAD:04 SAN CRISTÓBAL, UPZ:50 LA GLORIA,</v>
          </cell>
          <cell r="R2035">
            <v>3060180</v>
          </cell>
          <cell r="S2035">
            <v>510030</v>
          </cell>
          <cell r="T2035">
            <v>0</v>
          </cell>
          <cell r="U2035">
            <v>2550150</v>
          </cell>
          <cell r="V2035">
            <v>2550150</v>
          </cell>
        </row>
        <row r="2036">
          <cell r="J2036">
            <v>1421</v>
          </cell>
          <cell r="K2036">
            <v>43151</v>
          </cell>
          <cell r="L2036" t="str">
            <v>LUZ MARINA TUNJUELO BARBOSA</v>
          </cell>
          <cell r="M2036">
            <v>31</v>
          </cell>
          <cell r="N2036" t="str">
            <v>RESOLUCION</v>
          </cell>
          <cell r="O2036">
            <v>1314</v>
          </cell>
          <cell r="P2036">
            <v>43151</v>
          </cell>
          <cell r="Q2036" t="str">
            <v>AYUDA TEMPORAL A LAS FAMILIAS DE VARIAS LOCALIDADES, PARA RELOCALIZACIÓN DE HOGARES LOCALIZADOS EN ZONAS DE ALTO RIESGO NO MITIGABLE ID:2011-4-12662, LOCALIDAD:04 SAN CRISTÓBAL, UPZ:32 SAN BLAS, SECTOR:</v>
          </cell>
          <cell r="R2036">
            <v>2590566</v>
          </cell>
          <cell r="S2036">
            <v>431761</v>
          </cell>
          <cell r="T2036">
            <v>0</v>
          </cell>
          <cell r="U2036">
            <v>2158805</v>
          </cell>
          <cell r="V2036">
            <v>2158805</v>
          </cell>
        </row>
        <row r="2037">
          <cell r="J2037">
            <v>1422</v>
          </cell>
          <cell r="K2037">
            <v>43151</v>
          </cell>
          <cell r="L2037" t="str">
            <v>CLARA INES ESCOBAR DE BENAVIDES</v>
          </cell>
          <cell r="M2037">
            <v>31</v>
          </cell>
          <cell r="N2037" t="str">
            <v>RESOLUCION</v>
          </cell>
          <cell r="O2037">
            <v>1315</v>
          </cell>
          <cell r="P2037">
            <v>43151</v>
          </cell>
          <cell r="Q2037" t="str">
            <v>AYUDA TEMPORAL A LAS FAMILIAS DE VARIAS LOCALIDADES, PARA RELOCALIZACIÓN DE HOGARES LOCALIZADOS EN ZONAS DE ALTO RIESGO NO MITIGABLE ID:2014-Q04-00825, LOCALIDAD:19 CIUDAD BOLÍVAR, UPZ:67 LUCERO, SECTOR:PEÑA COLORADA</v>
          </cell>
          <cell r="R2037">
            <v>2706270</v>
          </cell>
          <cell r="S2037">
            <v>451045</v>
          </cell>
          <cell r="T2037">
            <v>0</v>
          </cell>
          <cell r="U2037">
            <v>2255225</v>
          </cell>
          <cell r="V2037">
            <v>2255225</v>
          </cell>
        </row>
        <row r="2038">
          <cell r="J2038">
            <v>1423</v>
          </cell>
          <cell r="K2038">
            <v>43151</v>
          </cell>
          <cell r="L2038" t="str">
            <v>MAURICIO  CAMARGO RODRIGUEZ</v>
          </cell>
          <cell r="M2038">
            <v>31</v>
          </cell>
          <cell r="N2038" t="str">
            <v>RESOLUCION</v>
          </cell>
          <cell r="O2038">
            <v>1316</v>
          </cell>
          <cell r="P2038">
            <v>43151</v>
          </cell>
          <cell r="Q2038" t="str">
            <v>AYUDA TEMPORAL A LAS FAMILIAS DE VARIAS LOCALIDADES, PARA RELOCALIZACIÓN DE HOGARES LOCALIZADOS EN ZONAS DE ALTO RIESGO NO MITIGABLE ID:2014-OTR-01166, LOCALIDAD:11 SUBA, UPZ:71 TIBABUYES, SECTOR:GAVILANES</v>
          </cell>
          <cell r="R2038">
            <v>2586000</v>
          </cell>
          <cell r="S2038">
            <v>431000</v>
          </cell>
          <cell r="T2038">
            <v>0</v>
          </cell>
          <cell r="U2038">
            <v>2155000</v>
          </cell>
          <cell r="V2038">
            <v>2155000</v>
          </cell>
        </row>
        <row r="2039">
          <cell r="J2039">
            <v>1424</v>
          </cell>
          <cell r="K2039">
            <v>43151</v>
          </cell>
          <cell r="L2039" t="str">
            <v>GREGORIA  VARGAS</v>
          </cell>
          <cell r="M2039">
            <v>31</v>
          </cell>
          <cell r="N2039" t="str">
            <v>RESOLUCION</v>
          </cell>
          <cell r="O2039">
            <v>1317</v>
          </cell>
          <cell r="P2039">
            <v>43151</v>
          </cell>
          <cell r="Q2039" t="str">
            <v>AYUDA TEMPORAL A LAS FAMILIAS DE VARIAS LOCALIDADES, PARA RELOCALIZACIÓN DE HOGARES LOCALIZADOS EN ZONAS DE ALTO RIESGO NO MITIGABLE ID:2014-OTR-00872, LOCALIDAD:03 SANTA FE, UPZ:96 LOURDES, SECTOR:CASA 1</v>
          </cell>
          <cell r="R2039">
            <v>2281062</v>
          </cell>
          <cell r="S2039">
            <v>380177</v>
          </cell>
          <cell r="T2039">
            <v>0</v>
          </cell>
          <cell r="U2039">
            <v>1900885</v>
          </cell>
          <cell r="V2039">
            <v>1900885</v>
          </cell>
        </row>
        <row r="2040">
          <cell r="J2040">
            <v>1425</v>
          </cell>
          <cell r="K2040">
            <v>43151</v>
          </cell>
          <cell r="L2040" t="str">
            <v>NELLY ESPERANZA CAMARGO LOZANO</v>
          </cell>
          <cell r="M2040">
            <v>31</v>
          </cell>
          <cell r="N2040" t="str">
            <v>RESOLUCION</v>
          </cell>
          <cell r="O2040">
            <v>1318</v>
          </cell>
          <cell r="P2040">
            <v>43151</v>
          </cell>
          <cell r="Q2040" t="str">
            <v>AYUDA TEMPORAL A LAS FAMILIAS DE VARIAS LOCALIDADES, PARA RELOCALIZACIÓN DE HOGARES LOCALIZADOS EN ZONAS DE ALTO RIESGO NO MITIGABLE ID:2015-3-14763, LOCALIDAD:03 SANTA FE, UPZ:96 LOURDES.</v>
          </cell>
          <cell r="R2040">
            <v>2844810</v>
          </cell>
          <cell r="S2040">
            <v>474135</v>
          </cell>
          <cell r="T2040">
            <v>0</v>
          </cell>
          <cell r="U2040">
            <v>2370675</v>
          </cell>
          <cell r="V2040">
            <v>2370675</v>
          </cell>
        </row>
        <row r="2041">
          <cell r="J2041">
            <v>1426</v>
          </cell>
          <cell r="K2041">
            <v>43151</v>
          </cell>
          <cell r="L2041" t="str">
            <v>EZEQUIEL  ARISTIZABAL RAMOS</v>
          </cell>
          <cell r="M2041">
            <v>31</v>
          </cell>
          <cell r="N2041" t="str">
            <v>RESOLUCION</v>
          </cell>
          <cell r="O2041">
            <v>1345</v>
          </cell>
          <cell r="P2041">
            <v>43151</v>
          </cell>
          <cell r="Q2041" t="str">
            <v>AYUDA TEMPORAL A LAS FAMILIAS DE VARIAS LOCALIDADES, PARA RELOCALIZACIÓN DE HOGARES LOCALIZADOS EN ZONAS DE ALTO RIESGO NO MITIGABLE ID:2014-OTR-00899, LOCALIDAD:03 SANTA FE, UPZ:96 LOURDES, SECTOR:CASA 3</v>
          </cell>
          <cell r="R2041">
            <v>3014166</v>
          </cell>
          <cell r="S2041">
            <v>502361</v>
          </cell>
          <cell r="T2041">
            <v>0</v>
          </cell>
          <cell r="U2041">
            <v>2511805</v>
          </cell>
          <cell r="V2041">
            <v>2511805</v>
          </cell>
        </row>
        <row r="2042">
          <cell r="J2042">
            <v>1427</v>
          </cell>
          <cell r="K2042">
            <v>43151</v>
          </cell>
          <cell r="L2042" t="str">
            <v>MARCELINA  VARGAS GONZALEZ</v>
          </cell>
          <cell r="M2042">
            <v>31</v>
          </cell>
          <cell r="N2042" t="str">
            <v>RESOLUCION</v>
          </cell>
          <cell r="O2042">
            <v>1305</v>
          </cell>
          <cell r="P2042">
            <v>43151</v>
          </cell>
          <cell r="Q2042" t="str">
            <v>AYUDA TEMPORAL A LAS FAMILIAS DE VARIAS LOCALIDADES, PARA RELOCALIZACIÓN DE HOGARES LOCALIZADOS EN ZONAS DE ALTO RIESGO NO MITIGABLE ID:2005-19-5791, LOCALIDAD:19 CIUDAD BOLÍVAR, UPZ:67 LUCERO, SECTOR:LIMAS</v>
          </cell>
          <cell r="R2042">
            <v>3054150</v>
          </cell>
          <cell r="S2042">
            <v>509025</v>
          </cell>
          <cell r="T2042">
            <v>0</v>
          </cell>
          <cell r="U2042">
            <v>2545125</v>
          </cell>
          <cell r="V2042">
            <v>2545125</v>
          </cell>
        </row>
        <row r="2043">
          <cell r="J2043">
            <v>1428</v>
          </cell>
          <cell r="K2043">
            <v>43152</v>
          </cell>
          <cell r="L2043" t="str">
            <v>JOSE IGNACIO MARTINEZ RODRIGUEZ</v>
          </cell>
          <cell r="M2043">
            <v>31</v>
          </cell>
          <cell r="N2043" t="str">
            <v>RESOLUCION</v>
          </cell>
          <cell r="O2043">
            <v>1348</v>
          </cell>
          <cell r="P2043">
            <v>43152</v>
          </cell>
          <cell r="Q2043" t="str">
            <v>AYUDA TEMPORAL A LAS FAMILIAS DE VARIAS LOCALIDADES, PARA RELOCALIZACIÓN DE HOGARES LOCALIZADOS EN ZONAS DE ALTO RIESGO NO MITIGABLE ID:2011-4-12646, LOCALIDAD:04 SAN CRISTÓBAL, UPZ:32 SAN BLAS, SECTOR:</v>
          </cell>
          <cell r="R2043">
            <v>2213148</v>
          </cell>
          <cell r="S2043">
            <v>368858</v>
          </cell>
          <cell r="T2043">
            <v>0</v>
          </cell>
          <cell r="U2043">
            <v>1844290</v>
          </cell>
          <cell r="V2043">
            <v>1844290</v>
          </cell>
        </row>
        <row r="2044">
          <cell r="J2044">
            <v>1429</v>
          </cell>
          <cell r="K2044">
            <v>43152</v>
          </cell>
          <cell r="L2044" t="str">
            <v>BLANCA CONSUELO BEJARANO</v>
          </cell>
          <cell r="M2044">
            <v>31</v>
          </cell>
          <cell r="N2044" t="str">
            <v>RESOLUCION</v>
          </cell>
          <cell r="O2044">
            <v>1319</v>
          </cell>
          <cell r="P2044">
            <v>43152</v>
          </cell>
          <cell r="Q2044" t="str">
            <v>AYUDA TEMPORAL A LAS FAMILIAS DE VARIAS LOCALIDADES, PARA RELOCALIZACIÓN DE HOGARES LOCALIZADOS EN ZONAS DE ALTO RIESGO NO MITIGABLE ID:2005-4-6465, LOCALIDAD:04 SAN CRISTÓBAL, UPZ:51 LOS LIBERTADORES, SECTOR:</v>
          </cell>
          <cell r="R2044">
            <v>2213148</v>
          </cell>
          <cell r="S2044">
            <v>368858</v>
          </cell>
          <cell r="T2044">
            <v>0</v>
          </cell>
          <cell r="U2044">
            <v>1844290</v>
          </cell>
          <cell r="V2044">
            <v>1844290</v>
          </cell>
        </row>
        <row r="2045">
          <cell r="J2045">
            <v>1430</v>
          </cell>
          <cell r="K2045">
            <v>43152</v>
          </cell>
          <cell r="L2045" t="str">
            <v>MARTHA FABIOLA CAMACHO ROJAS</v>
          </cell>
          <cell r="M2045">
            <v>31</v>
          </cell>
          <cell r="N2045" t="str">
            <v>RESOLUCION</v>
          </cell>
          <cell r="O2045">
            <v>1320</v>
          </cell>
          <cell r="P2045">
            <v>43152</v>
          </cell>
          <cell r="Q2045" t="str">
            <v>AYUDA TEMPORAL A LAS FAMILIAS DE VARIAS LOCALIDADES, PARA RELOCALIZACIÓN DE HOGARES LOCALIZADOS EN ZONAS DE ALTO RIESGO NO MITIGABLE ID:2014-OTR-00871, LOCALIDAD:03 SANTA FE, UPZ:96 LOURDES, SECTOR:CASA 1</v>
          </cell>
          <cell r="R2045">
            <v>2550450</v>
          </cell>
          <cell r="S2045">
            <v>425075</v>
          </cell>
          <cell r="T2045">
            <v>0</v>
          </cell>
          <cell r="U2045">
            <v>2125375</v>
          </cell>
          <cell r="V2045">
            <v>2125375</v>
          </cell>
        </row>
        <row r="2046">
          <cell r="J2046">
            <v>1431</v>
          </cell>
          <cell r="K2046">
            <v>43152</v>
          </cell>
          <cell r="L2046" t="str">
            <v>EZEQUIEL  TORRES</v>
          </cell>
          <cell r="M2046">
            <v>31</v>
          </cell>
          <cell r="N2046" t="str">
            <v>RESOLUCION</v>
          </cell>
          <cell r="O2046">
            <v>1321</v>
          </cell>
          <cell r="P2046">
            <v>43152</v>
          </cell>
          <cell r="Q2046" t="str">
            <v>AYUDA TEMPORAL A LAS FAMILIAS DE VARIAS LOCALIDADES, PARA RELOCALIZACIÓN DE HOGARES LOCALIZADOS EN ZONAS DE ALTO RIESGO NO MITIGABLE ID:2014-OTR-00889, LOCALIDAD:03 SANTA FE, UPZ:96 LOURDES, SECTOR:CASA 2</v>
          </cell>
          <cell r="R2046">
            <v>2213148</v>
          </cell>
          <cell r="S2046">
            <v>368858</v>
          </cell>
          <cell r="T2046">
            <v>0</v>
          </cell>
          <cell r="U2046">
            <v>1844290</v>
          </cell>
          <cell r="V2046">
            <v>1844290</v>
          </cell>
        </row>
        <row r="2047">
          <cell r="J2047">
            <v>1432</v>
          </cell>
          <cell r="K2047">
            <v>43152</v>
          </cell>
          <cell r="L2047" t="str">
            <v>JOSE FERNANDO MENDEZ GARCIA</v>
          </cell>
          <cell r="M2047">
            <v>31</v>
          </cell>
          <cell r="N2047" t="str">
            <v>RESOLUCION</v>
          </cell>
          <cell r="O2047">
            <v>1322</v>
          </cell>
          <cell r="P2047">
            <v>43152</v>
          </cell>
          <cell r="Q2047" t="str">
            <v>AYUDA TEMPORAL A LAS FAMILIAS DE VARIAS LOCALIDADES, PARA RELOCALIZACIÓN DE HOGARES LOCALIZADOS EN ZONAS DE ALTO RIESGO NO MITIGABLE ID:2014-OTR-00902, LOCALIDAD:03 SANTA FE, UPZ:96 LOURDES, SECTOR:CASA 3</v>
          </cell>
          <cell r="R2047">
            <v>2744310</v>
          </cell>
          <cell r="S2047">
            <v>457385</v>
          </cell>
          <cell r="T2047">
            <v>0</v>
          </cell>
          <cell r="U2047">
            <v>2286925</v>
          </cell>
          <cell r="V2047">
            <v>2286925</v>
          </cell>
        </row>
        <row r="2048">
          <cell r="J2048">
            <v>1433</v>
          </cell>
          <cell r="K2048">
            <v>43152</v>
          </cell>
          <cell r="L2048" t="str">
            <v>SANDRA  GORDILLO CARREÑO</v>
          </cell>
          <cell r="M2048">
            <v>31</v>
          </cell>
          <cell r="N2048" t="str">
            <v>RESOLUCION</v>
          </cell>
          <cell r="O2048">
            <v>1323</v>
          </cell>
          <cell r="P2048">
            <v>43152</v>
          </cell>
          <cell r="Q2048" t="str">
            <v>AYUDA TEMPORAL A LAS FAMILIAS DE VARIAS LOCALIDADES, PARA RELOCALIZACIÓN DE HOGARES LOCALIZADOS EN ZONAS DE ALTO RIESGO NO MITIGABLE ID:2011-4-12655, LOCALIDAD:04 SAN CRISTÓBAL, UPZ:32 SAN BLAS, SECTOR:</v>
          </cell>
          <cell r="R2048">
            <v>3170214</v>
          </cell>
          <cell r="S2048">
            <v>528369</v>
          </cell>
          <cell r="T2048">
            <v>0</v>
          </cell>
          <cell r="U2048">
            <v>2641845</v>
          </cell>
          <cell r="V2048">
            <v>2641845</v>
          </cell>
        </row>
        <row r="2049">
          <cell r="J2049">
            <v>1434</v>
          </cell>
          <cell r="K2049">
            <v>43152</v>
          </cell>
          <cell r="L2049" t="str">
            <v>LINA ANDREA MENDEZ GARCIA</v>
          </cell>
          <cell r="M2049">
            <v>31</v>
          </cell>
          <cell r="N2049" t="str">
            <v>RESOLUCION</v>
          </cell>
          <cell r="O2049">
            <v>1324</v>
          </cell>
          <cell r="P2049">
            <v>43152</v>
          </cell>
          <cell r="Q2049" t="str">
            <v>AYUDA TEMPORAL A LAS FAMILIAS DE VARIAS LOCALIDADES, PARA RELOCALIZACIÓN DE HOGARES LOCALIZADOS EN ZONAS DE ALTO RIESGO NO MITIGABLE ID:2014-OTR-00903, LOCALIDAD:03 SANTA FE, UPZ:96 LOURDES, SECTOR:CASA 3</v>
          </cell>
          <cell r="R2049">
            <v>3479664</v>
          </cell>
          <cell r="S2049">
            <v>579944</v>
          </cell>
          <cell r="T2049">
            <v>0</v>
          </cell>
          <cell r="U2049">
            <v>2899720</v>
          </cell>
          <cell r="V2049">
            <v>2899720</v>
          </cell>
        </row>
        <row r="2050">
          <cell r="J2050">
            <v>1435</v>
          </cell>
          <cell r="K2050">
            <v>43152</v>
          </cell>
          <cell r="L2050" t="str">
            <v>YAMILE  MENDEZ</v>
          </cell>
          <cell r="M2050">
            <v>31</v>
          </cell>
          <cell r="N2050" t="str">
            <v>RESOLUCION</v>
          </cell>
          <cell r="O2050">
            <v>1325</v>
          </cell>
          <cell r="P2050">
            <v>43152</v>
          </cell>
          <cell r="Q2050" t="str">
            <v>AYUDA TEMPORAL A LAS FAMILIAS DE VARIAS LOCALIDADES, PARA RELOCALIZACIÓN DE HOGARES LOCALIZADOS EN ZONAS DE ALTO RIESGO NO MITIGABLE ID:2012-ALES-132, LOCALIDAD:19 CIUDAD BOLÍVAR, UPZ:69 ISMAEL PERDOMO, SECTOR:ALTOS DE LA ESTANCIA</v>
          </cell>
          <cell r="R2050">
            <v>2586000</v>
          </cell>
          <cell r="S2050">
            <v>431000</v>
          </cell>
          <cell r="T2050">
            <v>0</v>
          </cell>
          <cell r="U2050">
            <v>2155000</v>
          </cell>
          <cell r="V2050">
            <v>2155000</v>
          </cell>
        </row>
        <row r="2051">
          <cell r="J2051">
            <v>1436</v>
          </cell>
          <cell r="K2051">
            <v>43152</v>
          </cell>
          <cell r="L2051" t="str">
            <v>YAMILE  CESPEDES JIMENEZ</v>
          </cell>
          <cell r="M2051">
            <v>31</v>
          </cell>
          <cell r="N2051" t="str">
            <v>RESOLUCION</v>
          </cell>
          <cell r="O2051">
            <v>21022018</v>
          </cell>
          <cell r="P2051">
            <v>43152</v>
          </cell>
          <cell r="Q2051" t="str">
            <v>AYUDA TEMPORAL A LAS FAMILIAS DE VARIAS LOCALIDADES, PARA RELOCALIZACIÓN DE HOGARES LOCALIZADOS EN ZONAS DE ALTO RIESGO NO MITIGABLE ID:2014-OTR-00895, LOCALIDAD:03 SANTA FE, UPZ:96 LOURDES, SECTOR:CASA 3</v>
          </cell>
          <cell r="R2051">
            <v>3014166</v>
          </cell>
          <cell r="S2051">
            <v>3014166</v>
          </cell>
          <cell r="T2051">
            <v>0</v>
          </cell>
          <cell r="U2051">
            <v>0</v>
          </cell>
          <cell r="V2051">
            <v>0</v>
          </cell>
        </row>
        <row r="2052">
          <cell r="J2052">
            <v>1437</v>
          </cell>
          <cell r="K2052">
            <v>43152</v>
          </cell>
          <cell r="L2052" t="str">
            <v>MARIA MARGARITA ACERO DE MORENO</v>
          </cell>
          <cell r="M2052">
            <v>31</v>
          </cell>
          <cell r="N2052" t="str">
            <v>RESOLUCION</v>
          </cell>
          <cell r="O2052">
            <v>1295</v>
          </cell>
          <cell r="P2052">
            <v>43152</v>
          </cell>
          <cell r="Q2052" t="str">
            <v>AYUDA TEMPORAL A LAS FAMILIAS DE VARIAS LOCALIDADES, PARA RELOCALIZACIÓN DE HOGARES LOCALIZADOS EN ZONAS DE ALTO RIESGO NO MITIGABLE ID:2014-Q03-00994, LOCALIDAD:19 CIUDAD BOLÍVAR, UPZ:66 SAN FRANCISCO, SECTOR:LIMAS</v>
          </cell>
          <cell r="R2052">
            <v>2217222</v>
          </cell>
          <cell r="S2052">
            <v>369537</v>
          </cell>
          <cell r="T2052">
            <v>0</v>
          </cell>
          <cell r="U2052">
            <v>1847685</v>
          </cell>
          <cell r="V2052">
            <v>1847685</v>
          </cell>
        </row>
        <row r="2053">
          <cell r="J2053">
            <v>1438</v>
          </cell>
          <cell r="K2053">
            <v>43152</v>
          </cell>
          <cell r="L2053" t="str">
            <v>ANGIE CENID TAPIA LOZANO</v>
          </cell>
          <cell r="M2053">
            <v>31</v>
          </cell>
          <cell r="N2053" t="str">
            <v>RESOLUCION</v>
          </cell>
          <cell r="O2053">
            <v>1296</v>
          </cell>
          <cell r="P2053">
            <v>43152</v>
          </cell>
          <cell r="Q2053" t="str">
            <v>AYUDA TEMPORAL A LAS FAMILIAS DE VARIAS LOCALIDADES, PARA RELOCALIZACIÓN DE HOGARES LOCALIZADOS EN ZONAS DE ALTO RIESGO NO MITIGABLE ID:2015-Q03-01486, LOCALIDAD:19 CIUDAD BOLÍVAR, UPZ:66 SAN FRANCISCO, SECTOR:LIMAS</v>
          </cell>
          <cell r="R2053">
            <v>2213148</v>
          </cell>
          <cell r="S2053">
            <v>368858</v>
          </cell>
          <cell r="T2053">
            <v>0</v>
          </cell>
          <cell r="U2053">
            <v>1844290</v>
          </cell>
          <cell r="V2053">
            <v>1844290</v>
          </cell>
        </row>
        <row r="2054">
          <cell r="J2054">
            <v>1439</v>
          </cell>
          <cell r="K2054">
            <v>43152</v>
          </cell>
          <cell r="L2054" t="str">
            <v>MARISOL  BURGOS</v>
          </cell>
          <cell r="M2054">
            <v>31</v>
          </cell>
          <cell r="N2054" t="str">
            <v>RESOLUCION</v>
          </cell>
          <cell r="O2054">
            <v>1297</v>
          </cell>
          <cell r="P2054">
            <v>43152</v>
          </cell>
          <cell r="Q2054" t="str">
            <v>AYUDA TEMPORAL A LAS FAMILIAS DE VARIAS LOCALIDADES, PARA RELOCALIZACIÓN DE HOGARES LOCALIZADOS EN ZONAS DE ALTO RIESGO NO MITIGABLE ID:2014-LC-00813, LOCALIDAD:19 CIUDAD BOLÍVAR, UPZ:69 ISMAEL PERDOMO</v>
          </cell>
          <cell r="R2054">
            <v>2590566</v>
          </cell>
          <cell r="S2054">
            <v>431761</v>
          </cell>
          <cell r="T2054">
            <v>0</v>
          </cell>
          <cell r="U2054">
            <v>2158805</v>
          </cell>
          <cell r="V2054">
            <v>2158805</v>
          </cell>
        </row>
        <row r="2055">
          <cell r="J2055">
            <v>1440</v>
          </cell>
          <cell r="K2055">
            <v>43152</v>
          </cell>
          <cell r="L2055" t="str">
            <v>JOSE ANGEL TORRES SAGANOME</v>
          </cell>
          <cell r="M2055">
            <v>31</v>
          </cell>
          <cell r="N2055" t="str">
            <v>RESOLUCION</v>
          </cell>
          <cell r="O2055">
            <v>1298</v>
          </cell>
          <cell r="P2055">
            <v>43152</v>
          </cell>
          <cell r="Q2055" t="str">
            <v>AYUDA TEMPORAL A LAS FAMILIAS DE VARIAS LOCALIDADES, PARA RELOCALIZACIÓN DE HOGARES LOCALIZADOS EN ZONAS DE ALTO RIESGO NO MITIGABLE ID:2014-OTR-01149, LOCALIDAD:11 SUBA, UPZ:71 TIBABUYES, SECTOR:GAVILANES</v>
          </cell>
          <cell r="R2055">
            <v>2550450</v>
          </cell>
          <cell r="S2055">
            <v>0</v>
          </cell>
          <cell r="T2055">
            <v>0</v>
          </cell>
          <cell r="U2055">
            <v>2550450</v>
          </cell>
          <cell r="V2055">
            <v>1275225</v>
          </cell>
        </row>
        <row r="2056">
          <cell r="J2056">
            <v>1441</v>
          </cell>
          <cell r="K2056">
            <v>43152</v>
          </cell>
          <cell r="L2056" t="str">
            <v>ROSA ELENA TORRES MOLINA</v>
          </cell>
          <cell r="M2056">
            <v>31</v>
          </cell>
          <cell r="N2056" t="str">
            <v>RESOLUCION</v>
          </cell>
          <cell r="O2056">
            <v>1326</v>
          </cell>
          <cell r="P2056">
            <v>43152</v>
          </cell>
          <cell r="Q2056" t="str">
            <v>AYUDA TEMPORAL A LAS FAMILIAS DE VARIAS LOCALIDADES, PARA RELOCALIZACIÓN DE HOGARES LOCALIZADOS EN ZONAS DE ALTO RIESGO NO MITIGABLE ID:2011-4-12715, LOCALIDAD:04 SAN CRISTÓBAL, UPZ:32 SAN BLAS, SECTOR:</v>
          </cell>
          <cell r="R2056">
            <v>2390202</v>
          </cell>
          <cell r="S2056">
            <v>398367</v>
          </cell>
          <cell r="T2056">
            <v>0</v>
          </cell>
          <cell r="U2056">
            <v>1991835</v>
          </cell>
          <cell r="V2056">
            <v>1991835</v>
          </cell>
        </row>
        <row r="2057">
          <cell r="J2057">
            <v>1442</v>
          </cell>
          <cell r="K2057">
            <v>43152</v>
          </cell>
          <cell r="L2057" t="str">
            <v>ERIKA LILIANA LAGUNA CUELLAR</v>
          </cell>
          <cell r="M2057">
            <v>31</v>
          </cell>
          <cell r="N2057" t="str">
            <v>RESOLUCION</v>
          </cell>
          <cell r="O2057">
            <v>1327</v>
          </cell>
          <cell r="P2057">
            <v>43152</v>
          </cell>
          <cell r="Q2057" t="str">
            <v>AYUDA TEMPORAL A LAS FAMILIAS DE VARIAS LOCALIDADES, PARA RELOCALIZACIÓN DE HOGARES LOCALIZADOS EN ZONAS DE ALTO RIESGO NO MITIGABLE ID:2014-Q09-01199, LOCALIDAD:19 CIUDAD BOLÍVAR, UPZ:67 LUCERO, SECTOR:QUEBRADA TROMPETA</v>
          </cell>
          <cell r="R2057">
            <v>2877096</v>
          </cell>
          <cell r="S2057">
            <v>479516</v>
          </cell>
          <cell r="T2057">
            <v>0</v>
          </cell>
          <cell r="U2057">
            <v>2397580</v>
          </cell>
          <cell r="V2057">
            <v>2397580</v>
          </cell>
        </row>
        <row r="2058">
          <cell r="J2058">
            <v>1443</v>
          </cell>
          <cell r="K2058">
            <v>43152</v>
          </cell>
          <cell r="L2058" t="str">
            <v>IDALI  GUZMAN ROCHA</v>
          </cell>
          <cell r="M2058">
            <v>31</v>
          </cell>
          <cell r="N2058" t="str">
            <v>RESOLUCION</v>
          </cell>
          <cell r="O2058">
            <v>1328</v>
          </cell>
          <cell r="P2058">
            <v>43152</v>
          </cell>
          <cell r="Q2058" t="str">
            <v>AYUDA TEMPORAL A LAS FAMILIAS DE VARIAS LOCALIDADES, PARA RELOCALIZACIÓN DE HOGARES LOCALIZADOS EN ZONAS DE ALTO RIESGO NO MITIGABLE ID:2014-Q09-01208, LOCALIDAD:19 CIUDAD BOLÍVAR, UPZ:67 LUCERO, SECTOR:QUEBRADA TROMPETA</v>
          </cell>
          <cell r="R2058">
            <v>2539035</v>
          </cell>
          <cell r="S2058">
            <v>0</v>
          </cell>
          <cell r="T2058">
            <v>0</v>
          </cell>
          <cell r="U2058">
            <v>2539035</v>
          </cell>
          <cell r="V2058">
            <v>1523421</v>
          </cell>
        </row>
        <row r="2059">
          <cell r="J2059">
            <v>1444</v>
          </cell>
          <cell r="K2059">
            <v>43152</v>
          </cell>
          <cell r="L2059" t="str">
            <v>JOSE MONZAIDE MAHECHA GONZALEZ</v>
          </cell>
          <cell r="M2059">
            <v>31</v>
          </cell>
          <cell r="N2059" t="str">
            <v>RESOLUCION</v>
          </cell>
          <cell r="O2059">
            <v>1300</v>
          </cell>
          <cell r="P2059">
            <v>43152</v>
          </cell>
          <cell r="Q2059" t="str">
            <v>AYUDA TEMPORAL A LAS FAMILIAS DE VARIAS LOCALIDADES, PARA RELOCALIZACIÓN DE HOGARES LOCALIZADOS EN ZONAS DE ALTO RIESGO NO MITIGABLE ID:2011-4-12667, LOCALIDAD:04 SAN CRISTÓBAL, UPZ:32 SAN BLAS.</v>
          </cell>
          <cell r="R2059">
            <v>2301678</v>
          </cell>
          <cell r="S2059">
            <v>383613</v>
          </cell>
          <cell r="T2059">
            <v>0</v>
          </cell>
          <cell r="U2059">
            <v>1918065</v>
          </cell>
          <cell r="V2059">
            <v>1918065</v>
          </cell>
        </row>
        <row r="2060">
          <cell r="J2060">
            <v>1445</v>
          </cell>
          <cell r="K2060">
            <v>43152</v>
          </cell>
          <cell r="L2060" t="str">
            <v>GLORIA INES MEJIA VARGAS</v>
          </cell>
          <cell r="M2060">
            <v>31</v>
          </cell>
          <cell r="N2060" t="str">
            <v>RESOLUCION</v>
          </cell>
          <cell r="O2060">
            <v>1301</v>
          </cell>
          <cell r="P2060">
            <v>43152</v>
          </cell>
          <cell r="Q2060" t="str">
            <v>AYUDA TEMPORAL A LAS FAMILIAS DE VARIAS LOCALIDADES, PARA RELOCALIZACIÓN DE HOGARES LOCALIZADOS EN ZONAS DE ALTO RIESGO NO MITIGABLE ID:2012-T314-11, LOCALIDAD:04 SAN CRISTÓBAL, UPZ:50 LA GLORIA.</v>
          </cell>
          <cell r="R2060">
            <v>2590566</v>
          </cell>
          <cell r="S2060">
            <v>431761</v>
          </cell>
          <cell r="T2060">
            <v>0</v>
          </cell>
          <cell r="U2060">
            <v>2158805</v>
          </cell>
          <cell r="V2060">
            <v>2158805</v>
          </cell>
        </row>
        <row r="2061">
          <cell r="J2061">
            <v>1446</v>
          </cell>
          <cell r="K2061">
            <v>43152</v>
          </cell>
          <cell r="L2061" t="str">
            <v>HERMENCIA EMILIA CASTAÑEDA BERNAL</v>
          </cell>
          <cell r="M2061">
            <v>31</v>
          </cell>
          <cell r="N2061" t="str">
            <v>RESOLUCION</v>
          </cell>
          <cell r="O2061">
            <v>1302</v>
          </cell>
          <cell r="P2061">
            <v>43152</v>
          </cell>
          <cell r="Q2061" t="str">
            <v>AYUDA TEMPORAL A LAS FAMILIAS DE VARIAS LOCALIDADES, PARA RELOCALIZACIÓN DE HOGARES LOCALIZADOS EN ZONAS DE ALTO RIESGO NO MITIGABLE ID:2012-19-14070, LOCALIDAD:19 CIUDAD BOLÍVAR, UPZ:68 EL TESORO, SECTOR:QUEBRADA TROMPETA</v>
          </cell>
          <cell r="R2061">
            <v>2892240</v>
          </cell>
          <cell r="S2061">
            <v>482040</v>
          </cell>
          <cell r="T2061">
            <v>0</v>
          </cell>
          <cell r="U2061">
            <v>2410200</v>
          </cell>
          <cell r="V2061">
            <v>2410200</v>
          </cell>
        </row>
        <row r="2062">
          <cell r="J2062">
            <v>1447</v>
          </cell>
          <cell r="K2062">
            <v>43152</v>
          </cell>
          <cell r="L2062" t="str">
            <v>OSWALDO ANTONIO GARCIA GOMEZ</v>
          </cell>
          <cell r="M2062">
            <v>31</v>
          </cell>
          <cell r="N2062" t="str">
            <v>RESOLUCION</v>
          </cell>
          <cell r="O2062">
            <v>1303</v>
          </cell>
          <cell r="P2062">
            <v>43152</v>
          </cell>
          <cell r="Q2062" t="str">
            <v>AYUDA TEMPORAL A LAS FAMILIAS DE VARIAS LOCALIDADES, PARA RELOCALIZACIÓN DE HOGARES LOCALIZADOS EN ZONAS DE ALTO RIESGO NO MITIGABLE ID:2011-4-12691, LOCALIDAD:04 SAN CRISTÓBAL, UPZ:32 SAN BLAS.</v>
          </cell>
          <cell r="R2062">
            <v>3093150</v>
          </cell>
          <cell r="S2062">
            <v>515525</v>
          </cell>
          <cell r="T2062">
            <v>0</v>
          </cell>
          <cell r="U2062">
            <v>2577625</v>
          </cell>
          <cell r="V2062">
            <v>2577625</v>
          </cell>
        </row>
        <row r="2063">
          <cell r="J2063">
            <v>1448</v>
          </cell>
          <cell r="K2063">
            <v>43152</v>
          </cell>
          <cell r="L2063" t="str">
            <v>INGRID YULIET BARRAGAN CARVAJAL</v>
          </cell>
          <cell r="M2063">
            <v>31</v>
          </cell>
          <cell r="N2063" t="str">
            <v>RESOLUCION</v>
          </cell>
          <cell r="O2063">
            <v>1304</v>
          </cell>
          <cell r="P2063">
            <v>43152</v>
          </cell>
          <cell r="Q2063" t="str">
            <v>AYUDA TEMPORAL A LAS FAMILIAS DE VARIAS LOCALIDADES, PARA RELOCALIZACIÓN DE HOGARES LOCALIZADOS EN ZONAS DE ALTO RIESGO NO MITIGABLE ID:2014-LC-00792, LOCALIDAD:19 CIUDAD BOLÍVAR, UPZ:69 ISMAEL PERDOMO.</v>
          </cell>
          <cell r="R2063">
            <v>2439960</v>
          </cell>
          <cell r="S2063">
            <v>406660</v>
          </cell>
          <cell r="T2063">
            <v>0</v>
          </cell>
          <cell r="U2063">
            <v>2033300</v>
          </cell>
          <cell r="V2063">
            <v>2033300</v>
          </cell>
        </row>
        <row r="2064">
          <cell r="J2064">
            <v>1449</v>
          </cell>
          <cell r="K2064">
            <v>43152</v>
          </cell>
          <cell r="L2064" t="str">
            <v>OMAIRA  VANEGAS QUINCHO</v>
          </cell>
          <cell r="M2064">
            <v>31</v>
          </cell>
          <cell r="N2064" t="str">
            <v>RESOLUCION</v>
          </cell>
          <cell r="O2064">
            <v>1329</v>
          </cell>
          <cell r="P2064">
            <v>43152</v>
          </cell>
          <cell r="Q2064" t="str">
            <v>AYUDA TEMPORAL A LAS FAMILIAS DE VARIAS LOCALIDADES, PARA RELOCALIZACIÓN DE HOGARES LOCALIZADOS EN ZONAS DE ALTO RIESGO NO MITIGABLE ID:2013000263, LOCALIDAD:04 SAN CRISTÓBAL, UPZ:51 LOS LIBERTADORES, SECTOR:QUEBRADA VEREJONES</v>
          </cell>
          <cell r="R2064">
            <v>4310000</v>
          </cell>
          <cell r="S2064">
            <v>0</v>
          </cell>
          <cell r="T2064">
            <v>0</v>
          </cell>
          <cell r="U2064">
            <v>4310000</v>
          </cell>
          <cell r="V2064">
            <v>3017000</v>
          </cell>
        </row>
        <row r="2065">
          <cell r="J2065">
            <v>1450</v>
          </cell>
          <cell r="K2065">
            <v>43152</v>
          </cell>
          <cell r="L2065" t="str">
            <v>GLORIA  NIÑO VILLALBA</v>
          </cell>
          <cell r="M2065">
            <v>31</v>
          </cell>
          <cell r="N2065" t="str">
            <v>RESOLUCION</v>
          </cell>
          <cell r="O2065">
            <v>1330</v>
          </cell>
          <cell r="P2065">
            <v>43152</v>
          </cell>
          <cell r="Q2065" t="str">
            <v>AYUDA TEMPORAL A LAS FAMILIAS DE VARIAS LOCALIDADES, PARA RELOCALIZACIÓN DE HOGARES LOCALIZADOS EN ZONAS DE ALTO RIESGO NO MITIGABLE ID:2014-OTR-00897, LOCALIDAD:03 SANTA FE, UPZ:96 LOURDES, SECTOR:CASA 3</v>
          </cell>
          <cell r="R2065">
            <v>2551518</v>
          </cell>
          <cell r="S2065">
            <v>425253</v>
          </cell>
          <cell r="T2065">
            <v>0</v>
          </cell>
          <cell r="U2065">
            <v>2126265</v>
          </cell>
          <cell r="V2065">
            <v>2126265</v>
          </cell>
        </row>
        <row r="2066">
          <cell r="J2066">
            <v>1451</v>
          </cell>
          <cell r="K2066">
            <v>43152</v>
          </cell>
          <cell r="L2066" t="str">
            <v>YAMILE  CESPEDES JIMENEZ</v>
          </cell>
          <cell r="M2066">
            <v>31</v>
          </cell>
          <cell r="N2066" t="str">
            <v>RESOLUCION</v>
          </cell>
          <cell r="O2066">
            <v>1294</v>
          </cell>
          <cell r="P2066">
            <v>43152</v>
          </cell>
          <cell r="Q2066" t="str">
            <v>AYUDA TEMPORAL A LAS FAMILIAS DE VARIAS LOCALIDADES, PARA RELOCALIZACIÓN DE HOGARES LOCALIZADOS EN ZONAS DE ALTO RIESGO NO MITIGABLE ID:2014-OTR-00895, LOCALIDAD:03 SANTA FE, UPZ:96 LOURDES, SECTOR:CASA 3</v>
          </cell>
          <cell r="R2066">
            <v>3014166</v>
          </cell>
          <cell r="S2066">
            <v>502361</v>
          </cell>
          <cell r="T2066">
            <v>0</v>
          </cell>
          <cell r="U2066">
            <v>2511805</v>
          </cell>
          <cell r="V2066">
            <v>2511805</v>
          </cell>
        </row>
        <row r="2067">
          <cell r="J2067">
            <v>1452</v>
          </cell>
          <cell r="K2067">
            <v>43152</v>
          </cell>
          <cell r="L2067" t="str">
            <v>MARIA NIBIA HERNANDEZ MUNEVAR</v>
          </cell>
          <cell r="M2067">
            <v>31</v>
          </cell>
          <cell r="N2067" t="str">
            <v>RESOLUCION</v>
          </cell>
          <cell r="O2067">
            <v>1331</v>
          </cell>
          <cell r="P2067">
            <v>43152</v>
          </cell>
          <cell r="Q2067" t="str">
            <v>AYUDA TEMPORAL A LAS FAMILIAS DE VARIAS LOCALIDADES, PARA RELOCALIZACIÓN DE HOGARES LOCALIZADOS EN ZONAS DE ALTO RIESGO NO MITIGABLE ID:2011-4-12642, LOCALIDAD:04 SAN CRISTÓBAL, UPZ:32 SAN BLAS, SECTOR:</v>
          </cell>
          <cell r="R2067">
            <v>2213148</v>
          </cell>
          <cell r="S2067">
            <v>368858</v>
          </cell>
          <cell r="T2067">
            <v>0</v>
          </cell>
          <cell r="U2067">
            <v>1844290</v>
          </cell>
          <cell r="V2067">
            <v>1844290</v>
          </cell>
        </row>
        <row r="2068">
          <cell r="J2068">
            <v>1453</v>
          </cell>
          <cell r="K2068">
            <v>43152</v>
          </cell>
          <cell r="L2068" t="str">
            <v>MARIA DE LOS ANGELES LOPEZ RUIZ</v>
          </cell>
          <cell r="M2068">
            <v>31</v>
          </cell>
          <cell r="N2068" t="str">
            <v>RESOLUCION</v>
          </cell>
          <cell r="O2068">
            <v>1332</v>
          </cell>
          <cell r="P2068">
            <v>43152</v>
          </cell>
          <cell r="Q2068" t="str">
            <v>AYUDA TEMPORAL A LAS FAMILIAS DE VARIAS LOCALIDADES, PARA RELOCALIZACIÓN DE HOGARES LOCALIZADOS EN ZONAS DE ALTO RIESGO NO MITIGABLE ID:2012-ALES-131, LOCALIDAD:19 CIUDAD BOLÍVAR, UPZ:69 ISMAEL PERDOMO, SECTOR:</v>
          </cell>
          <cell r="R2068">
            <v>3102000</v>
          </cell>
          <cell r="S2068">
            <v>517000</v>
          </cell>
          <cell r="T2068">
            <v>0</v>
          </cell>
          <cell r="U2068">
            <v>2585000</v>
          </cell>
          <cell r="V2068">
            <v>2585000</v>
          </cell>
        </row>
        <row r="2069">
          <cell r="J2069">
            <v>1454</v>
          </cell>
          <cell r="K2069">
            <v>43152</v>
          </cell>
          <cell r="L2069" t="str">
            <v>JOHAN MANUEL TORRES GALINDO</v>
          </cell>
          <cell r="M2069">
            <v>31</v>
          </cell>
          <cell r="N2069" t="str">
            <v>RESOLUCION</v>
          </cell>
          <cell r="O2069">
            <v>1355</v>
          </cell>
          <cell r="P2069">
            <v>43152</v>
          </cell>
          <cell r="Q2069" t="str">
            <v>Asignacion del instrumento financiero a las familias ocupantes del predio que hayan superado la fase de verificacion dentro  del marco del Decreto 457 de 2017. LOCALIDAD: KENNEDY; BARRIO: VEREDITAS; ID: 2018-8-383909</v>
          </cell>
          <cell r="R2069">
            <v>54686940</v>
          </cell>
          <cell r="S2069">
            <v>0</v>
          </cell>
          <cell r="T2069">
            <v>0</v>
          </cell>
          <cell r="U2069">
            <v>54686940</v>
          </cell>
          <cell r="V2069">
            <v>54686940</v>
          </cell>
        </row>
        <row r="2070">
          <cell r="J2070">
            <v>1455</v>
          </cell>
          <cell r="K2070">
            <v>43153</v>
          </cell>
          <cell r="L2070" t="str">
            <v>JUAN CARLOS LOPEZ RODRIGUEZ</v>
          </cell>
          <cell r="M2070">
            <v>31</v>
          </cell>
          <cell r="N2070" t="str">
            <v>RESOLUCION</v>
          </cell>
          <cell r="O2070">
            <v>1357</v>
          </cell>
          <cell r="P2070">
            <v>43153</v>
          </cell>
          <cell r="Q2070" t="str">
            <v>Asignacion del instrumento financiero a las familias ocupantes del predio que hayan superado la fase de verificacion dentro  del marco del Decreto 457 de 2017. LOCALIDAD: KENNEDY; BARRIO: VEREDITAS; ID: 2017-8-383811</v>
          </cell>
          <cell r="R2070">
            <v>54686940</v>
          </cell>
          <cell r="S2070">
            <v>0</v>
          </cell>
          <cell r="T2070">
            <v>0</v>
          </cell>
          <cell r="U2070">
            <v>54686940</v>
          </cell>
          <cell r="V2070">
            <v>54686940</v>
          </cell>
        </row>
        <row r="2071">
          <cell r="J2071">
            <v>1458</v>
          </cell>
          <cell r="K2071">
            <v>43154</v>
          </cell>
          <cell r="L2071" t="str">
            <v>JAIME  TORO VALENCIA</v>
          </cell>
          <cell r="M2071">
            <v>31</v>
          </cell>
          <cell r="N2071" t="str">
            <v>RESOLUCION</v>
          </cell>
          <cell r="O2071">
            <v>1378</v>
          </cell>
          <cell r="P2071">
            <v>43154</v>
          </cell>
          <cell r="Q2071" t="str">
            <v>Asignación de Vur por nuevo avaluo comercial a fin de resolver recurso de reposición (segunda vez).Dto 255 de 2013. LOCALIDAD:CIUDAD BOLIVAR; BARRIO: SAN RAFAEL; ID:2013-Q21-00660</v>
          </cell>
          <cell r="R2071">
            <v>4739060</v>
          </cell>
          <cell r="S2071">
            <v>0</v>
          </cell>
          <cell r="T2071">
            <v>0</v>
          </cell>
          <cell r="U2071">
            <v>4739060</v>
          </cell>
          <cell r="V2071">
            <v>4739060</v>
          </cell>
        </row>
        <row r="2072">
          <cell r="J2072">
            <v>1461</v>
          </cell>
          <cell r="K2072">
            <v>43154</v>
          </cell>
          <cell r="L2072" t="str">
            <v>JEIMY ALEJANDRA RUEDA LEON</v>
          </cell>
          <cell r="M2072">
            <v>31</v>
          </cell>
          <cell r="N2072" t="str">
            <v>RESOLUCION</v>
          </cell>
          <cell r="O2072">
            <v>1356</v>
          </cell>
          <cell r="P2072">
            <v>43154</v>
          </cell>
          <cell r="Q2072" t="str">
            <v>Asignacion del instrumento financiero a las familias ocupantes del predio que hayan superado la fase de verificacion dentro  del marco del Decreto 457 de 2017. LOCALIDAD: KENNEDY; BARRIO: VEREDITAS; ID: 2018-8-383929</v>
          </cell>
          <cell r="R2072">
            <v>54686940</v>
          </cell>
          <cell r="S2072">
            <v>0</v>
          </cell>
          <cell r="T2072">
            <v>0</v>
          </cell>
          <cell r="U2072">
            <v>54686940</v>
          </cell>
          <cell r="V2072">
            <v>54686940</v>
          </cell>
        </row>
        <row r="2073">
          <cell r="J2073">
            <v>1462</v>
          </cell>
          <cell r="K2073">
            <v>43154</v>
          </cell>
          <cell r="L2073" t="str">
            <v>LEYDI ALEXANDRA MESA CORREA</v>
          </cell>
          <cell r="M2073">
            <v>31</v>
          </cell>
          <cell r="N2073" t="str">
            <v>RESOLUCION</v>
          </cell>
          <cell r="O2073">
            <v>1299</v>
          </cell>
          <cell r="P2073">
            <v>43154</v>
          </cell>
          <cell r="Q2073" t="str">
            <v>AYUDA TEMPORAL A LAS FAMILIAS DE VARIAS LOCALIDADES, PARA RELOCALIZACIÓN DE HOGARES LOCALIZADOS EN ZONAS DE ALTO RIESGO NO MITIGABLE ID:2011-4-13344, LOCALIDAD:04 SAN CRISTÓBAL, UPZ:50 LA GLORIA</v>
          </cell>
          <cell r="R2073">
            <v>6296810</v>
          </cell>
          <cell r="S2073">
            <v>0</v>
          </cell>
          <cell r="T2073">
            <v>0</v>
          </cell>
          <cell r="U2073">
            <v>6296810</v>
          </cell>
          <cell r="V2073">
            <v>2906220</v>
          </cell>
        </row>
        <row r="2074">
          <cell r="J2074">
            <v>1463</v>
          </cell>
          <cell r="K2074">
            <v>43154</v>
          </cell>
          <cell r="L2074" t="str">
            <v>MERCEDES  CHAPARRO</v>
          </cell>
          <cell r="M2074">
            <v>31</v>
          </cell>
          <cell r="N2074" t="str">
            <v>RESOLUCION</v>
          </cell>
          <cell r="O2074">
            <v>1381</v>
          </cell>
          <cell r="P2074">
            <v>43154</v>
          </cell>
          <cell r="Q2074" t="str">
            <v>AYUDA TEMPORAL A LAS FAMILIAS DE VARIAS LOCALIDADES, PARA RELOCALIZACIÓN DE HOGARES LOCALIZADOS EN ZONAS DE ALTO RIESGO NO MITIGABLE ID:2013-Q10-00520, LOCALIDAD:04 SAN CRISTÓBAL, UPZ:51 LOS LIBERTADORES, SECTOR:QUEBRADA VEREJONES</v>
          </cell>
          <cell r="R2074">
            <v>2301678</v>
          </cell>
          <cell r="S2074">
            <v>383613</v>
          </cell>
          <cell r="T2074">
            <v>0</v>
          </cell>
          <cell r="U2074">
            <v>1918065</v>
          </cell>
          <cell r="V2074">
            <v>1918065</v>
          </cell>
        </row>
        <row r="2075">
          <cell r="J2075">
            <v>1464</v>
          </cell>
          <cell r="K2075">
            <v>43154</v>
          </cell>
          <cell r="L2075" t="str">
            <v>ANA MARIA JIMENEZ MARTINEZ</v>
          </cell>
          <cell r="M2075">
            <v>31</v>
          </cell>
          <cell r="N2075" t="str">
            <v>RESOLUCION</v>
          </cell>
          <cell r="O2075">
            <v>1376</v>
          </cell>
          <cell r="P2075">
            <v>43154</v>
          </cell>
          <cell r="Q2075" t="str">
            <v>AYUDA TEMPORAL A LAS FAMILIAS DE VARIAS LOCALIDADES, PARA RELOCALIZACIÓN DE HOGARES LOCALIZADOS EN ZONAS DE ALTO RIESGO NO MITIGABLE ID:2013-4-14643, LOCALIDAD:04 SAN CRISTÓBAL, UPZ:32 SAN BLAS</v>
          </cell>
          <cell r="R2075">
            <v>3619000</v>
          </cell>
          <cell r="S2075">
            <v>517000</v>
          </cell>
          <cell r="T2075">
            <v>0</v>
          </cell>
          <cell r="U2075">
            <v>3102000</v>
          </cell>
          <cell r="V2075">
            <v>3102000</v>
          </cell>
        </row>
        <row r="2076">
          <cell r="J2076">
            <v>1465</v>
          </cell>
          <cell r="K2076">
            <v>43154</v>
          </cell>
          <cell r="L2076" t="str">
            <v>JORGE ARNULFO PACANCHIQUE LOPEZ</v>
          </cell>
          <cell r="M2076">
            <v>31</v>
          </cell>
          <cell r="N2076" t="str">
            <v>RESOLUCION</v>
          </cell>
          <cell r="O2076">
            <v>1377</v>
          </cell>
          <cell r="P2076">
            <v>43154</v>
          </cell>
          <cell r="Q2076" t="str">
            <v>AYUDA TEMPORAL A LAS FAMILIAS DE VARIAS LOCALIDADES, PARA RELOCALIZACIÓN DE HOGARES LOCALIZADOS EN ZONAS DE ALTO RIESGO NO MITIGABLE ID:2014-OTR-01155, LOCALIDAD:11 SUBA, UPZ:71 TIBABUYES, SECTOR:GAVILANES</v>
          </cell>
          <cell r="R2076">
            <v>3017000</v>
          </cell>
          <cell r="S2076">
            <v>431000</v>
          </cell>
          <cell r="T2076">
            <v>0</v>
          </cell>
          <cell r="U2076">
            <v>2586000</v>
          </cell>
          <cell r="V2076">
            <v>2586000</v>
          </cell>
        </row>
        <row r="2077">
          <cell r="J2077">
            <v>1469</v>
          </cell>
          <cell r="K2077">
            <v>43154</v>
          </cell>
          <cell r="L2077" t="str">
            <v>BLANCA RUTH NARANJO PATARROYO</v>
          </cell>
          <cell r="M2077">
            <v>31</v>
          </cell>
          <cell r="N2077" t="str">
            <v>RESOLUCION</v>
          </cell>
          <cell r="O2077">
            <v>1380</v>
          </cell>
          <cell r="P2077">
            <v>43154</v>
          </cell>
          <cell r="Q2077" t="str">
            <v>AYUDA TEMPORAL A LAS FAMILIAS DE VARIAS LOCALIDADES, PARA RELOCALIZACIÓN DE HOGARES LOCALIZADOS EN ZONAS DE ALTO RIESGO NO MITIGABLE ID:2014-OTR-00887, LOCALIDAD:03 SANTA FE, UPZ:96 LOURDES, SECTOR:CASA 2</v>
          </cell>
          <cell r="R2077">
            <v>2550450</v>
          </cell>
          <cell r="S2077">
            <v>425075</v>
          </cell>
          <cell r="T2077">
            <v>0</v>
          </cell>
          <cell r="U2077">
            <v>2125375</v>
          </cell>
          <cell r="V2077">
            <v>2125375</v>
          </cell>
        </row>
        <row r="2078">
          <cell r="J2078">
            <v>1470</v>
          </cell>
          <cell r="K2078">
            <v>43158</v>
          </cell>
          <cell r="L2078" t="str">
            <v>AMERICO  CABEZON PIRAZA</v>
          </cell>
          <cell r="M2078">
            <v>31</v>
          </cell>
          <cell r="N2078" t="str">
            <v>RESOLUCION</v>
          </cell>
          <cell r="O2078">
            <v>1391</v>
          </cell>
          <cell r="P2078">
            <v>43158</v>
          </cell>
          <cell r="Q2078" t="str">
            <v>AYUDA TEMPORAL A LAS FAMILIAS DE VARIAS LOCALIDADES, PARA RELOCALIZACIÓN DE HOGARES LOCALIZADOS EN ZONAS DE ALTO RIESGO NO MITIGABLE ID:2014-W166-040, LOCALIDAD:19 CIUDAD BOLÍVAR, UPZ:68 EL TESORO, SECTOR:WOUNAAN</v>
          </cell>
          <cell r="R2078">
            <v>3357900</v>
          </cell>
          <cell r="S2078">
            <v>479700</v>
          </cell>
          <cell r="T2078">
            <v>0</v>
          </cell>
          <cell r="U2078">
            <v>2878200</v>
          </cell>
          <cell r="V2078">
            <v>2878200</v>
          </cell>
        </row>
        <row r="2079">
          <cell r="J2079">
            <v>1471</v>
          </cell>
          <cell r="K2079">
            <v>43158</v>
          </cell>
          <cell r="L2079" t="str">
            <v>RODRIGO  CORREDOR</v>
          </cell>
          <cell r="M2079">
            <v>31</v>
          </cell>
          <cell r="N2079" t="str">
            <v>RESOLUCION</v>
          </cell>
          <cell r="O2079">
            <v>1392</v>
          </cell>
          <cell r="P2079">
            <v>43158</v>
          </cell>
          <cell r="Q2079" t="str">
            <v>AYUDA TEMPORAL A LAS FAMILIAS DE VARIAS LOCALIDADES, PARA RELOCALIZACIÓN DE HOGARES LOCALIZADOS EN ZONAS DE ALTO RIESGO NO MITIGABLE ID:2013-Q09-00577, LOCALIDAD:19 CIUDAD BOLÍVAR, UPZ:67 LUCERO, SECTOR:QUEBRADA TROMPETA</v>
          </cell>
          <cell r="R2079">
            <v>3102000</v>
          </cell>
          <cell r="S2079">
            <v>517000</v>
          </cell>
          <cell r="T2079">
            <v>0</v>
          </cell>
          <cell r="U2079">
            <v>2585000</v>
          </cell>
          <cell r="V2079">
            <v>2585000</v>
          </cell>
        </row>
        <row r="2080">
          <cell r="J2080">
            <v>1472</v>
          </cell>
          <cell r="K2080">
            <v>43158</v>
          </cell>
          <cell r="L2080" t="str">
            <v>NELSON  BERMUDEZ RAMIREZ</v>
          </cell>
          <cell r="M2080">
            <v>31</v>
          </cell>
          <cell r="N2080" t="str">
            <v>RESOLUCION</v>
          </cell>
          <cell r="O2080">
            <v>1394</v>
          </cell>
          <cell r="P2080">
            <v>43158</v>
          </cell>
          <cell r="Q2080" t="str">
            <v>AYUDA TEMPORAL A LAS FAMILIAS DE VARIAS LOCALIDADES, PARA RELOCALIZACIÓN DE HOGARES LOCALIZADOS EN ZONAS DE ALTO RIESGO NO MITIGABLE ID:2011-4-12636, LOCALIDAD:04 SAN CRISTÓBAL, UPZ:32 SAN BLAS</v>
          </cell>
          <cell r="R2080">
            <v>2590566</v>
          </cell>
          <cell r="S2080">
            <v>431761</v>
          </cell>
          <cell r="T2080">
            <v>0</v>
          </cell>
          <cell r="U2080">
            <v>2158805</v>
          </cell>
          <cell r="V2080">
            <v>2158805</v>
          </cell>
        </row>
        <row r="2081">
          <cell r="J2081">
            <v>1473</v>
          </cell>
          <cell r="K2081">
            <v>43159</v>
          </cell>
          <cell r="L2081" t="str">
            <v>LUIS CARLOS COY GUIO</v>
          </cell>
          <cell r="M2081">
            <v>31</v>
          </cell>
          <cell r="N2081" t="str">
            <v>RESOLUCION</v>
          </cell>
          <cell r="O2081">
            <v>1395</v>
          </cell>
          <cell r="P2081">
            <v>43159</v>
          </cell>
          <cell r="Q2081" t="str">
            <v>AYUDA TEMPORAL A LAS FAMILIAS DE VARIAS LOCALIDADES, PARA RELOCALIZACIÓN DE HOGARES LOCALIZADOS EN ZONAS DE ALTO RIESGO NO MITIGABLE ID:2011-4-12631, LOCALIDAD:04 SAN CRISTÓBAL, UPZ:32 SAN BLAS</v>
          </cell>
          <cell r="R2081">
            <v>2281062</v>
          </cell>
          <cell r="S2081">
            <v>380177</v>
          </cell>
          <cell r="T2081">
            <v>0</v>
          </cell>
          <cell r="U2081">
            <v>1900885</v>
          </cell>
          <cell r="V2081">
            <v>1900885</v>
          </cell>
        </row>
        <row r="2082">
          <cell r="J2082">
            <v>1474</v>
          </cell>
          <cell r="K2082">
            <v>43159</v>
          </cell>
          <cell r="L2082" t="str">
            <v>LUZ MARINA ADAN</v>
          </cell>
          <cell r="M2082">
            <v>31</v>
          </cell>
          <cell r="N2082" t="str">
            <v>RESOLUCION</v>
          </cell>
          <cell r="O2082">
            <v>1393</v>
          </cell>
          <cell r="P2082">
            <v>43159</v>
          </cell>
          <cell r="Q2082" t="str">
            <v>AYUDA TEMPORAL A LAS FAMILIAS DE VARIAS LOCALIDADES, PARA RELOCALIZACIÓN DE HOGARES LOCALIZADOS EN ZONAS DE ALTO RIESGO NO MITIGABLE ID:2014-OTR-00869, LOCALIDAD:03 SANTA FE, UPZ:96 LOURDES, SECTOR:CASA 1</v>
          </cell>
          <cell r="R2082">
            <v>2550450</v>
          </cell>
          <cell r="S2082">
            <v>425075</v>
          </cell>
          <cell r="T2082">
            <v>0</v>
          </cell>
          <cell r="U2082">
            <v>2125375</v>
          </cell>
          <cell r="V2082">
            <v>2125375</v>
          </cell>
        </row>
        <row r="2083">
          <cell r="J2083">
            <v>1476</v>
          </cell>
          <cell r="K2083">
            <v>43160</v>
          </cell>
          <cell r="L2083" t="str">
            <v>YENNI MAYERLY GARCIA DIAZ</v>
          </cell>
          <cell r="M2083">
            <v>31</v>
          </cell>
          <cell r="N2083" t="str">
            <v>RESOLUCION</v>
          </cell>
          <cell r="O2083">
            <v>1415</v>
          </cell>
          <cell r="P2083">
            <v>43160</v>
          </cell>
          <cell r="Q2083" t="str">
            <v>Asignacion del instrumento financiero a las familias ocupantes del predio que hayan superado la fase de verificacion dentro  del marco del Decreto 457 de 2017. LOCALIDAD: KENNEDY; BARRIO: VEREDITAS; ID: 2017-8-383848</v>
          </cell>
          <cell r="R2083">
            <v>54686940</v>
          </cell>
          <cell r="S2083">
            <v>0</v>
          </cell>
          <cell r="T2083">
            <v>0</v>
          </cell>
          <cell r="U2083">
            <v>54686940</v>
          </cell>
          <cell r="V2083">
            <v>54686940</v>
          </cell>
        </row>
        <row r="2084">
          <cell r="J2084">
            <v>1477</v>
          </cell>
          <cell r="K2084">
            <v>43160</v>
          </cell>
          <cell r="L2084" t="str">
            <v>YENNY CATERINE ALVAREZ AREVALO</v>
          </cell>
          <cell r="M2084">
            <v>31</v>
          </cell>
          <cell r="N2084" t="str">
            <v>RESOLUCION</v>
          </cell>
          <cell r="O2084">
            <v>1416</v>
          </cell>
          <cell r="P2084">
            <v>43160</v>
          </cell>
          <cell r="Q2084" t="str">
            <v>Asignacion del instrumento financiero a las familias ocupantes del predio que hayan superado la fase de verificacion dentro  del marco del Decreto 457 de 2017. LOCALIDAD: KENNEDY; BARRIO: VEREDITAS; ID: 2017-8-383671</v>
          </cell>
          <cell r="R2084">
            <v>54686940</v>
          </cell>
          <cell r="S2084">
            <v>0</v>
          </cell>
          <cell r="T2084">
            <v>0</v>
          </cell>
          <cell r="U2084">
            <v>54686940</v>
          </cell>
          <cell r="V2084">
            <v>54686940</v>
          </cell>
        </row>
        <row r="2085">
          <cell r="J2085">
            <v>1478</v>
          </cell>
          <cell r="K2085">
            <v>43160</v>
          </cell>
          <cell r="L2085" t="str">
            <v>PAULA ANDREA LONDOÑO LEON</v>
          </cell>
          <cell r="M2085">
            <v>31</v>
          </cell>
          <cell r="N2085" t="str">
            <v>RESOLUCION</v>
          </cell>
          <cell r="O2085">
            <v>1413</v>
          </cell>
          <cell r="P2085">
            <v>43160</v>
          </cell>
          <cell r="Q2085" t="str">
            <v>Asignacion del instrumento financiero a las familias ocupantes del predio que hayan superado la fase de verificacion dentro  del marco del Decreto 457 de 2017. LOCALIDAD: KENNEDY; BARRIO: VEREDITAS; ID: 2018-8-383928.</v>
          </cell>
          <cell r="R2085">
            <v>54686940</v>
          </cell>
          <cell r="S2085">
            <v>0</v>
          </cell>
          <cell r="T2085">
            <v>0</v>
          </cell>
          <cell r="U2085">
            <v>54686940</v>
          </cell>
          <cell r="V2085">
            <v>54686940</v>
          </cell>
        </row>
        <row r="2086">
          <cell r="J2086">
            <v>1479</v>
          </cell>
          <cell r="K2086">
            <v>43160</v>
          </cell>
          <cell r="L2086" t="str">
            <v>ANGELICA MARIA MONSALVE MALAGON</v>
          </cell>
          <cell r="M2086">
            <v>31</v>
          </cell>
          <cell r="N2086" t="str">
            <v>RESOLUCION</v>
          </cell>
          <cell r="O2086">
            <v>1417</v>
          </cell>
          <cell r="P2086">
            <v>43160</v>
          </cell>
          <cell r="Q2086" t="str">
            <v>Asignacion del instrumento financiero a las familias ocupantes del predio que hayan superado la fase de verificacion dentro  del marco del Decreto 457 de 2017. LOCALIDAD: KENNEDY; BARRIO: VEREDITAS; ID: 2017-8-383758</v>
          </cell>
          <cell r="R2086">
            <v>54686940</v>
          </cell>
          <cell r="S2086">
            <v>0</v>
          </cell>
          <cell r="T2086">
            <v>0</v>
          </cell>
          <cell r="U2086">
            <v>54686940</v>
          </cell>
          <cell r="V2086">
            <v>54686940</v>
          </cell>
        </row>
        <row r="2087">
          <cell r="J2087">
            <v>1480</v>
          </cell>
          <cell r="K2087">
            <v>43160</v>
          </cell>
          <cell r="L2087" t="str">
            <v>CAROLINA  RAMIREZ PEÑA</v>
          </cell>
          <cell r="M2087">
            <v>31</v>
          </cell>
          <cell r="N2087" t="str">
            <v>RESOLUCION</v>
          </cell>
          <cell r="O2087">
            <v>1414</v>
          </cell>
          <cell r="P2087">
            <v>43160</v>
          </cell>
          <cell r="Q2087" t="str">
            <v>Asignacion del instrumento financiero a las familias ocupantes del predio que hayan superado la fase de verificacion dentro  del marco del Decreto 457 de 2017. LOCALIDAD: KENNEDY; BARRIO: VEREDITAS; ID: 2018-8-383925</v>
          </cell>
          <cell r="R2087">
            <v>54686940</v>
          </cell>
          <cell r="S2087">
            <v>0</v>
          </cell>
          <cell r="T2087">
            <v>0</v>
          </cell>
          <cell r="U2087">
            <v>54686940</v>
          </cell>
          <cell r="V2087">
            <v>54686940</v>
          </cell>
        </row>
        <row r="2088">
          <cell r="J2088">
            <v>1481</v>
          </cell>
          <cell r="K2088">
            <v>43160</v>
          </cell>
          <cell r="L2088" t="str">
            <v>WILLIAM  GALINDO CASTEBLANCO</v>
          </cell>
          <cell r="M2088">
            <v>31</v>
          </cell>
          <cell r="N2088" t="str">
            <v>RESOLUCION</v>
          </cell>
          <cell r="O2088">
            <v>1418</v>
          </cell>
          <cell r="P2088">
            <v>43160</v>
          </cell>
          <cell r="Q2088" t="str">
            <v>Asignacion del instrumento financiero a las familias ocupantes del predio que hayan superado la fase de verificacion dentro  del marco del Decreto 457 de 2017. LOCALIDAD: KENNEDY; BARRIO: VEREDITAS; ID: 2018-8-383927</v>
          </cell>
          <cell r="R2088">
            <v>54686940</v>
          </cell>
          <cell r="S2088">
            <v>0</v>
          </cell>
          <cell r="T2088">
            <v>0</v>
          </cell>
          <cell r="U2088">
            <v>54686940</v>
          </cell>
          <cell r="V2088">
            <v>54686940</v>
          </cell>
        </row>
        <row r="2089">
          <cell r="J2089">
            <v>1482</v>
          </cell>
          <cell r="K2089">
            <v>43160</v>
          </cell>
          <cell r="L2089" t="str">
            <v>ANA MARIA GOMEZ RAMIREZ</v>
          </cell>
          <cell r="M2089">
            <v>31</v>
          </cell>
          <cell r="N2089" t="str">
            <v>RESOLUCION</v>
          </cell>
          <cell r="O2089">
            <v>1462</v>
          </cell>
          <cell r="P2089">
            <v>43160</v>
          </cell>
          <cell r="Q2089" t="str">
            <v>Asignacion del instrumento financiero a las familias ocupantes del predio que hayan superado la fase de verificacion dentro  del marco del Decreto 457 de 2017. LOCALIDAD: KENNEDY; BARRIO: VEREDITAS; ID: 2017-8-383601</v>
          </cell>
          <cell r="R2089">
            <v>54686940</v>
          </cell>
          <cell r="S2089">
            <v>0</v>
          </cell>
          <cell r="T2089">
            <v>0</v>
          </cell>
          <cell r="U2089">
            <v>54686940</v>
          </cell>
          <cell r="V2089">
            <v>54686940</v>
          </cell>
        </row>
        <row r="2090">
          <cell r="J2090">
            <v>1483</v>
          </cell>
          <cell r="K2090">
            <v>43160</v>
          </cell>
          <cell r="L2090" t="str">
            <v>IVAN RIVERA CESPEDES</v>
          </cell>
          <cell r="M2090">
            <v>31</v>
          </cell>
          <cell r="N2090" t="str">
            <v>RESOLUCION</v>
          </cell>
          <cell r="O2090">
            <v>1461</v>
          </cell>
          <cell r="P2090">
            <v>43160</v>
          </cell>
          <cell r="Q2090" t="str">
            <v>Asignacion del instrumento financiero a las familias ocupantes del predio que hayan superado la fase de verificacion dentro  del marco del Decreto 457 de 2017. LOCALIDAD: KENNEDY; BARRIO: VEREDITAS; ID: 2018-8-383919</v>
          </cell>
          <cell r="R2090">
            <v>54686940</v>
          </cell>
          <cell r="S2090">
            <v>0</v>
          </cell>
          <cell r="T2090">
            <v>0</v>
          </cell>
          <cell r="U2090">
            <v>54686940</v>
          </cell>
          <cell r="V2090">
            <v>54686940</v>
          </cell>
        </row>
        <row r="2091">
          <cell r="J2091">
            <v>1485</v>
          </cell>
          <cell r="K2091">
            <v>43160</v>
          </cell>
          <cell r="L2091" t="str">
            <v>PAOLA ANDREA GOMEZ RAMIREZ</v>
          </cell>
          <cell r="M2091">
            <v>31</v>
          </cell>
          <cell r="N2091" t="str">
            <v>RESOLUCION</v>
          </cell>
          <cell r="O2091">
            <v>1460</v>
          </cell>
          <cell r="P2091">
            <v>43160</v>
          </cell>
          <cell r="Q2091" t="str">
            <v>Asignacion del instrumento financiero a las familias ocupantes del predio que hayan superado la fase de verificacion dentro  del marco del Decreto 457 de 2017. LOCALIDAD: KENNEDY; BARRIO: VEREDITAS; ID: 2018-8-383918</v>
          </cell>
          <cell r="R2091">
            <v>54686940</v>
          </cell>
          <cell r="S2091">
            <v>0</v>
          </cell>
          <cell r="T2091">
            <v>0</v>
          </cell>
          <cell r="U2091">
            <v>54686940</v>
          </cell>
          <cell r="V2091">
            <v>54686940</v>
          </cell>
        </row>
        <row r="2092">
          <cell r="J2092">
            <v>1486</v>
          </cell>
          <cell r="K2092">
            <v>43161</v>
          </cell>
          <cell r="L2092" t="str">
            <v>LUZ MARINA MESA MOLINA</v>
          </cell>
          <cell r="M2092">
            <v>31</v>
          </cell>
          <cell r="N2092" t="str">
            <v>RESOLUCION</v>
          </cell>
          <cell r="O2092">
            <v>1436</v>
          </cell>
          <cell r="P2092">
            <v>43161</v>
          </cell>
          <cell r="Q2092" t="str">
            <v>AYUDA TEMPORAL A LAS FAMILIAS DE VARIAS LOCALIDADES, PARA LA RELOCALIZACIÓN DE HOGARES LOCALIZADOS EN ZONAS DE ALTO RIESGO NO MITIGABLE ID:2007-4-10615, LOCALIDAD:04 SAN CRISTÓBAL, UPZ:34 20 DE JULIO</v>
          </cell>
          <cell r="R2092">
            <v>3201695</v>
          </cell>
          <cell r="S2092">
            <v>457385</v>
          </cell>
          <cell r="T2092">
            <v>0</v>
          </cell>
          <cell r="U2092">
            <v>2744310</v>
          </cell>
          <cell r="V2092">
            <v>2744310</v>
          </cell>
        </row>
        <row r="2093">
          <cell r="J2093">
            <v>1487</v>
          </cell>
          <cell r="K2093">
            <v>43161</v>
          </cell>
          <cell r="L2093" t="str">
            <v>AIDA LILA MENDIVELSO ALAPE</v>
          </cell>
          <cell r="M2093">
            <v>31</v>
          </cell>
          <cell r="N2093" t="str">
            <v>RESOLUCION</v>
          </cell>
          <cell r="O2093">
            <v>1437</v>
          </cell>
          <cell r="P2093">
            <v>43161</v>
          </cell>
          <cell r="Q2093" t="str">
            <v>AYUDA TEMPORAL A LAS FAMILIAS DE VARIAS LOCALIDADES, PARA LA RELOCALIZACIÓN DE HOGARES LOCALIZADOS EN ZONAS DE ALTO RIESGO NO MITIGABLE ID:2013-4-14655, LOCALIDAD:04 SAN CRISTÓBAL, UPZ:32 SAN BLAS</v>
          </cell>
          <cell r="R2093">
            <v>4101524</v>
          </cell>
          <cell r="S2093">
            <v>0</v>
          </cell>
          <cell r="T2093">
            <v>0</v>
          </cell>
          <cell r="U2093">
            <v>4101524</v>
          </cell>
          <cell r="V2093">
            <v>3515592</v>
          </cell>
        </row>
        <row r="2094">
          <cell r="J2094">
            <v>1488</v>
          </cell>
          <cell r="K2094">
            <v>43161</v>
          </cell>
          <cell r="L2094" t="str">
            <v>RITA  GONZALEZ</v>
          </cell>
          <cell r="M2094">
            <v>31</v>
          </cell>
          <cell r="N2094" t="str">
            <v>RESOLUCION</v>
          </cell>
          <cell r="O2094">
            <v>1438</v>
          </cell>
          <cell r="P2094">
            <v>43161</v>
          </cell>
          <cell r="Q2094" t="str">
            <v>AYUDA TEMPORAL A LAS FAMILIAS DE VARIAS LOCALIDADES, PARA LA RELOCALIZACIÓN DE HOGARES LOCALIZADOS EN ZONAS DE ALTO RIESGO NO MITIGABLE ID:2012-19-13843, LOCALIDAD:19 CIUDAD BOLÍVAR, UPZ:67 LUCERO</v>
          </cell>
          <cell r="R2094">
            <v>3712284</v>
          </cell>
          <cell r="S2094">
            <v>0</v>
          </cell>
          <cell r="T2094">
            <v>0</v>
          </cell>
          <cell r="U2094">
            <v>3712284</v>
          </cell>
          <cell r="V2094">
            <v>2474856</v>
          </cell>
        </row>
        <row r="2095">
          <cell r="J2095">
            <v>1489</v>
          </cell>
          <cell r="K2095">
            <v>43161</v>
          </cell>
          <cell r="L2095" t="str">
            <v>DIANA MARCELA HOYOS</v>
          </cell>
          <cell r="M2095">
            <v>31</v>
          </cell>
          <cell r="N2095" t="str">
            <v>RESOLUCION</v>
          </cell>
          <cell r="O2095">
            <v>1439</v>
          </cell>
          <cell r="P2095">
            <v>43161</v>
          </cell>
          <cell r="Q2095" t="str">
            <v>AYUDA TEMPORAL A LAS FAMILIAS DE VARIAS LOCALIDADES, PARA LA RELOCALIZACIÓN DE HOGARES LOCALIZADOS EN ZONAS DE ALTO RIESGO NO MITIGABLE ID:2015-Q03-01243, LOCALIDAD:19 CIUDAD BOLÍVAR, UPZ:66 SAN FRANCISCO, SECTOR:LIMAS</v>
          </cell>
          <cell r="R2095">
            <v>4296831</v>
          </cell>
          <cell r="S2095">
            <v>0</v>
          </cell>
          <cell r="T2095">
            <v>0</v>
          </cell>
          <cell r="U2095">
            <v>4296831</v>
          </cell>
          <cell r="V2095">
            <v>1953105</v>
          </cell>
        </row>
        <row r="2096">
          <cell r="J2096">
            <v>1490</v>
          </cell>
          <cell r="K2096">
            <v>43161</v>
          </cell>
          <cell r="L2096" t="str">
            <v>JUAN CARLOS DUEÑAS HERNANDEZ</v>
          </cell>
          <cell r="M2096">
            <v>31</v>
          </cell>
          <cell r="N2096" t="str">
            <v>RESOLUCION</v>
          </cell>
          <cell r="O2096">
            <v>1440</v>
          </cell>
          <cell r="P2096">
            <v>43161</v>
          </cell>
          <cell r="Q2096" t="str">
            <v>AYUDA TEMPORAL A LAS FAMILIAS DE VARIAS LOCALIDADES, PARA LA RELOCALIZACIÓN DE HOGARES LOCALIZADOS EN ZONAS DE ALTO RIESGO NO MITIGABLE ID:2012-19-13977, LOCALIDAD:19 CIUDAD BOLÍVAR, UPZ:68 EL TESORO</v>
          </cell>
          <cell r="R2096">
            <v>3098410</v>
          </cell>
          <cell r="S2096">
            <v>442630</v>
          </cell>
          <cell r="T2096">
            <v>0</v>
          </cell>
          <cell r="U2096">
            <v>2655780</v>
          </cell>
          <cell r="V2096">
            <v>2655780</v>
          </cell>
        </row>
        <row r="2097">
          <cell r="J2097">
            <v>1491</v>
          </cell>
          <cell r="K2097">
            <v>43161</v>
          </cell>
          <cell r="L2097" t="str">
            <v>PATRICIA  MALAGON RINCON</v>
          </cell>
          <cell r="M2097">
            <v>31</v>
          </cell>
          <cell r="N2097" t="str">
            <v>RESOLUCION</v>
          </cell>
          <cell r="O2097">
            <v>1441</v>
          </cell>
          <cell r="P2097">
            <v>43161</v>
          </cell>
          <cell r="Q2097" t="str">
            <v>AYUDA TEMPORAL A LAS FAMILIAS DE VARIAS LOCALIDADES, PARA LA RELOCALIZACIÓN DE HOGARES LOCALIZADOS EN ZONAS DE ALTO RIESGO NO MITIGABLE ID:2016-08-14840, LOCALIDAD:08 KENNEDY, UPZ:82 PATIO BONITO, SECTOR:PALMITAS</v>
          </cell>
          <cell r="R2097">
            <v>3098410</v>
          </cell>
          <cell r="S2097">
            <v>442630</v>
          </cell>
          <cell r="T2097">
            <v>0</v>
          </cell>
          <cell r="U2097">
            <v>2655780</v>
          </cell>
          <cell r="V2097">
            <v>2655780</v>
          </cell>
        </row>
        <row r="2098">
          <cell r="J2098">
            <v>1492</v>
          </cell>
          <cell r="K2098">
            <v>43161</v>
          </cell>
          <cell r="L2098" t="str">
            <v>NELLY FRANCISCA VALENCIA MEJIA</v>
          </cell>
          <cell r="M2098">
            <v>31</v>
          </cell>
          <cell r="N2098" t="str">
            <v>RESOLUCION</v>
          </cell>
          <cell r="O2098">
            <v>1442</v>
          </cell>
          <cell r="P2098">
            <v>43161</v>
          </cell>
          <cell r="Q2098" t="str">
            <v>AYUDA TEMPORAL A LAS FAMILIAS DE VARIAS LOCALIDADES, PARA LA RELOCALIZACIÓN DE HOGARES LOCALIZADOS EN ZONAS DE ALTO RIESGO NO MITIGABLE ID:2015-W166-212, LOCALIDAD:04 SAN CRISTÓBAL, UPZ:33 SOSIEGO, SECTOR:EPERARA</v>
          </cell>
          <cell r="R2098">
            <v>5532880</v>
          </cell>
          <cell r="S2098">
            <v>0</v>
          </cell>
          <cell r="T2098">
            <v>0</v>
          </cell>
          <cell r="U2098">
            <v>5532880</v>
          </cell>
          <cell r="V2098">
            <v>2766440</v>
          </cell>
        </row>
        <row r="2099">
          <cell r="J2099">
            <v>1493</v>
          </cell>
          <cell r="K2099">
            <v>43161</v>
          </cell>
          <cell r="L2099" t="str">
            <v>YONELY  MERCAZA BURGARA</v>
          </cell>
          <cell r="M2099">
            <v>31</v>
          </cell>
          <cell r="N2099" t="str">
            <v>RESOLUCION</v>
          </cell>
          <cell r="O2099">
            <v>1443</v>
          </cell>
          <cell r="P2099">
            <v>43161</v>
          </cell>
          <cell r="Q2099" t="str">
            <v>AYUDA TEMPORAL A LAS FAMILIAS DE VARIAS LOCALIDADES, PARA LA RELOCALIZACIÓN DE HOGARES LOCALIZADOS EN ZONAS DE ALTO RIESGO NO MITIGABLE ID:2015-W166-419, LOCALIDAD:19 CIUDAD BOLÍVAR, UPZ:67 LUCERO, SECTOR:WOUNAAN</v>
          </cell>
          <cell r="R2099">
            <v>5947019</v>
          </cell>
          <cell r="S2099">
            <v>0</v>
          </cell>
          <cell r="T2099">
            <v>0</v>
          </cell>
          <cell r="U2099">
            <v>5947019</v>
          </cell>
          <cell r="V2099">
            <v>2744778</v>
          </cell>
        </row>
        <row r="2100">
          <cell r="J2100">
            <v>1494</v>
          </cell>
          <cell r="K2100">
            <v>43161</v>
          </cell>
          <cell r="L2100" t="str">
            <v>MARIA FAY CASTAÑEDA MONTEALEGRE</v>
          </cell>
          <cell r="M2100">
            <v>31</v>
          </cell>
          <cell r="N2100" t="str">
            <v>RESOLUCION</v>
          </cell>
          <cell r="O2100">
            <v>1435</v>
          </cell>
          <cell r="P2100">
            <v>43161</v>
          </cell>
          <cell r="Q2100" t="str">
            <v>AYUDA TEMPORAL A LAS FAMILIAS DE VARIAS LOCALIDADES, PARA LA RELOCALIZACIÓN DE HOGARES LOCALIZADOS EN ZONAS DE ALTO RIESGO NO MITIGABLE ID:2015-Q23-01502, LOCALIDAD:19 CIUDAD BOLÍVAR, UPZ:67 LUCERO, SECTOR:PIEDRA DEL MUERTO / PIEDRA DEL ANGEL</v>
          </cell>
          <cell r="R2100">
            <v>4640581</v>
          </cell>
          <cell r="S2100">
            <v>0</v>
          </cell>
          <cell r="T2100">
            <v>0</v>
          </cell>
          <cell r="U2100">
            <v>4640581</v>
          </cell>
          <cell r="V2100">
            <v>2531226</v>
          </cell>
        </row>
        <row r="2101">
          <cell r="J2101">
            <v>1495</v>
          </cell>
          <cell r="K2101">
            <v>43161</v>
          </cell>
          <cell r="L2101" t="str">
            <v>KAREN JULIETH MORA REY</v>
          </cell>
          <cell r="M2101">
            <v>31</v>
          </cell>
          <cell r="N2101" t="str">
            <v>RESOLUCION</v>
          </cell>
          <cell r="O2101">
            <v>1427</v>
          </cell>
          <cell r="P2101">
            <v>43161</v>
          </cell>
          <cell r="Q2101" t="str">
            <v>AYUDA TEMPORAL A LAS FAMILIAS DE VARIAS LOCALIDADES, PARA LA RELOCALIZACIÓN DE HOGARES LOCALIZADOS EN ZONAS DE ALTO RIESGO NO MITIGABLE ID:2015-W166-412, LOCALIDAD:03 SANTA FE, UPZ:95 LAS CRUCES, SECTOR:UITOTO</v>
          </cell>
          <cell r="R2101">
            <v>4890237</v>
          </cell>
          <cell r="S2101">
            <v>0</v>
          </cell>
          <cell r="T2101">
            <v>0</v>
          </cell>
          <cell r="U2101">
            <v>4890237</v>
          </cell>
          <cell r="V2101">
            <v>2222835</v>
          </cell>
        </row>
        <row r="2102">
          <cell r="J2102">
            <v>1496</v>
          </cell>
          <cell r="K2102">
            <v>43161</v>
          </cell>
          <cell r="L2102" t="str">
            <v>EUTIMIO  CHAPARRO HUERFANO</v>
          </cell>
          <cell r="M2102">
            <v>31</v>
          </cell>
          <cell r="N2102" t="str">
            <v>RESOLUCION</v>
          </cell>
          <cell r="O2102">
            <v>1463</v>
          </cell>
          <cell r="P2102">
            <v>43161</v>
          </cell>
          <cell r="Q2102" t="str">
            <v>ASIGNACIÓN DE VUR CONFORME AL AVALÚO COMERCIAL (ASIGNACIÓN PRIMERA VEZ).DTO. 255 DE 2013. LOCALIDAD: USAQUEN; BARRIO: ARAUQUITA; ID: 2009-1-11282</v>
          </cell>
          <cell r="R2102">
            <v>420100300</v>
          </cell>
          <cell r="S2102">
            <v>0</v>
          </cell>
          <cell r="T2102">
            <v>0</v>
          </cell>
          <cell r="U2102">
            <v>420100300</v>
          </cell>
          <cell r="V2102">
            <v>420100300</v>
          </cell>
        </row>
        <row r="2103">
          <cell r="J2103">
            <v>1497</v>
          </cell>
          <cell r="K2103">
            <v>43161</v>
          </cell>
          <cell r="L2103" t="str">
            <v>LUZ MARY GUZMAN DIAZ</v>
          </cell>
          <cell r="M2103">
            <v>31</v>
          </cell>
          <cell r="N2103" t="str">
            <v>RESOLUCION</v>
          </cell>
          <cell r="O2103">
            <v>1428</v>
          </cell>
          <cell r="P2103">
            <v>43161</v>
          </cell>
          <cell r="Q2103" t="str">
            <v>AYUDA TEMPORAL A LAS FAMILIAS DE VARIAS LOCALIDADES, PARA LA RELOCALIZACIÓN DE HOGARES LOCALIZADOS EN ZONAS DE ALTO RIESGO NO MITIGABLE ID:2015-OTR-01536, LOCALIDAD:18 RAFAEL URIBE URIBE, UPZ:55 DIANA TURBAY, SECTOR:CERROS DE ORIENTE</v>
          </cell>
          <cell r="R2103">
            <v>2255225</v>
          </cell>
          <cell r="S2103">
            <v>451045</v>
          </cell>
          <cell r="T2103">
            <v>0</v>
          </cell>
          <cell r="U2103">
            <v>1804180</v>
          </cell>
          <cell r="V2103">
            <v>1804180</v>
          </cell>
        </row>
        <row r="2104">
          <cell r="J2104">
            <v>1498</v>
          </cell>
          <cell r="K2104">
            <v>43161</v>
          </cell>
          <cell r="L2104" t="str">
            <v>BLANCA AURORA LOZANO ROZO</v>
          </cell>
          <cell r="M2104">
            <v>31</v>
          </cell>
          <cell r="N2104" t="str">
            <v>RESOLUCION</v>
          </cell>
          <cell r="O2104">
            <v>1429</v>
          </cell>
          <cell r="P2104">
            <v>43161</v>
          </cell>
          <cell r="Q2104" t="str">
            <v>AYUDA TEMPORAL A LAS FAMILIAS DE VARIAS LOCALIDADES, PARA LA RELOCALIZACIÓN DE HOGARES LOCALIZADOS EN ZONAS DE ALTO RIESGO NO MITIGABLE ID:2015-3-14761, LOCALIDAD:03 SANTA FE, UPZ:96 LOURDES</v>
          </cell>
          <cell r="R2104">
            <v>4759785</v>
          </cell>
          <cell r="S2104">
            <v>0</v>
          </cell>
          <cell r="T2104">
            <v>0</v>
          </cell>
          <cell r="U2104">
            <v>4759785</v>
          </cell>
          <cell r="V2104">
            <v>3173190</v>
          </cell>
        </row>
        <row r="2105">
          <cell r="J2105">
            <v>1499</v>
          </cell>
          <cell r="K2105">
            <v>43161</v>
          </cell>
          <cell r="L2105" t="str">
            <v>MARIA INES SALAMANCA ROJAS</v>
          </cell>
          <cell r="M2105">
            <v>31</v>
          </cell>
          <cell r="N2105" t="str">
            <v>RESOLUCION</v>
          </cell>
          <cell r="O2105">
            <v>1430</v>
          </cell>
          <cell r="P2105">
            <v>43161</v>
          </cell>
          <cell r="Q2105" t="str">
            <v>AYUDA TEMPORAL A LAS FAMILIAS DE VARIAS LOCALIDADES, PARA LA RELOCALIZACIÓN DE HOGARES LOCALIZADOS EN ZONAS DE ALTO RIESGO NO MITIGABLE ID:2015-Q09-01473, LOCALIDAD:19 CIUDAD BOLÍVAR, UPZ:67 LUCERO, SECTOR:QUEBRADA TROMPETA</v>
          </cell>
          <cell r="R2105">
            <v>4749371</v>
          </cell>
          <cell r="S2105">
            <v>0</v>
          </cell>
          <cell r="T2105">
            <v>0</v>
          </cell>
          <cell r="U2105">
            <v>4749371</v>
          </cell>
          <cell r="V2105">
            <v>2590566</v>
          </cell>
        </row>
        <row r="2106">
          <cell r="J2106">
            <v>1500</v>
          </cell>
          <cell r="K2106">
            <v>43161</v>
          </cell>
          <cell r="L2106" t="str">
            <v>YENNY ROCIO MOTTA BERNAL</v>
          </cell>
          <cell r="M2106">
            <v>31</v>
          </cell>
          <cell r="N2106" t="str">
            <v>RESOLUCION</v>
          </cell>
          <cell r="O2106">
            <v>1419</v>
          </cell>
          <cell r="P2106">
            <v>43161</v>
          </cell>
          <cell r="Q2106" t="str">
            <v>AYUDA TEMPORAL A LAS FAMILIAS DE VARIAS LOCALIDADES, PARA LA RELOCALIZACIÓN DE HOGARES LOCALIZADOS EN ZONAS DE ALTO RIESGO NO MITIGABLE ID:2012-4-14497, LOCALIDAD:04 SAN CRISTÓBAL, UPZ:32 SAN BLAS</v>
          </cell>
          <cell r="R2106">
            <v>5078073</v>
          </cell>
          <cell r="S2106">
            <v>0</v>
          </cell>
          <cell r="T2106">
            <v>0</v>
          </cell>
          <cell r="U2106">
            <v>5078073</v>
          </cell>
          <cell r="V2106">
            <v>3124968</v>
          </cell>
        </row>
        <row r="2107">
          <cell r="J2107">
            <v>1501</v>
          </cell>
          <cell r="K2107">
            <v>43161</v>
          </cell>
          <cell r="L2107" t="str">
            <v>ROSA MARIA ROMERO SARMIENTO</v>
          </cell>
          <cell r="M2107">
            <v>31</v>
          </cell>
          <cell r="N2107" t="str">
            <v>RESOLUCION</v>
          </cell>
          <cell r="O2107">
            <v>1444</v>
          </cell>
          <cell r="P2107">
            <v>43161</v>
          </cell>
          <cell r="Q2107" t="str">
            <v>AYUDA TEMPORAL A LAS FAMILIAS DE VARIAS LOCALIDADES, PARA LA RELOCALIZACIÓN DE HOGARES LOCALIZADOS EN ZONAS DE ALTO RIESGO NO MITIGABLE ID:2015-Q24-01534, LOCALIDAD:03 SANTA FE, UPZ:96 LOURDES, SECTOR:SAN BRUNO</v>
          </cell>
          <cell r="R2107">
            <v>4453080</v>
          </cell>
          <cell r="S2107">
            <v>0</v>
          </cell>
          <cell r="T2107">
            <v>0</v>
          </cell>
          <cell r="U2107">
            <v>4453080</v>
          </cell>
          <cell r="V2107">
            <v>2671848</v>
          </cell>
        </row>
        <row r="2108">
          <cell r="J2108">
            <v>1502</v>
          </cell>
          <cell r="K2108">
            <v>43161</v>
          </cell>
          <cell r="L2108" t="str">
            <v>YUDY JENNIFER PABON VEGA</v>
          </cell>
          <cell r="M2108">
            <v>31</v>
          </cell>
          <cell r="N2108" t="str">
            <v>RESOLUCION</v>
          </cell>
          <cell r="O2108">
            <v>1431</v>
          </cell>
          <cell r="P2108">
            <v>43161</v>
          </cell>
          <cell r="Q2108" t="str">
            <v>AYUDA TEMPORAL A LAS FAMILIAS DE VARIAS LOCALIDADES, PARA LA RELOCALIZACIÓN DE HOGARES LOCALIZADOS EN ZONAS DE ALTO RIESGO NO MITIGABLE ID:2011-3-13137, LOCALIDAD:03 SANTA FE, UPZ:96 LOURDES</v>
          </cell>
          <cell r="R2108">
            <v>6499935</v>
          </cell>
          <cell r="S2108">
            <v>0</v>
          </cell>
          <cell r="T2108">
            <v>0</v>
          </cell>
          <cell r="U2108">
            <v>6499935</v>
          </cell>
          <cell r="V2108">
            <v>2999970</v>
          </cell>
        </row>
        <row r="2109">
          <cell r="J2109">
            <v>1503</v>
          </cell>
          <cell r="K2109">
            <v>43161</v>
          </cell>
          <cell r="L2109" t="str">
            <v>GERMAN  RUBIO MORENO</v>
          </cell>
          <cell r="M2109">
            <v>31</v>
          </cell>
          <cell r="N2109" t="str">
            <v>RESOLUCION</v>
          </cell>
          <cell r="O2109">
            <v>1420</v>
          </cell>
          <cell r="P2109">
            <v>43161</v>
          </cell>
          <cell r="Q2109" t="str">
            <v>AYUDA TEMPORAL A LAS FAMILIAS DE VARIAS LOCALIDADES, PARA LA RELOCALIZACIÓN DE HOGARES LOCALIZADOS EN ZONAS DE ALTO RIESGO NO MITIGABLE ID:2011-19-13761, LOCALIDAD:19 CIUDAD BOLÍVAR, UPZ:67 LUCERO</v>
          </cell>
          <cell r="R2109">
            <v>4296831</v>
          </cell>
          <cell r="S2109">
            <v>0</v>
          </cell>
          <cell r="T2109">
            <v>0</v>
          </cell>
          <cell r="U2109">
            <v>4296831</v>
          </cell>
          <cell r="V2109">
            <v>2343726</v>
          </cell>
        </row>
        <row r="2110">
          <cell r="J2110">
            <v>1504</v>
          </cell>
          <cell r="K2110">
            <v>43161</v>
          </cell>
          <cell r="L2110" t="str">
            <v>JOSE  GUISA NARANJO</v>
          </cell>
          <cell r="M2110">
            <v>31</v>
          </cell>
          <cell r="N2110" t="str">
            <v>RESOLUCION</v>
          </cell>
          <cell r="O2110">
            <v>1445</v>
          </cell>
          <cell r="P2110">
            <v>43161</v>
          </cell>
          <cell r="Q2110" t="str">
            <v>AYUDA TEMPORAL A LAS FAMILIAS DE VARIAS LOCALIDADES, PARA LA RELOCALIZACIÓN DE HOGARES LOCALIZADOS EN ZONAS DE ALTO RIESGO NO MITIGABLE ID:2012-18-14374, LOCALIDAD:18 RAFAEL URIBE URIBE, UPZ:55 DIANA TURBAY</v>
          </cell>
          <cell r="R2110">
            <v>2531226</v>
          </cell>
          <cell r="S2110">
            <v>0</v>
          </cell>
          <cell r="T2110">
            <v>0</v>
          </cell>
          <cell r="U2110">
            <v>2531226</v>
          </cell>
          <cell r="V2110">
            <v>2109355</v>
          </cell>
        </row>
        <row r="2111">
          <cell r="J2111">
            <v>1505</v>
          </cell>
          <cell r="K2111">
            <v>43161</v>
          </cell>
          <cell r="L2111" t="str">
            <v>SIERVO ANTONIO ALBARRACIN ALBARRACIN</v>
          </cell>
          <cell r="M2111">
            <v>31</v>
          </cell>
          <cell r="N2111" t="str">
            <v>RESOLUCION</v>
          </cell>
          <cell r="O2111">
            <v>1447</v>
          </cell>
          <cell r="P2111">
            <v>43161</v>
          </cell>
          <cell r="Q2111" t="str">
            <v>AYUDA TEMPORAL A LAS FAMILIAS DE VARIAS LOCALIDADES, PARA LA RELOCALIZACIÓN DE HOGARES LOCALIZADOS EN ZONAS DE ALTO RIESGO NO MITIGABLE ID:2014-P474-00746, LOCALIDAD:04 SAN CRISTÓBAL, UPZ:33 SOSIEGO, SECTOR:PROCESO LA MARIA</v>
          </cell>
          <cell r="R2111">
            <v>3983670</v>
          </cell>
          <cell r="S2111">
            <v>0</v>
          </cell>
          <cell r="T2111">
            <v>0</v>
          </cell>
          <cell r="U2111">
            <v>3983670</v>
          </cell>
          <cell r="V2111">
            <v>1991835</v>
          </cell>
        </row>
        <row r="2112">
          <cell r="J2112">
            <v>1506</v>
          </cell>
          <cell r="K2112">
            <v>43161</v>
          </cell>
          <cell r="L2112" t="str">
            <v>LUZ HERMINDA MURILLO REIVA</v>
          </cell>
          <cell r="M2112">
            <v>31</v>
          </cell>
          <cell r="N2112" t="str">
            <v>RESOLUCION</v>
          </cell>
          <cell r="O2112">
            <v>1432</v>
          </cell>
          <cell r="P2112">
            <v>43161</v>
          </cell>
          <cell r="Q2112" t="str">
            <v>AYUDA TEMPORAL A LAS FAMILIAS DE VARIAS LOCALIDADES, PARA LA RELOCALIZACIÓN DE HOGARES LOCALIZADOS EN ZONAS DE ALTO RIESGO NO MITIGABLE ID:2016-08-14857, LOCALIDAD:08 KENNEDY, UPZ:82 PATIO BONITO, SECTOR:PALMITAS</v>
          </cell>
          <cell r="R2112">
            <v>2522994</v>
          </cell>
          <cell r="S2112">
            <v>420499</v>
          </cell>
          <cell r="T2112">
            <v>0</v>
          </cell>
          <cell r="U2112">
            <v>2102495</v>
          </cell>
          <cell r="V2112">
            <v>2102495</v>
          </cell>
        </row>
        <row r="2113">
          <cell r="J2113">
            <v>1507</v>
          </cell>
          <cell r="K2113">
            <v>43161</v>
          </cell>
          <cell r="L2113" t="str">
            <v>JEIMMY KATHERIN REYES DIAZ</v>
          </cell>
          <cell r="M2113">
            <v>31</v>
          </cell>
          <cell r="N2113" t="str">
            <v>RESOLUCION</v>
          </cell>
          <cell r="O2113">
            <v>1421</v>
          </cell>
          <cell r="P2113">
            <v>43161</v>
          </cell>
          <cell r="Q2113" t="str">
            <v>AYUDA TEMPORAL A LAS FAMILIAS DE VARIAS LOCALIDADES, PARA LA RELOCALIZACIÓN DE HOGARES LOCALIZADOS EN ZONAS DE ALTO RIESGO NO MITIGABLE ID:2015-Q21-01403, LOCALIDAD:19 CIUDAD BOLÍVAR, UPZ:67 LUCERO, SECTOR:BRAZO DERECHO DE LIMAS</v>
          </cell>
          <cell r="R2113">
            <v>5863585</v>
          </cell>
          <cell r="S2113">
            <v>0</v>
          </cell>
          <cell r="T2113">
            <v>0</v>
          </cell>
          <cell r="U2113">
            <v>5863585</v>
          </cell>
          <cell r="V2113">
            <v>3608360</v>
          </cell>
        </row>
        <row r="2114">
          <cell r="J2114">
            <v>1508</v>
          </cell>
          <cell r="K2114">
            <v>43161</v>
          </cell>
          <cell r="L2114" t="str">
            <v>LIZETH  FRANCO OLAYA</v>
          </cell>
          <cell r="M2114">
            <v>31</v>
          </cell>
          <cell r="N2114" t="str">
            <v>RESOLUCION</v>
          </cell>
          <cell r="O2114">
            <v>1448</v>
          </cell>
          <cell r="P2114">
            <v>43161</v>
          </cell>
          <cell r="Q2114" t="str">
            <v>AYUDA TEMPORAL A LAS FAMILIAS DE VARIAS LOCALIDADES, PARA LA RELOCALIZACIÓN DE HOGARES LOCALIZADOS EN ZONAS DE ALTO RIESGO NO MITIGABLE ID:2011-19-12905, LOCALIDAD:19 CIUDAD BOLÍVAR, UPZ:68 EL TESORO</v>
          </cell>
          <cell r="R2114">
            <v>2582006</v>
          </cell>
          <cell r="S2114">
            <v>368858</v>
          </cell>
          <cell r="T2114">
            <v>0</v>
          </cell>
          <cell r="U2114">
            <v>2213148</v>
          </cell>
          <cell r="V2114">
            <v>2213148</v>
          </cell>
        </row>
        <row r="2115">
          <cell r="J2115">
            <v>1509</v>
          </cell>
          <cell r="K2115">
            <v>43161</v>
          </cell>
          <cell r="L2115" t="str">
            <v>ANA TULIA MARTINEZ OVALLE</v>
          </cell>
          <cell r="M2115">
            <v>31</v>
          </cell>
          <cell r="N2115" t="str">
            <v>RESOLUCION</v>
          </cell>
          <cell r="O2115">
            <v>1422</v>
          </cell>
          <cell r="P2115">
            <v>43161</v>
          </cell>
          <cell r="Q2115" t="str">
            <v>AYUDA TEMPORAL A LAS FAMILIAS DE VARIAS LOCALIDADES, PARA LA RELOCALIZACIÓN DE HOGARES LOCALIZADOS EN ZONAS DE ALTO RIESGO NO MITIGABLE ID:2006-4-8834, LOCALIDAD:04 SAN CRISTÓBAL, UPZ:50 LA GLORIA</v>
          </cell>
          <cell r="R2115">
            <v>5062452</v>
          </cell>
          <cell r="S2115">
            <v>0</v>
          </cell>
          <cell r="T2115">
            <v>0</v>
          </cell>
          <cell r="U2115">
            <v>5062452</v>
          </cell>
          <cell r="V2115">
            <v>2531226</v>
          </cell>
        </row>
        <row r="2116">
          <cell r="J2116">
            <v>1510</v>
          </cell>
          <cell r="K2116">
            <v>43161</v>
          </cell>
          <cell r="L2116" t="str">
            <v>YERALDIN  DAZA MALAGON</v>
          </cell>
          <cell r="M2116">
            <v>31</v>
          </cell>
          <cell r="N2116" t="str">
            <v>RESOLUCION</v>
          </cell>
          <cell r="O2116">
            <v>1449</v>
          </cell>
          <cell r="P2116">
            <v>43161</v>
          </cell>
          <cell r="Q2116" t="str">
            <v>AYUDA TEMPORAL A LAS FAMILIAS DE VARIAS LOCALIDADES, PARA LA RELOCALIZACIÓN DE HOGARES LOCALIZADOS EN ZONAS DE ALTO RIESGO NO MITIGABLE ID:2016-08-14911, LOCALIDAD:08 KENNEDY, UPZ:82 PATIO BONITO, SECTOR:PALMITAS</v>
          </cell>
          <cell r="R2116">
            <v>4625489</v>
          </cell>
          <cell r="S2116">
            <v>0</v>
          </cell>
          <cell r="T2116">
            <v>0</v>
          </cell>
          <cell r="U2116">
            <v>4625489</v>
          </cell>
          <cell r="V2116">
            <v>2522994</v>
          </cell>
        </row>
        <row r="2117">
          <cell r="J2117">
            <v>1511</v>
          </cell>
          <cell r="K2117">
            <v>43161</v>
          </cell>
          <cell r="L2117" t="str">
            <v>ANDREA ESTEFANIA DIAZ MENDOZA</v>
          </cell>
          <cell r="M2117">
            <v>31</v>
          </cell>
          <cell r="N2117" t="str">
            <v>RESOLUCION</v>
          </cell>
          <cell r="O2117">
            <v>1433</v>
          </cell>
          <cell r="P2117">
            <v>43161</v>
          </cell>
          <cell r="Q2117" t="str">
            <v>AYUDA TEMPORAL A LAS FAMILIAS DE VARIAS LOCALIDADES, PARA LA RELOCALIZACIÓN DE HOGARES LOCALIZADOS EN ZONAS DE ALTO RIESGO NO MITIGABLE ID:2015-3-14760, LOCALIDAD:03 SANTA FE, UPZ:96 LOURDES</v>
          </cell>
          <cell r="R2117">
            <v>6875245</v>
          </cell>
          <cell r="S2117">
            <v>0</v>
          </cell>
          <cell r="T2117">
            <v>0</v>
          </cell>
          <cell r="U2117">
            <v>6875245</v>
          </cell>
          <cell r="V2117">
            <v>4230920</v>
          </cell>
        </row>
        <row r="2118">
          <cell r="J2118">
            <v>1512</v>
          </cell>
          <cell r="K2118">
            <v>43161</v>
          </cell>
          <cell r="L2118" t="str">
            <v>FREDY DE JESUS SOTO URIBE</v>
          </cell>
          <cell r="M2118">
            <v>31</v>
          </cell>
          <cell r="N2118" t="str">
            <v>RESOLUCION</v>
          </cell>
          <cell r="O2118">
            <v>1450</v>
          </cell>
          <cell r="P2118">
            <v>43161</v>
          </cell>
          <cell r="Q2118" t="str">
            <v>AYUDA TEMPORAL A LAS FAMILIAS DE VARIAS LOCALIDADES, PARA LA RELOCALIZACIÓN DE HOGARES LOCALIZADOS EN ZONAS DE ALTO RIESGO NO MITIGABLE ID:2014-Q03-01244, LOCALIDAD:19 CIUDAD BOLÍVAR, UPZ:66 SAN FRANCISCO, SECTOR:LIMAS</v>
          </cell>
          <cell r="R2118">
            <v>4961495</v>
          </cell>
          <cell r="S2118">
            <v>0</v>
          </cell>
          <cell r="T2118">
            <v>0</v>
          </cell>
          <cell r="U2118">
            <v>4961495</v>
          </cell>
          <cell r="V2118">
            <v>2706270</v>
          </cell>
        </row>
        <row r="2119">
          <cell r="J2119">
            <v>1513</v>
          </cell>
          <cell r="K2119">
            <v>43161</v>
          </cell>
          <cell r="L2119" t="str">
            <v>JACQUELINE ENCARNACIÓN NAVARRO CONDE</v>
          </cell>
          <cell r="M2119">
            <v>31</v>
          </cell>
          <cell r="N2119" t="str">
            <v>RESOLUCION</v>
          </cell>
          <cell r="O2119">
            <v>1423</v>
          </cell>
          <cell r="P2119">
            <v>43161</v>
          </cell>
          <cell r="Q2119" t="str">
            <v>AYUDA TEMPORAL A LAS FAMILIAS DE VARIAS LOCALIDADES, PARA LA RELOCALIZACIÓN DE HOGARES LOCALIZADOS EN ZONAS DE ALTO RIESGO NO MITIGABLE ID:2004-5-5669, LOCALIDAD:05 USME, UPZ:59 ALFONSO LÓPEZ</v>
          </cell>
          <cell r="R2119">
            <v>4296831</v>
          </cell>
          <cell r="S2119">
            <v>0</v>
          </cell>
          <cell r="T2119">
            <v>0</v>
          </cell>
          <cell r="U2119">
            <v>4296831</v>
          </cell>
          <cell r="V2119">
            <v>2343726</v>
          </cell>
        </row>
        <row r="2120">
          <cell r="J2120">
            <v>1514</v>
          </cell>
          <cell r="K2120">
            <v>43161</v>
          </cell>
          <cell r="L2120" t="str">
            <v>FLOR MARIA GARCIA CUAN</v>
          </cell>
          <cell r="M2120">
            <v>31</v>
          </cell>
          <cell r="N2120" t="str">
            <v>RESOLUCION</v>
          </cell>
          <cell r="O2120">
            <v>1451</v>
          </cell>
          <cell r="P2120">
            <v>43161</v>
          </cell>
          <cell r="Q2120" t="str">
            <v>AYUDA TEMPORAL A LAS FAMILIAS DE VARIAS LOCALIDADES, PARA LA RELOCALIZACIÓN DE HOGARES LOCALIZADOS EN ZONAS DE ALTO RIESGO NO MITIGABLE ID:2012-18-14270, LOCALIDAD:18 RAFAEL URIBE URIBE, UPZ:55 DIANA TURBAY</v>
          </cell>
          <cell r="R2120">
            <v>2550150</v>
          </cell>
          <cell r="S2120">
            <v>510030</v>
          </cell>
          <cell r="T2120">
            <v>0</v>
          </cell>
          <cell r="U2120">
            <v>2040120</v>
          </cell>
          <cell r="V2120">
            <v>2040120</v>
          </cell>
        </row>
        <row r="2121">
          <cell r="J2121">
            <v>1515</v>
          </cell>
          <cell r="K2121">
            <v>43161</v>
          </cell>
          <cell r="L2121" t="str">
            <v>MARIA ESPERANZA GOMEZ</v>
          </cell>
          <cell r="M2121">
            <v>31</v>
          </cell>
          <cell r="N2121" t="str">
            <v>RESOLUCION</v>
          </cell>
          <cell r="O2121">
            <v>1434</v>
          </cell>
          <cell r="P2121">
            <v>43161</v>
          </cell>
          <cell r="Q2121" t="str">
            <v>AYUDA TEMPORAL A LAS FAMILIAS DE VARIAS LOCALIDADES, PARA LA RELOCALIZACIÓN DE HOGARES LOCALIZADOS EN ZONAS DE ALTO RIESGO NO MITIGABLE ID:2015-D227-00017, LOCALIDAD:04 SAN CRISTÓBAL, UPZ:51 LOS LIBERTADORES, SECTOR:SANTA TERESITA</v>
          </cell>
          <cell r="R2121">
            <v>5947019</v>
          </cell>
          <cell r="S2121">
            <v>0</v>
          </cell>
          <cell r="T2121">
            <v>0</v>
          </cell>
          <cell r="U2121">
            <v>5947019</v>
          </cell>
          <cell r="V2121">
            <v>3659704</v>
          </cell>
        </row>
        <row r="2122">
          <cell r="J2122">
            <v>1516</v>
          </cell>
          <cell r="K2122">
            <v>43161</v>
          </cell>
          <cell r="L2122" t="str">
            <v>CELIA LORENA AMARIS RIOS</v>
          </cell>
          <cell r="M2122">
            <v>31</v>
          </cell>
          <cell r="N2122" t="str">
            <v>RESOLUCION</v>
          </cell>
          <cell r="O2122">
            <v>1424</v>
          </cell>
          <cell r="P2122">
            <v>43161</v>
          </cell>
          <cell r="Q2122" t="str">
            <v>AYUDA TEMPORAL A LAS FAMILIAS DE VARIAS LOCALIDADES, PARA LA RELOCALIZACIÓN DE HOGARES LOCALIZADOS EN ZONAS DE ALTO RIESGO NO MITIGABLE ID:2013-4-14659, LOCALIDAD:04 SAN CRISTÓBAL, UPZ:32 SAN BLAS</v>
          </cell>
          <cell r="R2122">
            <v>5946005</v>
          </cell>
          <cell r="S2122">
            <v>0</v>
          </cell>
          <cell r="T2122">
            <v>0</v>
          </cell>
          <cell r="U2122">
            <v>5946005</v>
          </cell>
          <cell r="V2122">
            <v>2744310</v>
          </cell>
        </row>
        <row r="2123">
          <cell r="J2123">
            <v>1517</v>
          </cell>
          <cell r="K2123">
            <v>43161</v>
          </cell>
          <cell r="L2123" t="str">
            <v>ALONSO  RAMIREZ SAENZ</v>
          </cell>
          <cell r="M2123">
            <v>31</v>
          </cell>
          <cell r="N2123" t="str">
            <v>RESOLUCION</v>
          </cell>
          <cell r="O2123">
            <v>1452</v>
          </cell>
          <cell r="P2123">
            <v>43161</v>
          </cell>
          <cell r="Q2123" t="str">
            <v>AYUDA TEMPORAL A LAS FAMILIAS DE VARIAS LOCALIDADES, PARA LA RELOCALIZACIÓN DE HOGARES LOCALIZADOS EN ZONAS DE ALTO RIESGO NO MITIGABLE ID:2013000322, LOCALIDAD:19 CIUDAD BOLÍVAR, UPZ:67 LUCERO, SECTOR:PEÑA COLORADA</v>
          </cell>
          <cell r="R2123">
            <v>4961495</v>
          </cell>
          <cell r="S2123">
            <v>0</v>
          </cell>
          <cell r="T2123">
            <v>0</v>
          </cell>
          <cell r="U2123">
            <v>4961495</v>
          </cell>
          <cell r="V2123">
            <v>2706270</v>
          </cell>
        </row>
        <row r="2124">
          <cell r="J2124">
            <v>1518</v>
          </cell>
          <cell r="K2124">
            <v>43161</v>
          </cell>
          <cell r="L2124" t="str">
            <v>ELVIRA  FAJARDO</v>
          </cell>
          <cell r="M2124">
            <v>31</v>
          </cell>
          <cell r="N2124" t="str">
            <v>RESOLUCION</v>
          </cell>
          <cell r="O2124">
            <v>1425</v>
          </cell>
          <cell r="P2124">
            <v>43161</v>
          </cell>
          <cell r="Q2124" t="str">
            <v>AYUDA TEMPORAL A LAS FAMILIAS DE VARIAS LOCALIDADES, PARA LA RELOCALIZACIÓN DE HOGARES LOCALIZADOS EN ZONAS DE ALTO RIESGO NO MITIGABLE ID:2013000529, LOCALIDAD:19 CIUDAD BOLÍVAR, UPZ:67 LUCERO, SECTOR:BRAZO DERECHO DE LIMAS</v>
          </cell>
          <cell r="R2124">
            <v>2695285</v>
          </cell>
          <cell r="S2124">
            <v>539057</v>
          </cell>
          <cell r="T2124">
            <v>0</v>
          </cell>
          <cell r="U2124">
            <v>2156228</v>
          </cell>
          <cell r="V2124">
            <v>2156228</v>
          </cell>
        </row>
        <row r="2125">
          <cell r="J2125">
            <v>1519</v>
          </cell>
          <cell r="K2125">
            <v>43161</v>
          </cell>
          <cell r="L2125" t="str">
            <v>FRANCISCO JAVIER MONTENEGRO GONZALEZ</v>
          </cell>
          <cell r="M2125">
            <v>31</v>
          </cell>
          <cell r="N2125" t="str">
            <v>RESOLUCION</v>
          </cell>
          <cell r="O2125">
            <v>1426</v>
          </cell>
          <cell r="P2125">
            <v>43161</v>
          </cell>
          <cell r="Q2125" t="str">
            <v>AYUDA TEMPORAL A LAS FAMILIAS DE VARIAS LOCALIDADES, PARA LA RELOCALIZACIÓN DE HOGARES LOCALIZADOS EN ZONAS DE ALTO RIESGO NO MITIGABLE ID:2014-Q20-01252, LOCALIDAD:04 SAN CRISTÓBAL, UPZ:50 LA GLORIA, SECTOR:LA CHIGUAZA</v>
          </cell>
          <cell r="R2125">
            <v>1992165</v>
          </cell>
          <cell r="S2125">
            <v>0</v>
          </cell>
          <cell r="T2125">
            <v>0</v>
          </cell>
          <cell r="U2125">
            <v>1992165</v>
          </cell>
          <cell r="V2125">
            <v>398433</v>
          </cell>
        </row>
        <row r="2126">
          <cell r="J2126">
            <v>1520</v>
          </cell>
          <cell r="K2126">
            <v>43161</v>
          </cell>
          <cell r="L2126" t="str">
            <v>ALBENIS  CARRILLO</v>
          </cell>
          <cell r="M2126">
            <v>31</v>
          </cell>
          <cell r="N2126" t="str">
            <v>RESOLUCION</v>
          </cell>
          <cell r="O2126">
            <v>1468</v>
          </cell>
          <cell r="P2126">
            <v>43161</v>
          </cell>
          <cell r="Q2126" t="str">
            <v>AYUDA TEMPORAL A LAS FAMILIAS DE VARIAS LOCALIDADES, PARA LA RELOCALIZACIÓN DE HOGARES LOCALIZADOS EN ZONAS DE ALTO RIESGO NO MITIGABLE ID:2011-4-12661, LOCALIDAD:04 SAN CRISTÓBAL, UPZ:32 SAN BLAS</v>
          </cell>
          <cell r="R2126">
            <v>1562484</v>
          </cell>
          <cell r="S2126">
            <v>0</v>
          </cell>
          <cell r="T2126">
            <v>0</v>
          </cell>
          <cell r="U2126">
            <v>1562484</v>
          </cell>
          <cell r="V2126">
            <v>1171863</v>
          </cell>
        </row>
        <row r="2127">
          <cell r="J2127">
            <v>1521</v>
          </cell>
          <cell r="K2127">
            <v>43161</v>
          </cell>
          <cell r="L2127" t="str">
            <v>DIANA PATRICIA VENEGAS VARGAS</v>
          </cell>
          <cell r="M2127">
            <v>31</v>
          </cell>
          <cell r="N2127" t="str">
            <v>RESOLUCION</v>
          </cell>
          <cell r="O2127">
            <v>1467</v>
          </cell>
          <cell r="P2127">
            <v>43161</v>
          </cell>
          <cell r="Q2127" t="str">
            <v>AYUDA TEMPORAL A LAS FAMILIAS DE VARIAS LOCALIDADES, PARA LA RELOCALIZACIÓN DE HOGARES LOCALIZADOS EN ZONAS DE ALTO RIESGO NO MITIGABLE ID:2014-19-14712, LOCALIDAD:19 CIUDAD BOLIVAR, UPZ:68 EL TESORO</v>
          </cell>
          <cell r="R2127">
            <v>4472160</v>
          </cell>
          <cell r="S2127">
            <v>0</v>
          </cell>
          <cell r="T2127">
            <v>0</v>
          </cell>
          <cell r="U2127">
            <v>4472160</v>
          </cell>
          <cell r="V2127">
            <v>2439360</v>
          </cell>
        </row>
        <row r="2128">
          <cell r="J2128">
            <v>1522</v>
          </cell>
          <cell r="K2128">
            <v>43161</v>
          </cell>
          <cell r="L2128" t="str">
            <v>JOSE ALIRIO MARTINEZ OBANDO</v>
          </cell>
          <cell r="M2128">
            <v>31</v>
          </cell>
          <cell r="N2128" t="str">
            <v>RESOLUCION</v>
          </cell>
          <cell r="O2128">
            <v>1466</v>
          </cell>
          <cell r="P2128">
            <v>43161</v>
          </cell>
          <cell r="Q2128" t="str">
            <v>AYUDA TEMPORAL A LAS FAMILIAS DE VARIAS LOCALIDADES, PARA LA RELOCALIZACIÓN DE HOGARES LOCALIZADOS EN ZONAS DE ALTO RIESGO NO MITIGABLE ID:2015-Q03-01304, LOCALIDAD:19 CIUDAD BOLIVAR, UPZ:67 LUCERO, SECTOR: LIMAS</v>
          </cell>
          <cell r="R2128">
            <v>6296810</v>
          </cell>
          <cell r="S2128">
            <v>0</v>
          </cell>
          <cell r="T2128">
            <v>0</v>
          </cell>
          <cell r="U2128">
            <v>6296810</v>
          </cell>
          <cell r="V2128">
            <v>2906220</v>
          </cell>
        </row>
        <row r="2129">
          <cell r="J2129">
            <v>1523</v>
          </cell>
          <cell r="K2129">
            <v>43164</v>
          </cell>
          <cell r="L2129" t="str">
            <v>GLORIA  LASSO CARDOSO</v>
          </cell>
          <cell r="M2129">
            <v>31</v>
          </cell>
          <cell r="N2129" t="str">
            <v>RESOLUCION</v>
          </cell>
          <cell r="O2129">
            <v>1464</v>
          </cell>
          <cell r="P2129">
            <v>43164</v>
          </cell>
          <cell r="Q2129" t="str">
            <v>AYUDA TEMPORAL A LAS FAMILIAS DE VARIAS LOCALIDADES, PARA LA RELOCALIZACIÓN DE HOGARES LOCALIZADOS EN ZONAS DE ALTO RIESGO NO MITIGABLE ID:2009-5-11196, LOCALIDAD:05 USME, UPZ:60 PARQUE ENTRENUBES</v>
          </cell>
          <cell r="R2129">
            <v>4021290</v>
          </cell>
          <cell r="S2129">
            <v>574470</v>
          </cell>
          <cell r="T2129">
            <v>0</v>
          </cell>
          <cell r="U2129">
            <v>3446820</v>
          </cell>
          <cell r="V2129">
            <v>3446820</v>
          </cell>
        </row>
        <row r="2130">
          <cell r="J2130">
            <v>1524</v>
          </cell>
          <cell r="K2130">
            <v>43164</v>
          </cell>
          <cell r="L2130" t="str">
            <v>MARIA TERESA CASTILLO GONZALEZ</v>
          </cell>
          <cell r="M2130">
            <v>31</v>
          </cell>
          <cell r="N2130" t="str">
            <v>RESOLUCION</v>
          </cell>
          <cell r="O2130">
            <v>1465</v>
          </cell>
          <cell r="P2130">
            <v>43164</v>
          </cell>
          <cell r="Q2130" t="str">
            <v>AYUDA TEMPORAL A LAS FAMILIAS DE VARIAS LOCALIDADES, PARA LA RELOCALIZACIÓN DE HOGARES LOCALIZADOS EN ZONAS DE ALTO RIESGO NO MITIGABLE ID:2009-19-11127, LOCALIDAD:19 CIUDAD BOLÍVAR, UPZ:67 LUCERO</v>
          </cell>
          <cell r="R2130">
            <v>3515589</v>
          </cell>
          <cell r="S2130">
            <v>0</v>
          </cell>
          <cell r="T2130">
            <v>0</v>
          </cell>
          <cell r="U2130">
            <v>3515589</v>
          </cell>
          <cell r="V2130">
            <v>2343726</v>
          </cell>
        </row>
        <row r="2131">
          <cell r="J2131">
            <v>1526</v>
          </cell>
          <cell r="K2131">
            <v>43164</v>
          </cell>
          <cell r="L2131" t="str">
            <v>ANA YIBE BELTRAN HERNANDEZ</v>
          </cell>
          <cell r="M2131">
            <v>31</v>
          </cell>
          <cell r="N2131" t="str">
            <v>RESOLUCION</v>
          </cell>
          <cell r="O2131">
            <v>1479</v>
          </cell>
          <cell r="P2131">
            <v>43164</v>
          </cell>
          <cell r="Q2131" t="str">
            <v>AYUDA TEMPORAL A LAS FAMILIAS DE VARIAS LOCALIDADES, PARA LA RELOCALIZACIÓN DE HOGARES LOCALIZADOS EN ZONAS DE ALTO RIESGO NO MITIGABLE ID:2014-Q04-00834, LOCALIDAD:19 CIUDAD BOLÍVAR, UPZ:67 LUCERO, SECTOR: PEÑA COLORADA</v>
          </cell>
          <cell r="R2131">
            <v>1953105</v>
          </cell>
          <cell r="S2131">
            <v>390621</v>
          </cell>
          <cell r="T2131">
            <v>0</v>
          </cell>
          <cell r="U2131">
            <v>1562484</v>
          </cell>
          <cell r="V2131">
            <v>1562484</v>
          </cell>
        </row>
        <row r="2132">
          <cell r="J2132">
            <v>1527</v>
          </cell>
          <cell r="K2132">
            <v>43164</v>
          </cell>
          <cell r="L2132" t="str">
            <v>JEISSON JAIR GARZON VARGAS</v>
          </cell>
          <cell r="M2132">
            <v>31</v>
          </cell>
          <cell r="N2132" t="str">
            <v>RESOLUCION</v>
          </cell>
          <cell r="O2132">
            <v>1480</v>
          </cell>
          <cell r="P2132">
            <v>43164</v>
          </cell>
          <cell r="Q2132" t="str">
            <v>AYUDA TEMPORAL A LAS FAMILIAS DE VARIAS LOCALIDADES, PARA LA RELOCALIZACIÓN DE HOGARES LOCALIZADOS EN ZONAS DE ALTO RIESGO NO MITIGABLE ID:2016-04-00019, LOCALIDAD:04 SAN CRISTOBAL, UPZ:32 SAN BLAS, SECTOR: TRIANGULO ALTO</v>
          </cell>
          <cell r="R2132">
            <v>3983670</v>
          </cell>
          <cell r="S2132">
            <v>0</v>
          </cell>
          <cell r="T2132">
            <v>0</v>
          </cell>
          <cell r="U2132">
            <v>3983670</v>
          </cell>
          <cell r="V2132">
            <v>2655780</v>
          </cell>
        </row>
        <row r="2133">
          <cell r="J2133">
            <v>1528</v>
          </cell>
          <cell r="K2133">
            <v>43164</v>
          </cell>
          <cell r="L2133" t="str">
            <v>HECTOR JULIO TOVAR AREVALO</v>
          </cell>
          <cell r="M2133">
            <v>31</v>
          </cell>
          <cell r="N2133" t="str">
            <v>RESOLUCION</v>
          </cell>
          <cell r="O2133">
            <v>1478</v>
          </cell>
          <cell r="P2133">
            <v>43164</v>
          </cell>
          <cell r="Q2133" t="str">
            <v>AYUDA TEMPORAL A LAS FAMILIAS DE VARIAS LOCALIDADES, PARA LA RELOCALIZACIÓN DE HOGARES LOCALIZADOS EN ZONAS DE ALTO RIESGO NO MITIGABLE ID:2015-Q03-01449, LOCALIDAD:19 CIUDAD BOLÍVAR, UPZ:66 SAN FRANCISCO, SECTOR:LIMAS</v>
          </cell>
          <cell r="R2133">
            <v>2706270</v>
          </cell>
          <cell r="S2133">
            <v>0</v>
          </cell>
          <cell r="T2133">
            <v>0</v>
          </cell>
          <cell r="U2133">
            <v>2706270</v>
          </cell>
          <cell r="V2133">
            <v>2255225</v>
          </cell>
        </row>
        <row r="2134">
          <cell r="J2134">
            <v>1529</v>
          </cell>
          <cell r="K2134">
            <v>43165</v>
          </cell>
          <cell r="L2134" t="str">
            <v>ERASMO  PORRAS LOPEZ</v>
          </cell>
          <cell r="M2134">
            <v>31</v>
          </cell>
          <cell r="N2134" t="str">
            <v>RESOLUCION</v>
          </cell>
          <cell r="O2134">
            <v>1476</v>
          </cell>
          <cell r="P2134">
            <v>43165</v>
          </cell>
          <cell r="Q2134" t="str">
            <v>AYUDA TEMPORAL A LAS FAMILIAS DE VARIAS LOCALIDADES, PARA LA RELOCALIZACIÓN DE HOGARES LOCALIZADOS EN ZONAS DE ALTO RIESGO NO MITIGABLE ID:2011-20-13381, LOCALIDAD:20 SUMAPAZ, UPZ:5 UPR RIO SUMAPAZ</v>
          </cell>
          <cell r="R2134">
            <v>7109297</v>
          </cell>
          <cell r="S2134">
            <v>0</v>
          </cell>
          <cell r="T2134">
            <v>0</v>
          </cell>
          <cell r="U2134">
            <v>7109297</v>
          </cell>
          <cell r="V2134">
            <v>3281214</v>
          </cell>
        </row>
        <row r="2135">
          <cell r="J2135">
            <v>1530</v>
          </cell>
          <cell r="K2135">
            <v>43165</v>
          </cell>
          <cell r="L2135" t="str">
            <v>LUISA FERNANDA MARULANDA</v>
          </cell>
          <cell r="M2135">
            <v>31</v>
          </cell>
          <cell r="N2135" t="str">
            <v>RESOLUCION</v>
          </cell>
          <cell r="O2135">
            <v>1477</v>
          </cell>
          <cell r="P2135">
            <v>43165</v>
          </cell>
          <cell r="Q2135" t="str">
            <v>AYUDA TEMPORAL A LAS FAMILIAS DE VARIAS LOCALIDADES, PARA LA RELOCALIZACIÓN DE HOGARES LOCALIZADOS EN ZONAS DE ALTO RIESGO NO MITIGABLE ID:2016-08-14789, LOCALIDAD:08 KENNEDY, UPZ:82 PATIO BONITO, SECTOR:PALMITAS</v>
          </cell>
          <cell r="R2135">
            <v>3784491</v>
          </cell>
          <cell r="S2135">
            <v>0</v>
          </cell>
          <cell r="T2135">
            <v>0</v>
          </cell>
          <cell r="U2135">
            <v>3784491</v>
          </cell>
          <cell r="V2135">
            <v>3363992</v>
          </cell>
        </row>
        <row r="2136">
          <cell r="J2136">
            <v>1538</v>
          </cell>
          <cell r="K2136">
            <v>43165</v>
          </cell>
          <cell r="L2136" t="str">
            <v>NOEL  SUSA MAYORGA</v>
          </cell>
          <cell r="M2136">
            <v>31</v>
          </cell>
          <cell r="N2136" t="str">
            <v>RESOLUCION</v>
          </cell>
          <cell r="O2136">
            <v>1446</v>
          </cell>
          <cell r="P2136">
            <v>43165</v>
          </cell>
          <cell r="Q2136" t="str">
            <v>AYUDA TEMPORAL A LAS FAMILIAS DE VARIAS LOCALIDADES, PARA LA RELOCALIZACIÓN DE HOGARES LOCALIZADOS EN ZONAS DE ALTO RIESGO NO MITIGABLE ID:2012-20-14546, LOCALIDAD:20 SUMAPAZ, UPZ:5 UPR RIO SUMAPAZ</v>
          </cell>
          <cell r="R2136">
            <v>5468690</v>
          </cell>
          <cell r="S2136">
            <v>0</v>
          </cell>
          <cell r="T2136">
            <v>0</v>
          </cell>
          <cell r="U2136">
            <v>5468690</v>
          </cell>
          <cell r="V2136">
            <v>3281214</v>
          </cell>
        </row>
        <row r="2137">
          <cell r="J2137">
            <v>1539</v>
          </cell>
          <cell r="K2137">
            <v>43165</v>
          </cell>
          <cell r="L2137" t="str">
            <v>ANDREA  PUENTES NIÑO</v>
          </cell>
          <cell r="M2137">
            <v>31</v>
          </cell>
          <cell r="N2137" t="str">
            <v>RESOLUCION</v>
          </cell>
          <cell r="O2137">
            <v>1484</v>
          </cell>
          <cell r="P2137">
            <v>43165</v>
          </cell>
          <cell r="Q2137" t="str">
            <v>AYUDA TEMPORAL A LAS FAMILIAS DE VARIAS LOCALIDADES, PARA LA RELOCALIZACIÓN DE HOGARES LOCALIZADOS EN ZONAS DE ALTO RIESGO NO MITIGABLE ID:2013000495, LOCALIDAD:19 CIUDAD BOLÍVAR, UPZ:67 LUCERO, SECTOR:PEÑA COLORADA</v>
          </cell>
          <cell r="R2137">
            <v>2102495</v>
          </cell>
          <cell r="S2137">
            <v>0</v>
          </cell>
          <cell r="T2137">
            <v>0</v>
          </cell>
          <cell r="U2137">
            <v>2102495</v>
          </cell>
          <cell r="V2137">
            <v>420499</v>
          </cell>
        </row>
        <row r="2138">
          <cell r="J2138">
            <v>1543</v>
          </cell>
          <cell r="K2138">
            <v>43165</v>
          </cell>
          <cell r="L2138" t="str">
            <v>MARIA NUBIA CALERO DE OSORIO</v>
          </cell>
          <cell r="M2138">
            <v>31</v>
          </cell>
          <cell r="N2138" t="str">
            <v>RESOLUCION</v>
          </cell>
          <cell r="O2138">
            <v>1481</v>
          </cell>
          <cell r="P2138">
            <v>43165</v>
          </cell>
          <cell r="Q2138" t="str">
            <v>AYUDA TEMPORAL A LAS FAMILIAS DE VARIAS LOCALIDADES, PARA RELOCALIZACIÓN DE HOGARES LOCALIZADOS EN ZONAS DE ALTO RIESGO NO MITIGABLE ID:2011-19-12582, LOCALIDAD:19 CIUDAD BOLÍVAR, UPZ:67 LUCERO, SECTOR:LIMAS</v>
          </cell>
          <cell r="R2138">
            <v>3383254</v>
          </cell>
          <cell r="S2138">
            <v>3383254</v>
          </cell>
          <cell r="T2138">
            <v>0</v>
          </cell>
          <cell r="U2138">
            <v>0</v>
          </cell>
          <cell r="V2138">
            <v>0</v>
          </cell>
        </row>
        <row r="2139">
          <cell r="J2139">
            <v>1544</v>
          </cell>
          <cell r="K2139">
            <v>43166</v>
          </cell>
          <cell r="L2139" t="str">
            <v>MARIA ELIZABETH GONZALEZ SIMBACICA</v>
          </cell>
          <cell r="M2139">
            <v>31</v>
          </cell>
          <cell r="N2139" t="str">
            <v>RESOLUCION</v>
          </cell>
          <cell r="O2139">
            <v>1482</v>
          </cell>
          <cell r="P2139">
            <v>43166</v>
          </cell>
          <cell r="Q2139" t="str">
            <v>AYUDA TEMPORAL A LAS FAMILIAS DE VARIAS LOCALIDADES, PARA LA RELOCALIZACIÓN DE HOGARES LOCALIZADOS EN ZONAS DE ALTO RIESGO NO MITIGABLE ID:2013-Q09-00130, LOCALIDAD:19 CIUDAD BOLÍVAR, UPZ:67 LUCERO, SECTOR:QUEBRADA TROMPETA</v>
          </cell>
          <cell r="R2139">
            <v>4296831</v>
          </cell>
          <cell r="S2139">
            <v>0</v>
          </cell>
          <cell r="T2139">
            <v>0</v>
          </cell>
          <cell r="U2139">
            <v>4296831</v>
          </cell>
          <cell r="V2139">
            <v>2343726</v>
          </cell>
        </row>
        <row r="2140">
          <cell r="J2140">
            <v>1545</v>
          </cell>
          <cell r="K2140">
            <v>43166</v>
          </cell>
          <cell r="L2140" t="str">
            <v>ROSA ELENA HIGUERA GUACANEME</v>
          </cell>
          <cell r="M2140">
            <v>31</v>
          </cell>
          <cell r="N2140" t="str">
            <v>RESOLUCION</v>
          </cell>
          <cell r="O2140">
            <v>1483</v>
          </cell>
          <cell r="P2140">
            <v>43166</v>
          </cell>
          <cell r="Q2140" t="str">
            <v>AYUDA TEMPORAL A LAS FAMILIAS DE VARIAS LOCALIDADES, PARA LA RELOCALIZACIÓN DE HOGARES LOCALIZADOS EN ZONAS DE ALTO RIESGO NO MITIGABLE ID:2016-08-14823, LOCALIDAD:08 KENNEDY, UPZ:82 PATIO BONITO, SECTOR:PALMITAS</v>
          </cell>
          <cell r="R2140">
            <v>7170319</v>
          </cell>
          <cell r="S2140">
            <v>0</v>
          </cell>
          <cell r="T2140">
            <v>0</v>
          </cell>
          <cell r="U2140">
            <v>7170319</v>
          </cell>
          <cell r="V2140">
            <v>4412504</v>
          </cell>
        </row>
        <row r="2141">
          <cell r="J2141">
            <v>1548</v>
          </cell>
          <cell r="K2141">
            <v>43172</v>
          </cell>
          <cell r="L2141" t="str">
            <v>JORGE ADELMO LEAL</v>
          </cell>
          <cell r="M2141">
            <v>31</v>
          </cell>
          <cell r="N2141" t="str">
            <v>RESOLUCION</v>
          </cell>
          <cell r="O2141">
            <v>1503</v>
          </cell>
          <cell r="P2141">
            <v>43172</v>
          </cell>
          <cell r="Q2141" t="str">
            <v>AYUDA TEMPORAL A LAS FAMILIAS DE VARIAS LOCALIDADES, PARA LA RELOCALIZACIÓN DE HOGARES LOCALIZADOS EN ZONAS DE ALTO RIESGO NO MITIGABLE ID:1999-4-3094, LOCALIDAD:04 SAN CRISTÓBAL, UPZ:32 SAN BLAS</v>
          </cell>
          <cell r="R2141">
            <v>4317610</v>
          </cell>
          <cell r="S2141">
            <v>0</v>
          </cell>
          <cell r="T2141">
            <v>0</v>
          </cell>
          <cell r="U2141">
            <v>4317610</v>
          </cell>
          <cell r="V2141">
            <v>2590566</v>
          </cell>
        </row>
        <row r="2142">
          <cell r="J2142">
            <v>1549</v>
          </cell>
          <cell r="K2142">
            <v>43172</v>
          </cell>
          <cell r="L2142" t="str">
            <v>JADIR LEONARDO RODRIGUEZ VELASQUEZ</v>
          </cell>
          <cell r="M2142">
            <v>31</v>
          </cell>
          <cell r="N2142" t="str">
            <v>RESOLUCION</v>
          </cell>
          <cell r="O2142">
            <v>1498</v>
          </cell>
          <cell r="P2142">
            <v>43144</v>
          </cell>
          <cell r="Q2142" t="str">
            <v>AYUDA TEMPORAL A LAS FAMILIAS DE VARIAS LOCALIDADES, PARA LA RELOCALIZACIÓN DE HOGARES LOCALIZADOS EN ZONAS DE ALTO RIESGO NO MITIGABLE ID:2015-OTR-01377, LOCALIDAD:11 SUBA, UPZ:71 TIBABUYES, SECTOR:GAVILANES</v>
          </cell>
          <cell r="R2142">
            <v>3516527</v>
          </cell>
          <cell r="S2142">
            <v>0</v>
          </cell>
          <cell r="T2142">
            <v>0</v>
          </cell>
          <cell r="U2142">
            <v>3516527</v>
          </cell>
          <cell r="V2142">
            <v>3014166</v>
          </cell>
        </row>
        <row r="2143">
          <cell r="J2143">
            <v>1550</v>
          </cell>
          <cell r="K2143">
            <v>43172</v>
          </cell>
          <cell r="L2143" t="str">
            <v>VIVIANA AIDE HERRERA SALGADO</v>
          </cell>
          <cell r="M2143">
            <v>31</v>
          </cell>
          <cell r="N2143" t="str">
            <v>RESOLUCION</v>
          </cell>
          <cell r="O2143">
            <v>1499</v>
          </cell>
          <cell r="P2143">
            <v>43172</v>
          </cell>
          <cell r="Q2143" t="str">
            <v>AYUDA TEMPORAL A LAS FAMILIAS DE VARIAS LOCALIDADES, PARA LA RELOCALIZACIÓN DE HOGARES LOCALIZADOS EN ZONAS DE ALTO RIESGO NO MITIGABLE ID:2007-4-9326, LOCALIDAD:04 SAN CRISTÓBAL, UPZ:32 SAN BLAS</v>
          </cell>
          <cell r="R2143">
            <v>5531994</v>
          </cell>
          <cell r="S2143">
            <v>0</v>
          </cell>
          <cell r="T2143">
            <v>0</v>
          </cell>
          <cell r="U2143">
            <v>5531994</v>
          </cell>
          <cell r="V2143">
            <v>2553228</v>
          </cell>
        </row>
        <row r="2144">
          <cell r="J2144">
            <v>1551</v>
          </cell>
          <cell r="K2144">
            <v>43172</v>
          </cell>
          <cell r="L2144" t="str">
            <v>SANDRA NATALIA ORTEGA SORIANO</v>
          </cell>
          <cell r="M2144">
            <v>31</v>
          </cell>
          <cell r="N2144" t="str">
            <v>RESOLUCION</v>
          </cell>
          <cell r="O2144">
            <v>1500</v>
          </cell>
          <cell r="P2144">
            <v>43172</v>
          </cell>
          <cell r="Q2144" t="str">
            <v>AYUDA TEMPORAL A LAS FAMILIAS DE VARIAS LOCALIDADES, PARA RELOCALIZACIÓN DE HOGARES LOCALIZADOS EN ZONAS DE ALTO RIESGO NO MITIGABLE ID:2013000120, LOCALIDAD:19 CIUDAD BOLÍVAR, UPZ:67 LUCERO, SECTOR:QUEBRADA CAÑO BAÚL</v>
          </cell>
          <cell r="R2144">
            <v>4310000</v>
          </cell>
          <cell r="S2144">
            <v>0</v>
          </cell>
          <cell r="T2144">
            <v>0</v>
          </cell>
          <cell r="U2144">
            <v>4310000</v>
          </cell>
          <cell r="V2144">
            <v>3448000</v>
          </cell>
        </row>
        <row r="2145">
          <cell r="J2145">
            <v>1552</v>
          </cell>
          <cell r="K2145">
            <v>43172</v>
          </cell>
          <cell r="L2145" t="str">
            <v>BAYRON STIVEN URIBE CASTELLANOS</v>
          </cell>
          <cell r="M2145">
            <v>31</v>
          </cell>
          <cell r="N2145" t="str">
            <v>RESOLUCION</v>
          </cell>
          <cell r="O2145">
            <v>1497</v>
          </cell>
          <cell r="P2145">
            <v>43172</v>
          </cell>
          <cell r="Q2145" t="str">
            <v>AYUDA TEMPORAL A LAS FAMILIAS DE VARIAS LOCALIDADES, PARA LA RELOCALIZACIÓN DE HOGARES LOCALIZADOS EN ZONAS DE ALTO RIESGO NO MITIGABLE ID:2015-Q03-01300, LOCALIDAD:19 CIUDAD BOLÍVAR, UPZ:67 LUCERO, SECTOR:LIMAS</v>
          </cell>
          <cell r="R2145">
            <v>4961495</v>
          </cell>
          <cell r="S2145">
            <v>0</v>
          </cell>
          <cell r="T2145">
            <v>0</v>
          </cell>
          <cell r="U2145">
            <v>4961495</v>
          </cell>
          <cell r="V2145">
            <v>2706270</v>
          </cell>
        </row>
        <row r="2146">
          <cell r="J2146">
            <v>1553</v>
          </cell>
          <cell r="K2146">
            <v>43172</v>
          </cell>
          <cell r="L2146" t="str">
            <v>JAIRO HUMBERTO GARCIA BAREÑO</v>
          </cell>
          <cell r="M2146">
            <v>31</v>
          </cell>
          <cell r="N2146" t="str">
            <v>RESOLUCION</v>
          </cell>
          <cell r="O2146">
            <v>1496</v>
          </cell>
          <cell r="P2146">
            <v>43172</v>
          </cell>
          <cell r="Q2146" t="str">
            <v>AYUDA TEMPORAL A LAS FAMILIAS DE VARIAS LOCALIDADES, PARA LA RELOCALIZACIÓN DE HOGARES LOCALIZADOS EN ZONAS DE ALTO RIESGO NO MITIGABLE ID:2012-19-13915, LOCALIDAD:19 CIUDAD BOLÍVAR, UPZ:67 LUCERO</v>
          </cell>
          <cell r="R2146">
            <v>2976827</v>
          </cell>
          <cell r="S2146">
            <v>425261</v>
          </cell>
          <cell r="T2146">
            <v>0</v>
          </cell>
          <cell r="U2146">
            <v>2551566</v>
          </cell>
          <cell r="V2146">
            <v>2551566</v>
          </cell>
        </row>
        <row r="2147">
          <cell r="J2147">
            <v>1554</v>
          </cell>
          <cell r="K2147">
            <v>43172</v>
          </cell>
          <cell r="L2147" t="str">
            <v>DANIEL CALIXTO ORDOÑEZ BOLIVAR</v>
          </cell>
          <cell r="M2147">
            <v>31</v>
          </cell>
          <cell r="N2147" t="str">
            <v>RESOLUCION</v>
          </cell>
          <cell r="O2147">
            <v>1495</v>
          </cell>
          <cell r="P2147">
            <v>43172</v>
          </cell>
          <cell r="Q2147" t="str">
            <v>AYUDA TEMPORAL A LAS FAMILIAS DE VARIAS LOCALIDADES, PARA LA RELOCALIZACIÓN DE HOGARES LOCALIZADOS EN ZONAS DE ALTO RIESGO NO MITIGABLE ID:2014-OTR-00976, LOCALIDAD:19 CIUDAD BOLÍVAR, UPZ:67 LUCERO, SECTOR:TABOR ALTALOMA</v>
          </cell>
          <cell r="R2147">
            <v>5104011</v>
          </cell>
          <cell r="S2147">
            <v>0</v>
          </cell>
          <cell r="T2147">
            <v>0</v>
          </cell>
          <cell r="U2147">
            <v>5104011</v>
          </cell>
          <cell r="V2147">
            <v>2784006</v>
          </cell>
        </row>
        <row r="2148">
          <cell r="J2148">
            <v>1557</v>
          </cell>
          <cell r="K2148">
            <v>43173</v>
          </cell>
          <cell r="L2148" t="str">
            <v>MARTA CECILIA GARCIA</v>
          </cell>
          <cell r="M2148">
            <v>31</v>
          </cell>
          <cell r="N2148" t="str">
            <v>RESOLUCION</v>
          </cell>
          <cell r="O2148">
            <v>1523</v>
          </cell>
          <cell r="P2148">
            <v>43173</v>
          </cell>
          <cell r="Q2148" t="str">
            <v>AYUDA TEMPORAL A LAS FAMILIAS DE VARIAS LOCALIDADES, PARA LA RELOCALIZACIÓN DE HOGARES LOCALIZADOS EN ZONAS DE ALTO RIESGO NO MITIGABLE ID:2011-4-12716, LOCALIDAD:04 SAN CRISTÓBAL, UPZ:32 SAN BLAS</v>
          </cell>
          <cell r="R2148">
            <v>5780541</v>
          </cell>
          <cell r="S2148">
            <v>0</v>
          </cell>
          <cell r="T2148">
            <v>0</v>
          </cell>
          <cell r="U2148">
            <v>5780541</v>
          </cell>
          <cell r="V2148">
            <v>2667942</v>
          </cell>
        </row>
        <row r="2149">
          <cell r="J2149">
            <v>1558</v>
          </cell>
          <cell r="K2149">
            <v>43173</v>
          </cell>
          <cell r="L2149" t="str">
            <v>CARMEN ELISA RODRIGUEZ SANABRIA</v>
          </cell>
          <cell r="M2149">
            <v>31</v>
          </cell>
          <cell r="N2149" t="str">
            <v>RESOLUCION</v>
          </cell>
          <cell r="O2149">
            <v>1524</v>
          </cell>
          <cell r="P2149">
            <v>43173</v>
          </cell>
          <cell r="Q2149" t="str">
            <v>AYUDA TEMPORAL A LAS FAMILIAS DE VARIAS LOCALIDADES, PARA LA RELOCALIZACIÓN DE HOGARES LOCALIZADOS EN ZONAS DE ALTO RIESGO NO MITIGABLE ID:2015-D227-00013, LOCALIDAD:04 SAN CRISTÓBAL, UPZ:51 LOS LIBERTADORES, SECTOR:SANTA TERESITA</v>
          </cell>
          <cell r="R2149">
            <v>4942301</v>
          </cell>
          <cell r="S2149">
            <v>0</v>
          </cell>
          <cell r="T2149">
            <v>0</v>
          </cell>
          <cell r="U2149">
            <v>4942301</v>
          </cell>
          <cell r="V2149">
            <v>3041416</v>
          </cell>
        </row>
        <row r="2150">
          <cell r="J2150">
            <v>1559</v>
          </cell>
          <cell r="K2150">
            <v>43173</v>
          </cell>
          <cell r="L2150" t="str">
            <v>MARIA CELINA ÑEÑETOFE MATIAS</v>
          </cell>
          <cell r="M2150">
            <v>31</v>
          </cell>
          <cell r="N2150" t="str">
            <v>RESOLUCION</v>
          </cell>
          <cell r="O2150">
            <v>1525</v>
          </cell>
          <cell r="P2150">
            <v>43173</v>
          </cell>
          <cell r="Q2150" t="str">
            <v>AYUDA TEMPORAL A LAS FAMILIAS DE VARIAS LOCALIDADES, PARA LA RELOCALIZACIÓN DE HOGARES LOCALIZADOS EN ZONAS DE ALTO RIESGO NO MITIGABLE ID:2015-W166-524, LOCALIDAD:04 SAN CRISTÓBAL, UPZ:32 SAN BLAS, SECTOR:UITOTO</v>
          </cell>
          <cell r="R2150">
            <v>5219370</v>
          </cell>
          <cell r="S2150">
            <v>0</v>
          </cell>
          <cell r="T2150">
            <v>0</v>
          </cell>
          <cell r="U2150">
            <v>5219370</v>
          </cell>
          <cell r="V2150">
            <v>2899650</v>
          </cell>
        </row>
        <row r="2151">
          <cell r="J2151">
            <v>1560</v>
          </cell>
          <cell r="K2151">
            <v>43173</v>
          </cell>
          <cell r="L2151" t="str">
            <v>JUAN  ROMERO HERRERA</v>
          </cell>
          <cell r="M2151">
            <v>31</v>
          </cell>
          <cell r="N2151" t="str">
            <v>RESOLUCION</v>
          </cell>
          <cell r="O2151">
            <v>1517</v>
          </cell>
          <cell r="P2151">
            <v>43173</v>
          </cell>
          <cell r="Q2151" t="str">
            <v>AYUDA TEMPORAL A LAS FAMILIAS DE VARIAS LOCALIDADES, PARA LA RELOCALIZACIÓN DE HOGARES LOCALIZADOS EN ZONAS DE ALTO RIESGO NO MITIGABLE ID:2006-19-8562, LOCALIDAD:19 CIUDAD BOLÍVAR, UPZ:68 EL TESORO, SECTOR:QUEBRADA EL INFIERNO</v>
          </cell>
          <cell r="R2151">
            <v>7109297</v>
          </cell>
          <cell r="S2151">
            <v>0</v>
          </cell>
          <cell r="T2151">
            <v>0</v>
          </cell>
          <cell r="U2151">
            <v>7109297</v>
          </cell>
          <cell r="V2151">
            <v>2734345</v>
          </cell>
        </row>
        <row r="2152">
          <cell r="J2152">
            <v>1561</v>
          </cell>
          <cell r="K2152">
            <v>43173</v>
          </cell>
          <cell r="L2152" t="str">
            <v>ALIRIO  HOYOS</v>
          </cell>
          <cell r="M2152">
            <v>31</v>
          </cell>
          <cell r="N2152" t="str">
            <v>RESOLUCION</v>
          </cell>
          <cell r="O2152">
            <v>1514</v>
          </cell>
          <cell r="P2152">
            <v>43173</v>
          </cell>
          <cell r="Q2152" t="str">
            <v>AYUDA TEMPORAL A LAS FAMILIAS DE VARIAS LOCALIDADES, PARA RELOCALIZACIÓN DE HOGARES LOCALIZADOS EN ZONAS DE ALTO RIESGO NO MITIGABLE ID:2015-Q03-01359, LOCALIDAD:19 CIUDAD BOLÍVAR, UPZ:66 SAN FRANCISCO, SECTOR:LIMAS</v>
          </cell>
          <cell r="R2152">
            <v>2706270</v>
          </cell>
          <cell r="S2152">
            <v>451045</v>
          </cell>
          <cell r="T2152">
            <v>0</v>
          </cell>
          <cell r="U2152">
            <v>2255225</v>
          </cell>
          <cell r="V2152">
            <v>2255225</v>
          </cell>
        </row>
        <row r="2153">
          <cell r="J2153">
            <v>1562</v>
          </cell>
          <cell r="K2153">
            <v>43173</v>
          </cell>
          <cell r="L2153" t="str">
            <v>LEONOR XIMENA DURA ISMARE</v>
          </cell>
          <cell r="M2153">
            <v>31</v>
          </cell>
          <cell r="N2153" t="str">
            <v>RESOLUCION</v>
          </cell>
          <cell r="O2153">
            <v>1518</v>
          </cell>
          <cell r="P2153">
            <v>43173</v>
          </cell>
          <cell r="Q2153" t="str">
            <v>AYUDA TEMPORAL A LAS FAMILIAS DE VARIAS LOCALIDADES, PARA LA RELOCALIZACIÓN DE HOGARES LOCALIZADOS EN ZONAS DE ALTO RIESGO NO MITIGABLE ID:2014-W166-076, LOCALIDAD:19 CIUDAD BOLÍVAR, UPZ:68 EL TESORO, SECTOR:WOUNAAN</v>
          </cell>
          <cell r="R2153">
            <v>5946005</v>
          </cell>
          <cell r="S2153">
            <v>0</v>
          </cell>
          <cell r="T2153">
            <v>0</v>
          </cell>
          <cell r="U2153">
            <v>5946005</v>
          </cell>
          <cell r="V2153">
            <v>2286925</v>
          </cell>
        </row>
        <row r="2154">
          <cell r="J2154">
            <v>1563</v>
          </cell>
          <cell r="K2154">
            <v>43173</v>
          </cell>
          <cell r="L2154" t="str">
            <v>ANA ELVIA RODRIGUEZ MENDEZ</v>
          </cell>
          <cell r="M2154">
            <v>31</v>
          </cell>
          <cell r="N2154" t="str">
            <v>RESOLUCION</v>
          </cell>
          <cell r="O2154">
            <v>1515</v>
          </cell>
          <cell r="P2154">
            <v>43173</v>
          </cell>
          <cell r="Q2154" t="str">
            <v>AYUDA TEMPORAL A LAS FAMILIAS DE VARIAS LOCALIDADES, PARA RELOCALIZACIÓN DE HOGARES LOCALIZADOS EN ZONAS DE ALTO RIESGO NO MITIGABLE ID:2014-OTR-00901, LOCALIDAD:03 SANTA FE, UPZ:96 LOURDES, SECTOR:CASA 3</v>
          </cell>
          <cell r="R2154">
            <v>2550450</v>
          </cell>
          <cell r="S2154">
            <v>425075</v>
          </cell>
          <cell r="T2154">
            <v>0</v>
          </cell>
          <cell r="U2154">
            <v>2125375</v>
          </cell>
          <cell r="V2154">
            <v>2125375</v>
          </cell>
        </row>
        <row r="2155">
          <cell r="J2155">
            <v>1564</v>
          </cell>
          <cell r="K2155">
            <v>43173</v>
          </cell>
          <cell r="L2155" t="str">
            <v>BERNALICIA  ISMARE OPUA</v>
          </cell>
          <cell r="M2155">
            <v>31</v>
          </cell>
          <cell r="N2155" t="str">
            <v>RESOLUCION</v>
          </cell>
          <cell r="O2155">
            <v>1519</v>
          </cell>
          <cell r="P2155">
            <v>43173</v>
          </cell>
          <cell r="Q2155" t="str">
            <v>AYUDA TEMPORAL A LAS FAMILIAS DE VARIAS LOCALIDADES, PARA LA RELOCALIZACIÓN DE HOGARES LOCALIZADOS EN ZONAS DE ALTO RIESGO NO MITIGABLE ID:2014-W166-037, LOCALIDAD:19 CIUDAD BOLÍVAR, UPZ:67 LUCERO, SECTOR:WOUNAAN</v>
          </cell>
          <cell r="R2155">
            <v>5946005</v>
          </cell>
          <cell r="S2155">
            <v>0</v>
          </cell>
          <cell r="T2155">
            <v>0</v>
          </cell>
          <cell r="U2155">
            <v>5946005</v>
          </cell>
          <cell r="V2155">
            <v>2286925</v>
          </cell>
        </row>
        <row r="2156">
          <cell r="J2156">
            <v>1565</v>
          </cell>
          <cell r="K2156">
            <v>43173</v>
          </cell>
          <cell r="L2156" t="str">
            <v>YANID ASTRID DIAZ MONTAÑEZ</v>
          </cell>
          <cell r="M2156">
            <v>31</v>
          </cell>
          <cell r="N2156" t="str">
            <v>RESOLUCION</v>
          </cell>
          <cell r="O2156">
            <v>1516</v>
          </cell>
          <cell r="P2156">
            <v>43173</v>
          </cell>
          <cell r="Q2156" t="str">
            <v>AYUDA TEMPORAL A LAS FAMILIAS DE VARIAS LOCALIDADES, PARA RELOCALIZACIÓN DE HOGARES LOCALIZADOS EN ZONAS DE ALTO RIESGO NO MITIGABLE ID:2011-4-12709, LOCALIDAD:04 SAN CRISTÓBAL, UPZ:32 SAN BLAS</v>
          </cell>
          <cell r="R2156">
            <v>2213148</v>
          </cell>
          <cell r="S2156">
            <v>368858</v>
          </cell>
          <cell r="T2156">
            <v>0</v>
          </cell>
          <cell r="U2156">
            <v>1844290</v>
          </cell>
          <cell r="V2156">
            <v>1844290</v>
          </cell>
        </row>
        <row r="2157">
          <cell r="J2157">
            <v>1566</v>
          </cell>
          <cell r="K2157">
            <v>43173</v>
          </cell>
          <cell r="L2157" t="str">
            <v>LILIANA  GRUESO DURA</v>
          </cell>
          <cell r="M2157">
            <v>31</v>
          </cell>
          <cell r="N2157" t="str">
            <v>RESOLUCION</v>
          </cell>
          <cell r="O2157">
            <v>1520</v>
          </cell>
          <cell r="P2157">
            <v>43173</v>
          </cell>
          <cell r="Q2157" t="str">
            <v>AYUDA TEMPORAL A LAS FAMILIAS DE VARIAS LOCALIDADES, PARA LA RELOCALIZACIÓN DE HOGARES LOCALIZADOS EN ZONAS DE ALTO RIESGO NO MITIGABLE ID:2015-W166-209, LOCALIDAD:04 SAN CRISTÓBAL, UPZ:33 SOSIEGO, SECTOR:EPERARA</v>
          </cell>
          <cell r="R2157">
            <v>5946005</v>
          </cell>
          <cell r="S2157">
            <v>0</v>
          </cell>
          <cell r="T2157">
            <v>0</v>
          </cell>
          <cell r="U2157">
            <v>5946005</v>
          </cell>
          <cell r="V2157">
            <v>2286925</v>
          </cell>
        </row>
        <row r="2158">
          <cell r="J2158">
            <v>1567</v>
          </cell>
          <cell r="K2158">
            <v>43173</v>
          </cell>
          <cell r="L2158" t="str">
            <v>WILMER  QUIRO MEMBACHE</v>
          </cell>
          <cell r="M2158">
            <v>31</v>
          </cell>
          <cell r="N2158" t="str">
            <v>RESOLUCION</v>
          </cell>
          <cell r="O2158">
            <v>1521</v>
          </cell>
          <cell r="P2158">
            <v>43173</v>
          </cell>
          <cell r="Q2158" t="str">
            <v>AYUDA TEMPORAL A LAS FAMILIAS DE VARIAS LOCALIDADES, PARA LA RELOCALIZACIÓN DE HOGARES LOCALIZADOS EN ZONAS DE ALTO RIESGO NO MITIGABLE ID:2014-W166-096, LOCALIDAD:19 CIUDAD BOLÍVAR, UPZ:68 EL TESORO, SECTOR:WOUNAAN</v>
          </cell>
          <cell r="R2158">
            <v>5754190</v>
          </cell>
          <cell r="S2158">
            <v>0</v>
          </cell>
          <cell r="T2158">
            <v>0</v>
          </cell>
          <cell r="U2158">
            <v>5754190</v>
          </cell>
          <cell r="V2158">
            <v>2213150</v>
          </cell>
        </row>
        <row r="2159">
          <cell r="J2159">
            <v>1568</v>
          </cell>
          <cell r="K2159">
            <v>43173</v>
          </cell>
          <cell r="L2159" t="str">
            <v>MARIA CELINA DURA PERTIAGA</v>
          </cell>
          <cell r="M2159">
            <v>31</v>
          </cell>
          <cell r="N2159" t="str">
            <v>RESOLUCION</v>
          </cell>
          <cell r="O2159">
            <v>1522</v>
          </cell>
          <cell r="P2159">
            <v>43173</v>
          </cell>
          <cell r="Q2159" t="str">
            <v>AYUDA TEMPORAL A LAS FAMILIAS DE VARIAS LOCALIDADES, PARA LA RELOCALIZACIÓN DE HOGARES LOCALIZADOS EN ZONAS DE ALTO RIESGO NO MITIGABLE ID:2015-W166-216, LOCALIDAD:04 SAN CRISTÓBAL, UPZ:33 SOSIEGO, SECTOR:EPERARA</v>
          </cell>
          <cell r="R2159">
            <v>7672262</v>
          </cell>
          <cell r="S2159">
            <v>0</v>
          </cell>
          <cell r="T2159">
            <v>0</v>
          </cell>
          <cell r="U2159">
            <v>7672262</v>
          </cell>
          <cell r="V2159">
            <v>2950870</v>
          </cell>
        </row>
        <row r="2160">
          <cell r="J2160">
            <v>1570</v>
          </cell>
          <cell r="K2160">
            <v>43173</v>
          </cell>
          <cell r="L2160" t="str">
            <v>ISABEL  MEMBACHE PIZARIO</v>
          </cell>
          <cell r="M2160">
            <v>31</v>
          </cell>
          <cell r="N2160" t="str">
            <v>RESOLUCION</v>
          </cell>
          <cell r="O2160">
            <v>1539</v>
          </cell>
          <cell r="P2160">
            <v>43173</v>
          </cell>
          <cell r="Q2160" t="str">
            <v>AYUDA TEMPORAL A LAS FAMILIAS DE VARIAS LOCALIDADES, PARA LA RELOCALIZACIÓN DE HOGARES LOCALIZADOS EN ZONAS DE ALTO RIESGO NO MITIGABLE ID:2015-W166-420, LOCALIDAD:19 CIUDAD BOLÍVAR, UPZ:67 LUCERO, SECTOR:WOUNAAN</v>
          </cell>
          <cell r="R2160">
            <v>5335434</v>
          </cell>
          <cell r="S2160">
            <v>0</v>
          </cell>
          <cell r="T2160">
            <v>0</v>
          </cell>
          <cell r="U2160">
            <v>5335434</v>
          </cell>
          <cell r="V2160">
            <v>2964130</v>
          </cell>
        </row>
        <row r="2161">
          <cell r="J2161">
            <v>1571</v>
          </cell>
          <cell r="K2161">
            <v>43173</v>
          </cell>
          <cell r="L2161" t="str">
            <v>GLADYS  CHIRIMIA CHICHILIANO</v>
          </cell>
          <cell r="M2161">
            <v>31</v>
          </cell>
          <cell r="N2161" t="str">
            <v>RESOLUCION</v>
          </cell>
          <cell r="O2161">
            <v>1538</v>
          </cell>
          <cell r="P2161">
            <v>43173</v>
          </cell>
          <cell r="Q2161" t="str">
            <v>AYUDA TEMPORAL A LAS FAMILIAS DE VARIAS LOCALIDADES, PARA LA RELOCALIZACIÓN DE HOGARES LOCALIZADOS EN ZONAS DE ALTO RIESGO NO MITIGABLE ID:2014-W166-084, LOCALIDAD:19 CIUDAD BOLÍVAR, UPZ:68 EL TESORO, SECTOR:WOUNAAN</v>
          </cell>
          <cell r="R2161">
            <v>4989600</v>
          </cell>
          <cell r="S2161">
            <v>0</v>
          </cell>
          <cell r="T2161">
            <v>0</v>
          </cell>
          <cell r="U2161">
            <v>4989600</v>
          </cell>
          <cell r="V2161">
            <v>2772000</v>
          </cell>
        </row>
        <row r="2162">
          <cell r="J2162">
            <v>1577</v>
          </cell>
          <cell r="K2162">
            <v>43174</v>
          </cell>
          <cell r="L2162" t="str">
            <v>OMAR MANUEL AGAMEZ RIVAS</v>
          </cell>
          <cell r="M2162">
            <v>31</v>
          </cell>
          <cell r="N2162" t="str">
            <v>RESOLUCION</v>
          </cell>
          <cell r="O2162">
            <v>1511</v>
          </cell>
          <cell r="P2162">
            <v>43174</v>
          </cell>
          <cell r="Q2162" t="str">
            <v>Asignacion del instrumento financiero a las familias ocupantes del predio que hayan superado la fase de verificacion dentro  del marco del Decreto 457 de 2017. LOCALIDAD: KENNEDY; BARRIO: VEREDITAS; ID: 2017-8-383732</v>
          </cell>
          <cell r="R2162">
            <v>54686940</v>
          </cell>
          <cell r="S2162">
            <v>0</v>
          </cell>
          <cell r="T2162">
            <v>0</v>
          </cell>
          <cell r="U2162">
            <v>54686940</v>
          </cell>
          <cell r="V2162">
            <v>0</v>
          </cell>
        </row>
        <row r="2163">
          <cell r="J2163">
            <v>1578</v>
          </cell>
          <cell r="K2163">
            <v>43174</v>
          </cell>
          <cell r="L2163" t="str">
            <v>MARIA PATRICIA FLOREZ HERNANDEZ</v>
          </cell>
          <cell r="M2163">
            <v>31</v>
          </cell>
          <cell r="N2163" t="str">
            <v>RESOLUCION</v>
          </cell>
          <cell r="O2163">
            <v>1512</v>
          </cell>
          <cell r="P2163">
            <v>43174</v>
          </cell>
          <cell r="Q2163" t="str">
            <v>Asignacion del instrumento financiero a las familias ocupantes del predio que hayan superado la fase de verificacion dentro  del marco del Decreto 457 de 2017. LOCALIDAD: KENNEDY; BARRIO: VEREDITAS; ID: 2017-8-383765</v>
          </cell>
          <cell r="R2163">
            <v>54686940</v>
          </cell>
          <cell r="S2163">
            <v>0</v>
          </cell>
          <cell r="T2163">
            <v>0</v>
          </cell>
          <cell r="U2163">
            <v>54686940</v>
          </cell>
          <cell r="V2163">
            <v>54686940</v>
          </cell>
        </row>
        <row r="2164">
          <cell r="J2164">
            <v>1579</v>
          </cell>
          <cell r="K2164">
            <v>43174</v>
          </cell>
          <cell r="L2164" t="str">
            <v>FREDY ALEXANDER NAVARRO SARMIENTO</v>
          </cell>
          <cell r="M2164">
            <v>31</v>
          </cell>
          <cell r="N2164" t="str">
            <v>RESOLUCION</v>
          </cell>
          <cell r="O2164">
            <v>1513</v>
          </cell>
          <cell r="P2164">
            <v>43174</v>
          </cell>
          <cell r="Q2164" t="str">
            <v>Asignacion del instrumento financiero a las familias ocupantes del predio que hayan superado la fase de verificacion dentro  del marco del Decreto 457 de 2017. LOCALIDAD: KENNEDY; BARRIO: VEREDITAS; ID: 2018-8-15224</v>
          </cell>
          <cell r="R2164">
            <v>54686940</v>
          </cell>
          <cell r="S2164">
            <v>0</v>
          </cell>
          <cell r="T2164">
            <v>0</v>
          </cell>
          <cell r="U2164">
            <v>54686940</v>
          </cell>
          <cell r="V2164">
            <v>54686940</v>
          </cell>
        </row>
        <row r="2165">
          <cell r="J2165">
            <v>1580</v>
          </cell>
          <cell r="K2165">
            <v>43174</v>
          </cell>
          <cell r="L2165" t="str">
            <v>GRACIELA  LEGUIZAMON CALDERON</v>
          </cell>
          <cell r="M2165">
            <v>31</v>
          </cell>
          <cell r="N2165" t="str">
            <v>RESOLUCION</v>
          </cell>
          <cell r="O2165">
            <v>1540</v>
          </cell>
          <cell r="P2165">
            <v>43174</v>
          </cell>
          <cell r="Q2165" t="str">
            <v>VUR de la actual vigencia. Dto 255 de 2013. LOCALIDAD:CHAPINERO; BARRIO:SAN LUIS ALTOS DEL CABO; ID:2009-2-11209</v>
          </cell>
          <cell r="R2165">
            <v>39062100</v>
          </cell>
          <cell r="S2165">
            <v>39062100</v>
          </cell>
          <cell r="T2165">
            <v>0</v>
          </cell>
          <cell r="U2165">
            <v>0</v>
          </cell>
          <cell r="V2165">
            <v>0</v>
          </cell>
        </row>
        <row r="2166">
          <cell r="J2166">
            <v>1581</v>
          </cell>
          <cell r="K2166">
            <v>43174</v>
          </cell>
          <cell r="L2166" t="str">
            <v>GRACIELA  LEGUIZAMON CALDERON</v>
          </cell>
          <cell r="M2166">
            <v>31</v>
          </cell>
          <cell r="N2166" t="str">
            <v>RESOLUCION</v>
          </cell>
          <cell r="O2166">
            <v>1540</v>
          </cell>
          <cell r="P2166">
            <v>43174</v>
          </cell>
          <cell r="Q2166" t="str">
            <v>VUR DE LA ACTUAL VIGENCIA. DTO 255 DE 2013. LOCALIDAD:CHAPINERO; BARRIO:SAN LUIS ALTOS DEL CABO; ID:2009-2-11209(DE ACUERDO CON EL ARTICULO SEGUNDO DE LA PARTE RESOLUTIVA DE LA RESOLUCION 1540 DEL 14 DE MARZO DE 2018, SE ORDENA EL GIRO DEL VUR ASIGNADO A LOS SEÑORES GRACIELA LEGUIZAMON CALDERON C.C. N°41.466.825 Y JUAN DE JESUS LEGUIZAMON CALDERON C.C N°79.153.781 REPRESENTADO LEGALMENTE POR LA SEÑORA LUZ YANITZ LEGUIZAMON C C N°52.259.803)</v>
          </cell>
          <cell r="R2166">
            <v>39062100</v>
          </cell>
          <cell r="S2166">
            <v>0</v>
          </cell>
          <cell r="T2166">
            <v>0</v>
          </cell>
          <cell r="U2166">
            <v>39062100</v>
          </cell>
          <cell r="V2166">
            <v>0</v>
          </cell>
        </row>
        <row r="2167">
          <cell r="J2167">
            <v>1582</v>
          </cell>
          <cell r="K2167">
            <v>43174</v>
          </cell>
          <cell r="L2167" t="str">
            <v>NIKOL KAROLAY RUIZ SANCHEZ</v>
          </cell>
          <cell r="M2167">
            <v>31</v>
          </cell>
          <cell r="N2167" t="str">
            <v>RESOLUCION</v>
          </cell>
          <cell r="O2167">
            <v>1509</v>
          </cell>
          <cell r="P2167">
            <v>43174</v>
          </cell>
          <cell r="Q2167" t="str">
            <v>Asignacion del instrumento financiero a las familias ocupantes del predio que hayan superado la fase de verificacion dentro  del marco del Decreto 457 de 2017. LOCALIDAD: KENNEDY; BARRIO: VEREDITAS; ID: 2018-8-383924</v>
          </cell>
          <cell r="R2167">
            <v>54686940</v>
          </cell>
          <cell r="S2167">
            <v>0</v>
          </cell>
          <cell r="T2167">
            <v>0</v>
          </cell>
          <cell r="U2167">
            <v>54686940</v>
          </cell>
          <cell r="V2167">
            <v>54686940</v>
          </cell>
        </row>
        <row r="2168">
          <cell r="J2168">
            <v>1583</v>
          </cell>
          <cell r="K2168">
            <v>43174</v>
          </cell>
          <cell r="L2168" t="str">
            <v>SARA  VASQUEZ CARDONA</v>
          </cell>
          <cell r="M2168">
            <v>31</v>
          </cell>
          <cell r="N2168" t="str">
            <v>RESOLUCION</v>
          </cell>
          <cell r="O2168">
            <v>1510</v>
          </cell>
          <cell r="P2168">
            <v>43174</v>
          </cell>
          <cell r="Q2168" t="str">
            <v>Asignacion del instrumento financiero a las familias ocupantes del predio que hayan superado la fase de verificacion dentro  del marco del Decreto 457 de 2017. LOCALIDAD: KENNEDY; BARRIO: VEREDITAS; ID: 2018-8-383926</v>
          </cell>
          <cell r="R2168">
            <v>54686940</v>
          </cell>
          <cell r="S2168">
            <v>0</v>
          </cell>
          <cell r="T2168">
            <v>0</v>
          </cell>
          <cell r="U2168">
            <v>54686940</v>
          </cell>
          <cell r="V2168">
            <v>54686940</v>
          </cell>
        </row>
        <row r="2169">
          <cell r="J2169">
            <v>1584</v>
          </cell>
          <cell r="K2169">
            <v>43174</v>
          </cell>
          <cell r="L2169" t="str">
            <v>DEYFA PATRICIA CUERO CHIRIPUA</v>
          </cell>
          <cell r="M2169">
            <v>31</v>
          </cell>
          <cell r="N2169" t="str">
            <v>RESOLUCION</v>
          </cell>
          <cell r="O2169">
            <v>1537</v>
          </cell>
          <cell r="P2169">
            <v>43174</v>
          </cell>
          <cell r="Q2169" t="str">
            <v>AYUDA TEMPORAL A LAS FAMILIAS DE VARIAS LOCALIDADES, PARA LA RELOCALIZACIÓN DE HOGARES LOCALIZADOS EN ZONAS DE ALTO RIESGO NO MITIGABLE ID:2015-W166-433, LOCALIDAD:19 CIUDAD BOLÍVAR, UPZ:67 LUCERO, SECTOR:WOUNAAN</v>
          </cell>
          <cell r="R2169">
            <v>4117212</v>
          </cell>
          <cell r="S2169">
            <v>0</v>
          </cell>
          <cell r="T2169">
            <v>0</v>
          </cell>
          <cell r="U2169">
            <v>4117212</v>
          </cell>
          <cell r="V2169">
            <v>3659744</v>
          </cell>
        </row>
        <row r="2170">
          <cell r="J2170">
            <v>1610</v>
          </cell>
          <cell r="K2170">
            <v>43180</v>
          </cell>
          <cell r="L2170" t="str">
            <v>WILMERS DAVID RICO SILVA</v>
          </cell>
          <cell r="M2170">
            <v>31</v>
          </cell>
          <cell r="N2170" t="str">
            <v>RESOLUCION</v>
          </cell>
          <cell r="O2170">
            <v>1608</v>
          </cell>
          <cell r="P2170">
            <v>43180</v>
          </cell>
          <cell r="Q2170" t="str">
            <v>Asignacion del instrumento financiero a las familias ocupantes del predio que hayan superado la fase de verificacion dentro  del marco del Decreto 457 de 2017. LOCALIDAD: KENNEDY; BARRIO: VEREDITAS; ID: 2018-8-15299</v>
          </cell>
          <cell r="R2170">
            <v>54686940</v>
          </cell>
          <cell r="S2170">
            <v>0</v>
          </cell>
          <cell r="T2170">
            <v>0</v>
          </cell>
          <cell r="U2170">
            <v>54686940</v>
          </cell>
          <cell r="V2170">
            <v>54686940</v>
          </cell>
        </row>
        <row r="2171">
          <cell r="J2171">
            <v>1611</v>
          </cell>
          <cell r="K2171">
            <v>43180</v>
          </cell>
          <cell r="L2171" t="str">
            <v>CARLOS ARTURO RICO GUTIERREZ</v>
          </cell>
          <cell r="M2171">
            <v>31</v>
          </cell>
          <cell r="N2171" t="str">
            <v>RESOLUCION</v>
          </cell>
          <cell r="O2171">
            <v>1609</v>
          </cell>
          <cell r="P2171">
            <v>43180</v>
          </cell>
          <cell r="Q2171" t="str">
            <v>Asignacion del instrumento financiero a las familias ocupantes del predio que hayan superado la fase de verificacion dentro  del marco del Decreto 457 de 2017. LOCALIDAD: KENNEDY; BARRIO: VEREDITAS; ID: 2017-8-383787.</v>
          </cell>
          <cell r="R2171">
            <v>54686940</v>
          </cell>
          <cell r="S2171">
            <v>0</v>
          </cell>
          <cell r="T2171">
            <v>0</v>
          </cell>
          <cell r="U2171">
            <v>54686940</v>
          </cell>
          <cell r="V2171">
            <v>54686940</v>
          </cell>
        </row>
        <row r="2172">
          <cell r="J2172">
            <v>1621</v>
          </cell>
          <cell r="K2172">
            <v>43182</v>
          </cell>
          <cell r="L2172" t="str">
            <v>PABLO ALFONSO LEON ORTIZ</v>
          </cell>
          <cell r="M2172">
            <v>31</v>
          </cell>
          <cell r="N2172" t="str">
            <v>RESOLUCION</v>
          </cell>
          <cell r="O2172">
            <v>1541</v>
          </cell>
          <cell r="P2172">
            <v>43182</v>
          </cell>
          <cell r="Q2172" t="str">
            <v>reajuste de Vur por avalúo comercial (Segunda vez).Dto 255 de 2013. LOCALIDAD:CIUDAD BOLIVAR; BARRIO: POTOSI; ID:2013000474</v>
          </cell>
          <cell r="R2172">
            <v>30749982</v>
          </cell>
          <cell r="S2172">
            <v>0</v>
          </cell>
          <cell r="T2172">
            <v>0</v>
          </cell>
          <cell r="U2172">
            <v>30749982</v>
          </cell>
          <cell r="V2172">
            <v>30749982</v>
          </cell>
        </row>
        <row r="2173">
          <cell r="J2173">
            <v>1622</v>
          </cell>
          <cell r="K2173">
            <v>43182</v>
          </cell>
          <cell r="L2173" t="str">
            <v>RENZO MANUEL BUITRAGO NAVAS</v>
          </cell>
          <cell r="M2173">
            <v>31</v>
          </cell>
          <cell r="N2173" t="str">
            <v>RESOLUCION</v>
          </cell>
          <cell r="O2173">
            <v>1630</v>
          </cell>
          <cell r="P2173">
            <v>43182</v>
          </cell>
          <cell r="Q2173" t="str">
            <v>Asignacion del instrumento financiero a las familias ocupantes del predio que hayan superado la fase de verificacion dentro  del marco del Decreto 457 de 2017. LOCALIDAD: KENNEDY; BARRIO: VEREDITAS; ID: 2018-8-384287</v>
          </cell>
          <cell r="R2173">
            <v>54686940</v>
          </cell>
          <cell r="S2173">
            <v>0</v>
          </cell>
          <cell r="T2173">
            <v>0</v>
          </cell>
          <cell r="U2173">
            <v>54686940</v>
          </cell>
          <cell r="V2173">
            <v>54686940</v>
          </cell>
        </row>
        <row r="2174">
          <cell r="J2174">
            <v>1623</v>
          </cell>
          <cell r="K2174">
            <v>43182</v>
          </cell>
          <cell r="L2174" t="str">
            <v>JOSE FLAVIO MEJIA QUIRO</v>
          </cell>
          <cell r="M2174">
            <v>31</v>
          </cell>
          <cell r="N2174" t="str">
            <v>RESOLUCION</v>
          </cell>
          <cell r="O2174">
            <v>1569</v>
          </cell>
          <cell r="P2174">
            <v>43182</v>
          </cell>
          <cell r="Q2174" t="str">
            <v>AYUDA TEMPORAL A LAS FAMILIAS DE VARIAS LOCALIDADES, PARA LA RELOCALIZACIÓN DE HOGARES LOCALIZADOS EN ZONAS DE ALTO RIESGO NO MITIGABLE ID:2015-W166-220, LOCALIDAD:04 SAN CRISTÓBAL, UPZ:33 SOSIEGO, SECTOR:EPERARA</v>
          </cell>
          <cell r="R2174">
            <v>5311560</v>
          </cell>
          <cell r="S2174">
            <v>0</v>
          </cell>
          <cell r="T2174">
            <v>0</v>
          </cell>
          <cell r="U2174">
            <v>5311560</v>
          </cell>
          <cell r="V2174">
            <v>2655780</v>
          </cell>
        </row>
        <row r="2175">
          <cell r="J2175">
            <v>1624</v>
          </cell>
          <cell r="K2175">
            <v>43182</v>
          </cell>
          <cell r="L2175" t="str">
            <v>AMILKAR  PIRAZA MEPAQUITO</v>
          </cell>
          <cell r="M2175">
            <v>31</v>
          </cell>
          <cell r="N2175" t="str">
            <v>RESOLUCION</v>
          </cell>
          <cell r="O2175">
            <v>1570</v>
          </cell>
          <cell r="P2175">
            <v>43182</v>
          </cell>
          <cell r="Q2175" t="str">
            <v>AYUDA TEMPORAL A LAS FAMILIAS DE VARIAS LOCALIDADES, PARA LA RELOCALIZACIÓN DE HOGARES LOCALIZADOS EN ZONAS DE ALTO RIESGO NO MITIGABLE ID:2014-W166-050, LOCALIDAD:19 CIUDAD BOLÍVAR, UPZ:68 EL TESORO, SECTOR:WOUNAAN</v>
          </cell>
          <cell r="R2175">
            <v>6491914</v>
          </cell>
          <cell r="S2175">
            <v>0</v>
          </cell>
          <cell r="T2175">
            <v>0</v>
          </cell>
          <cell r="U2175">
            <v>6491914</v>
          </cell>
          <cell r="V2175">
            <v>2950870</v>
          </cell>
        </row>
        <row r="2176">
          <cell r="J2176">
            <v>1625</v>
          </cell>
          <cell r="K2176">
            <v>43182</v>
          </cell>
          <cell r="L2176" t="str">
            <v>MARIA LIGIA PIRAZA ISMARE</v>
          </cell>
          <cell r="M2176">
            <v>31</v>
          </cell>
          <cell r="N2176" t="str">
            <v>RESOLUCION</v>
          </cell>
          <cell r="O2176">
            <v>1571</v>
          </cell>
          <cell r="P2176">
            <v>43182</v>
          </cell>
          <cell r="Q2176" t="str">
            <v>AYUDA TEMPORAL A LAS FAMILIAS DE VARIAS LOCALIDADES, PARA LA RELOCALIZACIÓN DE HOGARES LOCALIZADOS EN ZONAS DE ALTO RIESGO NO MITIGABLE ID:2014-W166-078, LOCALIDAD:19 CIUDAD BOLÍVAR, UPZ:68 EL TESORO, SECTOR:WOUNAAN</v>
          </cell>
          <cell r="R2176">
            <v>5031235</v>
          </cell>
          <cell r="S2176">
            <v>0</v>
          </cell>
          <cell r="T2176">
            <v>0</v>
          </cell>
          <cell r="U2176">
            <v>5031235</v>
          </cell>
          <cell r="V2176">
            <v>2286925</v>
          </cell>
        </row>
        <row r="2177">
          <cell r="J2177">
            <v>1626</v>
          </cell>
          <cell r="K2177">
            <v>43182</v>
          </cell>
          <cell r="L2177" t="str">
            <v>YESSICA  CARDENAS CUERO</v>
          </cell>
          <cell r="M2177">
            <v>31</v>
          </cell>
          <cell r="N2177" t="str">
            <v>RESOLUCION</v>
          </cell>
          <cell r="O2177">
            <v>1572</v>
          </cell>
          <cell r="P2177">
            <v>43182</v>
          </cell>
          <cell r="Q2177" t="str">
            <v>AYUDA TEMPORAL A LAS FAMILIAS DE VARIAS LOCALIDADES, PARA LA RELOCALIZACIÓN DE HOGARES LOCALIZADOS EN ZONAS DE ALTO RIESGO NO MITIGABLE ID:2015-W166-428, LOCALIDAD:19 CIUDAD BOLÍVAR, UPZ:68 EL TESORO, SECTOR:WOUNAAN</v>
          </cell>
          <cell r="R2177">
            <v>6491914</v>
          </cell>
          <cell r="S2177">
            <v>0</v>
          </cell>
          <cell r="T2177">
            <v>0</v>
          </cell>
          <cell r="U2177">
            <v>6491914</v>
          </cell>
          <cell r="V2177">
            <v>2950870</v>
          </cell>
        </row>
        <row r="2178">
          <cell r="J2178">
            <v>1627</v>
          </cell>
          <cell r="K2178">
            <v>43182</v>
          </cell>
          <cell r="L2178" t="str">
            <v>LUCERITA  ISMARE CONQUISTA</v>
          </cell>
          <cell r="M2178">
            <v>31</v>
          </cell>
          <cell r="N2178" t="str">
            <v>RESOLUCION</v>
          </cell>
          <cell r="O2178">
            <v>1573</v>
          </cell>
          <cell r="P2178">
            <v>43182</v>
          </cell>
          <cell r="Q2178" t="str">
            <v>AYUDA TEMPORAL A LAS FAMILIAS DE VARIAS LOCALIDADES, PARA LA RELOCALIZACIÓN DE HOGARES LOCALIZADOS EN ZONAS DE ALTO RIESGO NO MITIGABLE ID:2015-W166-413, LOCALIDAD:19 CIUDAD BOLÍVAR, UPZ:67 LUCERO, SECTOR:WOUNAAN</v>
          </cell>
          <cell r="R2178">
            <v>6491914</v>
          </cell>
          <cell r="S2178">
            <v>0</v>
          </cell>
          <cell r="T2178">
            <v>0</v>
          </cell>
          <cell r="U2178">
            <v>6491914</v>
          </cell>
          <cell r="V2178">
            <v>2950870</v>
          </cell>
        </row>
        <row r="2179">
          <cell r="J2179">
            <v>1628</v>
          </cell>
          <cell r="K2179">
            <v>43182</v>
          </cell>
          <cell r="L2179" t="str">
            <v>JOAQUIN  MORENO ORTIZ</v>
          </cell>
          <cell r="M2179">
            <v>31</v>
          </cell>
          <cell r="N2179" t="str">
            <v>RESOLUCION</v>
          </cell>
          <cell r="O2179">
            <v>1612</v>
          </cell>
          <cell r="P2179">
            <v>43182</v>
          </cell>
          <cell r="Q2179" t="str">
            <v>AYUDA TEMPORAL A LAS FAMILIAS DE VARIAS LOCALIDADES, PARA LA RELOCALIZACIÓN DE HOGARES LOCALIZADOS EN ZONAS DE ALTO RIESGO NO MITIGABLE ID:2011-19-13542, LOCALIDAD:19 CIUDAD BOLÍVAR, UPZ:68 EL TESORO</v>
          </cell>
          <cell r="R2179">
            <v>6296810</v>
          </cell>
          <cell r="S2179">
            <v>0</v>
          </cell>
          <cell r="T2179">
            <v>0</v>
          </cell>
          <cell r="U2179">
            <v>6296810</v>
          </cell>
          <cell r="V2179">
            <v>2421850</v>
          </cell>
        </row>
        <row r="2180">
          <cell r="J2180">
            <v>1629</v>
          </cell>
          <cell r="K2180">
            <v>43182</v>
          </cell>
          <cell r="L2180" t="str">
            <v>ALBEIRO  VALENCIA CUERO</v>
          </cell>
          <cell r="M2180">
            <v>31</v>
          </cell>
          <cell r="N2180" t="str">
            <v>RESOLUCION</v>
          </cell>
          <cell r="O2180">
            <v>1613</v>
          </cell>
          <cell r="P2180">
            <v>43182</v>
          </cell>
          <cell r="Q2180" t="str">
            <v>AYUDA TEMPORAL A LAS FAMILIAS DE VARIAS LOCALIDADES, PARA LA RELOCALIZACIÓN DE HOGARES LOCALIZADOS EN ZONAS DE ALTO RIESGO NO MITIGABLE ID:2015-W166-516, LOCALIDAD:19 CIUDAD BOLÍVAR, UPZ:67 LUCERO, SECTOR:WOUNAANE</v>
          </cell>
          <cell r="R2180">
            <v>4123650</v>
          </cell>
          <cell r="S2180">
            <v>0</v>
          </cell>
          <cell r="T2180">
            <v>0</v>
          </cell>
          <cell r="U2180">
            <v>4123650</v>
          </cell>
          <cell r="V2180">
            <v>2061825</v>
          </cell>
        </row>
        <row r="2181">
          <cell r="J2181">
            <v>1630</v>
          </cell>
          <cell r="K2181">
            <v>43182</v>
          </cell>
          <cell r="L2181" t="str">
            <v>ANIBAL  BURGARA OPUA</v>
          </cell>
          <cell r="M2181">
            <v>31</v>
          </cell>
          <cell r="N2181" t="str">
            <v>RESOLUCION</v>
          </cell>
          <cell r="O2181">
            <v>1614</v>
          </cell>
          <cell r="P2181">
            <v>43182</v>
          </cell>
          <cell r="Q2181" t="str">
            <v>AYUDA TEMPORAL A LAS FAMILIAS DE VARIAS LOCALIDADES, PARA LA RELOCALIZACIÓN DE HOGARES LOCALIZADOS EN ZONAS DE ALTO RIESGO NO MITIGABLE ID:2014-W166-051, LOCALIDAD:19 CIUDAD BOLÍVAR, UPZ:68 EL TESORO, SECTOR:WOUNAAN</v>
          </cell>
          <cell r="R2181">
            <v>4979592</v>
          </cell>
          <cell r="S2181">
            <v>0</v>
          </cell>
          <cell r="T2181">
            <v>0</v>
          </cell>
          <cell r="U2181">
            <v>4979592</v>
          </cell>
          <cell r="V2181">
            <v>2766440</v>
          </cell>
        </row>
        <row r="2182">
          <cell r="J2182">
            <v>1631</v>
          </cell>
          <cell r="K2182">
            <v>43182</v>
          </cell>
          <cell r="L2182" t="str">
            <v>EZEQUIEL  MERCAZA PIRAZA</v>
          </cell>
          <cell r="M2182">
            <v>31</v>
          </cell>
          <cell r="N2182" t="str">
            <v>RESOLUCION</v>
          </cell>
          <cell r="O2182">
            <v>1615</v>
          </cell>
          <cell r="P2182">
            <v>43182</v>
          </cell>
          <cell r="Q2182" t="str">
            <v>AYUDA TEMPORAL A LAS FAMILIAS DE VARIAS LOCALIDADES, PARA LA RELOCALIZACIÓN DE HOGARES LOCALIZADOS EN ZONAS DE ALTO RIESGO NO MITIGABLE ID:2014-W166-018, LOCALIDAD:19 CIUDAD BOLÍVAR, UPZ:68 EL TESORO, SECTOR:WOUNAAN</v>
          </cell>
          <cell r="R2182">
            <v>7672262</v>
          </cell>
          <cell r="S2182">
            <v>0</v>
          </cell>
          <cell r="T2182">
            <v>0</v>
          </cell>
          <cell r="U2182">
            <v>7672262</v>
          </cell>
          <cell r="V2182">
            <v>2950870</v>
          </cell>
        </row>
        <row r="2183">
          <cell r="J2183">
            <v>1632</v>
          </cell>
          <cell r="K2183">
            <v>43182</v>
          </cell>
          <cell r="L2183" t="str">
            <v>CIRO  MENDOZA ORTIZ</v>
          </cell>
          <cell r="M2183">
            <v>31</v>
          </cell>
          <cell r="N2183" t="str">
            <v>RESOLUCION</v>
          </cell>
          <cell r="O2183">
            <v>1616</v>
          </cell>
          <cell r="P2183">
            <v>43182</v>
          </cell>
          <cell r="Q2183" t="str">
            <v>AYUDA TEMPORAL A LAS FAMILIAS DE VARIAS LOCALIDADES, PARA LA RELOCALIZACIÓN DE HOGARES LOCALIZADOS EN ZONAS DE ALTO RIESGO NO MITIGABLE ID:2015-W166-504, LOCALIDAD:03 SANTA FE, UPZ:96 LOURDES, SECTOR:UITOTO</v>
          </cell>
          <cell r="R2183">
            <v>7536932</v>
          </cell>
          <cell r="S2183">
            <v>0</v>
          </cell>
          <cell r="T2183">
            <v>0</v>
          </cell>
          <cell r="U2183">
            <v>7536932</v>
          </cell>
          <cell r="V2183">
            <v>2319056</v>
          </cell>
        </row>
        <row r="2184">
          <cell r="J2184">
            <v>1633</v>
          </cell>
          <cell r="K2184">
            <v>43182</v>
          </cell>
          <cell r="L2184" t="str">
            <v>ALEXANDER  REINA ALMARIO</v>
          </cell>
          <cell r="M2184">
            <v>31</v>
          </cell>
          <cell r="N2184" t="str">
            <v>RESOLUCION</v>
          </cell>
          <cell r="O2184">
            <v>1617</v>
          </cell>
          <cell r="P2184">
            <v>43182</v>
          </cell>
          <cell r="Q2184" t="str">
            <v>AYUDA TEMPORAL A LAS FAMILIAS DE VARIAS LOCALIDADES, PARA LA RELOCALIZACIÓN DE HOGARES LOCALIZADOS EN ZONAS DE ALTO RIESGO NO MITIGABLE ID:2014-Q07-00925, LOCALIDAD:19 CIUDAD BOLÍVAR, UPZ:67 LUCERO, SECTOR:QUEBRADA TROMPETA</v>
          </cell>
          <cell r="R2184">
            <v>6032013</v>
          </cell>
          <cell r="S2184">
            <v>0</v>
          </cell>
          <cell r="T2184">
            <v>0</v>
          </cell>
          <cell r="U2184">
            <v>6032013</v>
          </cell>
          <cell r="V2184">
            <v>2320005</v>
          </cell>
        </row>
        <row r="2185">
          <cell r="J2185">
            <v>1634</v>
          </cell>
          <cell r="K2185">
            <v>43182</v>
          </cell>
          <cell r="L2185" t="str">
            <v>BELENICE  SOBRECAMA CARPIO</v>
          </cell>
          <cell r="M2185">
            <v>31</v>
          </cell>
          <cell r="N2185" t="str">
            <v>RESOLUCION</v>
          </cell>
          <cell r="O2185">
            <v>1618</v>
          </cell>
          <cell r="P2185">
            <v>43182</v>
          </cell>
          <cell r="Q2185" t="str">
            <v>AYUDA TEMPORAL A LAS FAMILIAS DE VARIAS LOCALIDADES, PARA LA RELOCALIZACIÓN DE HOGARES LOCALIZADOS EN ZONAS DE ALTO RIESGO NO MITIGABLE ID:2015-W166-521, LOCALIDAD:19 CIUDAD BOLÍVAR, UPZ:67 LUCERO, SECTOR:WOUNAAN</v>
          </cell>
          <cell r="R2185">
            <v>5528393</v>
          </cell>
          <cell r="S2185">
            <v>0</v>
          </cell>
          <cell r="T2185">
            <v>0</v>
          </cell>
          <cell r="U2185">
            <v>5528393</v>
          </cell>
          <cell r="V2185">
            <v>2126305</v>
          </cell>
        </row>
        <row r="2186">
          <cell r="J2186">
            <v>1635</v>
          </cell>
          <cell r="K2186">
            <v>43182</v>
          </cell>
          <cell r="L2186" t="str">
            <v>HENRY  ORTIZ ISMARE</v>
          </cell>
          <cell r="M2186">
            <v>31</v>
          </cell>
          <cell r="N2186" t="str">
            <v>RESOLUCION</v>
          </cell>
          <cell r="O2186">
            <v>1619</v>
          </cell>
          <cell r="P2186">
            <v>43182</v>
          </cell>
          <cell r="Q2186" t="str">
            <v>AYUDA TEMPORAL A LAS FAMILIAS DE VARIAS LOCALIDADES, PARA LA RELOCALIZACIÓN DE HOGARES LOCALIZADOS EN ZONAS DE ALTO RIESGO NO MITIGABLE ID:2014-W166-010, LOCALIDAD:19 CIUDAD BOLÍVAR, UPZ:68 EL TESORO, SECTOR:WOUNAAN</v>
          </cell>
          <cell r="R2186">
            <v>6905028</v>
          </cell>
          <cell r="S2186">
            <v>0</v>
          </cell>
          <cell r="T2186">
            <v>0</v>
          </cell>
          <cell r="U2186">
            <v>6905028</v>
          </cell>
          <cell r="V2186">
            <v>2655780</v>
          </cell>
        </row>
        <row r="2187">
          <cell r="J2187">
            <v>1636</v>
          </cell>
          <cell r="K2187">
            <v>43182</v>
          </cell>
          <cell r="L2187" t="str">
            <v>MARIA INES ZAPATA GUTIERREZ</v>
          </cell>
          <cell r="M2187">
            <v>31</v>
          </cell>
          <cell r="N2187" t="str">
            <v>RESOLUCION</v>
          </cell>
          <cell r="O2187">
            <v>1620</v>
          </cell>
          <cell r="P2187">
            <v>43182</v>
          </cell>
          <cell r="Q2187" t="str">
            <v>AYUDA TEMPORAL A LAS FAMILIAS DE VARIAS LOCALIDADES, PARA LA RELOCALIZACIÓN DE HOGARES LOCALIZADOS EN ZONAS DE ALTO RIESGO NO MITIGABLE ID:2011-18-12391, LOCALIDAD:18 RAFAEL URIBE URIBE, UPZ:55 DIANA TURBAY, SECTOR:OLA INVERNAL 2010 FOPAE</v>
          </cell>
          <cell r="R2187">
            <v>7000929</v>
          </cell>
          <cell r="S2187">
            <v>0</v>
          </cell>
          <cell r="T2187">
            <v>0</v>
          </cell>
          <cell r="U2187">
            <v>7000929</v>
          </cell>
          <cell r="V2187">
            <v>1615599</v>
          </cell>
        </row>
        <row r="2188">
          <cell r="J2188">
            <v>1637</v>
          </cell>
          <cell r="K2188">
            <v>43182</v>
          </cell>
          <cell r="L2188" t="str">
            <v>REGINALDO  PIZARIO CHAMAPURO</v>
          </cell>
          <cell r="M2188">
            <v>31</v>
          </cell>
          <cell r="N2188" t="str">
            <v>RESOLUCION</v>
          </cell>
          <cell r="O2188">
            <v>1621</v>
          </cell>
          <cell r="P2188">
            <v>43182</v>
          </cell>
          <cell r="Q2188" t="str">
            <v>AYUDA TEMPORAL A LAS FAMILIAS DE VARIAS LOCALIDADES, PARA LA RELOCALIZACIÓN DE HOGARES LOCALIZADOS EN ZONAS DE ALTO RIESGO NO MITIGABLE ID:2014-W166-003, LOCALIDAD:19 CIUDAD BOLÍVAR, UPZ:68 EL TESORO, SECTOR:WOUNAAN</v>
          </cell>
          <cell r="R2188">
            <v>5311566</v>
          </cell>
          <cell r="S2188">
            <v>0</v>
          </cell>
          <cell r="T2188">
            <v>0</v>
          </cell>
          <cell r="U2188">
            <v>5311566</v>
          </cell>
          <cell r="V2188">
            <v>2950870</v>
          </cell>
        </row>
        <row r="2189">
          <cell r="J2189">
            <v>1638</v>
          </cell>
          <cell r="K2189">
            <v>43182</v>
          </cell>
          <cell r="L2189" t="str">
            <v>ROSENDO  OPUA GUACORIZO</v>
          </cell>
          <cell r="M2189">
            <v>31</v>
          </cell>
          <cell r="N2189" t="str">
            <v>RESOLUCION</v>
          </cell>
          <cell r="O2189">
            <v>1622</v>
          </cell>
          <cell r="P2189">
            <v>43182</v>
          </cell>
          <cell r="Q2189" t="str">
            <v>AYUDA TEMPORAL A LAS FAMILIAS DE VARIAS LOCALIDADES, PARA LA RELOCALIZACIÓN DE HOGARES LOCALIZADOS EN ZONAS DE ALTO RIESGO NO MITIGABLE ID:2014-W166-089, LOCALIDAD:19 CIUDAD BOLÍVAR, UPZ:68 EL TESORO, SECTOR:WOUNAAN</v>
          </cell>
          <cell r="R2189">
            <v>3585303</v>
          </cell>
          <cell r="S2189">
            <v>0</v>
          </cell>
          <cell r="T2189">
            <v>0</v>
          </cell>
          <cell r="U2189">
            <v>3585303</v>
          </cell>
          <cell r="V2189">
            <v>1991835</v>
          </cell>
        </row>
        <row r="2190">
          <cell r="J2190">
            <v>1640</v>
          </cell>
          <cell r="K2190">
            <v>43182</v>
          </cell>
          <cell r="L2190" t="str">
            <v>HERNANDO  GOMEZ AMAYA</v>
          </cell>
          <cell r="M2190">
            <v>31</v>
          </cell>
          <cell r="N2190" t="str">
            <v>RESOLUCION</v>
          </cell>
          <cell r="O2190">
            <v>1631</v>
          </cell>
          <cell r="P2190">
            <v>43182</v>
          </cell>
          <cell r="Q2190" t="str">
            <v>ASIGNACION DEL INSTRUMENTO FINANCIERO A LAS FAMILIAS OCUPANTES DEL PREDIO QUE HAYAN SUPERADO LA FASE DE VERIFICACION DENTRO  DEL MARCO DEL DECRETO 457 DE 2017. LOCALIDAD: KENNEDY; BARRIO: VEREDITAS; ID: 2018-8-384266</v>
          </cell>
          <cell r="R2190">
            <v>54686940</v>
          </cell>
          <cell r="S2190">
            <v>0</v>
          </cell>
          <cell r="T2190">
            <v>0</v>
          </cell>
          <cell r="U2190">
            <v>54686940</v>
          </cell>
          <cell r="V2190">
            <v>54686940</v>
          </cell>
        </row>
        <row r="2191">
          <cell r="J2191">
            <v>1641</v>
          </cell>
          <cell r="K2191">
            <v>43182</v>
          </cell>
          <cell r="L2191" t="str">
            <v>LOURDES CELINA NAVAS</v>
          </cell>
          <cell r="M2191">
            <v>31</v>
          </cell>
          <cell r="N2191" t="str">
            <v>RESOLUCION</v>
          </cell>
          <cell r="O2191">
            <v>1629</v>
          </cell>
          <cell r="P2191">
            <v>43182</v>
          </cell>
          <cell r="Q2191" t="str">
            <v>Asignacion del instrumento financiero a las familias ocupantes del predio que hayan superado la fase de verificacion dentro  del marco del Decreto 457 de 2017. LOCALIDAD: KENNEDY; BARRIO: VEREDITAS; ID: 2017-8-383771</v>
          </cell>
          <cell r="R2191">
            <v>54686940</v>
          </cell>
          <cell r="S2191">
            <v>0</v>
          </cell>
          <cell r="T2191">
            <v>0</v>
          </cell>
          <cell r="U2191">
            <v>54686940</v>
          </cell>
          <cell r="V2191">
            <v>54686940</v>
          </cell>
        </row>
        <row r="2192">
          <cell r="J2192">
            <v>1642</v>
          </cell>
          <cell r="K2192">
            <v>43182</v>
          </cell>
          <cell r="L2192" t="str">
            <v>GERARDO  CHIRIPUA DURA</v>
          </cell>
          <cell r="M2192">
            <v>31</v>
          </cell>
          <cell r="N2192" t="str">
            <v>RESOLUCION</v>
          </cell>
          <cell r="O2192">
            <v>1554</v>
          </cell>
          <cell r="P2192">
            <v>43182</v>
          </cell>
          <cell r="Q2192" t="str">
            <v>AYUDA TEMPORAL A LAS FAMILIAS DE VARIAS LOCALIDADES, PARA LA RELOCALIZACIÓN DE HOGARES LOCALIZADOS EN ZONAS DE ALTO RIESGO NO MITIGABLE ID:2015-W166-520, LOCALIDAD:19 CIUDAD BOLÍVAR, UPZ:67 LUCERO, SECTOR:WOUNAAN</v>
          </cell>
          <cell r="R2192">
            <v>3983670</v>
          </cell>
          <cell r="S2192">
            <v>0</v>
          </cell>
          <cell r="T2192">
            <v>0</v>
          </cell>
          <cell r="U2192">
            <v>3983670</v>
          </cell>
          <cell r="V2192">
            <v>2213150</v>
          </cell>
        </row>
        <row r="2193">
          <cell r="J2193">
            <v>1643</v>
          </cell>
          <cell r="K2193">
            <v>43182</v>
          </cell>
          <cell r="L2193" t="str">
            <v>MARIA LUCIA RODRIGEZ CACERES</v>
          </cell>
          <cell r="M2193">
            <v>31</v>
          </cell>
          <cell r="N2193" t="str">
            <v>RESOLUCION</v>
          </cell>
          <cell r="O2193">
            <v>1555</v>
          </cell>
          <cell r="P2193">
            <v>43182</v>
          </cell>
          <cell r="Q2193" t="str">
            <v>AYUDA TEMPORAL A LAS FAMILIAS DE VARIAS LOCALIDADES, PARA LA RELOCALIZACIÓN DE HOGARES LOCALIZADOS EN ZONAS DE ALTO RIESGO NO MITIGABLE ID:2016-08-14876, LOCALIDAD:08 KENNEDY, UPZ:82 PATIO BONITO, SECTOR:PALMITAS</v>
          </cell>
          <cell r="R2193">
            <v>6713226</v>
          </cell>
          <cell r="S2193">
            <v>0</v>
          </cell>
          <cell r="T2193">
            <v>0</v>
          </cell>
          <cell r="U2193">
            <v>6713226</v>
          </cell>
          <cell r="V2193">
            <v>2582010</v>
          </cell>
        </row>
        <row r="2194">
          <cell r="J2194">
            <v>1644</v>
          </cell>
          <cell r="K2194">
            <v>43182</v>
          </cell>
          <cell r="L2194" t="str">
            <v>NIDYA SOFIA CACERES PEÑALOZA</v>
          </cell>
          <cell r="M2194">
            <v>31</v>
          </cell>
          <cell r="N2194" t="str">
            <v>RESOLUCION</v>
          </cell>
          <cell r="O2194">
            <v>1556</v>
          </cell>
          <cell r="P2194">
            <v>43182</v>
          </cell>
          <cell r="Q2194" t="str">
            <v>AYUDA TEMPORAL A LAS FAMILIAS DE VARIAS LOCALIDADES, PARA LA RELOCALIZACIÓN DE HOGARES LOCALIZADOS EN ZONAS DE ALTO RIESGO NO MITIGABLE ID:2016-08-14878, LOCALIDAD:08 KENNEDY, UPZ:82 PATIO BONITO, SECTOR:PALMITAS</v>
          </cell>
          <cell r="R2194">
            <v>6425510</v>
          </cell>
          <cell r="S2194">
            <v>0</v>
          </cell>
          <cell r="T2194">
            <v>0</v>
          </cell>
          <cell r="U2194">
            <v>6425510</v>
          </cell>
          <cell r="V2194">
            <v>2471350</v>
          </cell>
        </row>
        <row r="2195">
          <cell r="J2195">
            <v>1645</v>
          </cell>
          <cell r="K2195">
            <v>43182</v>
          </cell>
          <cell r="L2195" t="str">
            <v>JHON EDUAR MOÑA MOYA</v>
          </cell>
          <cell r="M2195">
            <v>31</v>
          </cell>
          <cell r="N2195" t="str">
            <v>RESOLUCION</v>
          </cell>
          <cell r="O2195">
            <v>1557</v>
          </cell>
          <cell r="P2195">
            <v>43182</v>
          </cell>
          <cell r="Q2195" t="str">
            <v>AYUDA TEMPORAL A LAS FAMILIAS DE VARIAS LOCALIDADES, PARA LA RELOCALIZACIÓN DE HOGARES LOCALIZADOS EN ZONAS DE ALTO RIESGO NO MITIGABLE ID:2015-W166-535, LOCALIDAD:04 SAN CRISTÓBAL, UPZ:34 20 DE JULIO, SECTOR:EPERARA</v>
          </cell>
          <cell r="R2195">
            <v>6472401</v>
          </cell>
          <cell r="S2195">
            <v>0</v>
          </cell>
          <cell r="T2195">
            <v>0</v>
          </cell>
          <cell r="U2195">
            <v>6472401</v>
          </cell>
          <cell r="V2195">
            <v>2489385</v>
          </cell>
        </row>
        <row r="2196">
          <cell r="J2196">
            <v>1646</v>
          </cell>
          <cell r="K2196">
            <v>43182</v>
          </cell>
          <cell r="L2196" t="str">
            <v>HERMINIO  PIRAZA MERCAZA</v>
          </cell>
          <cell r="M2196">
            <v>31</v>
          </cell>
          <cell r="N2196" t="str">
            <v>RESOLUCION</v>
          </cell>
          <cell r="O2196">
            <v>1558</v>
          </cell>
          <cell r="P2196">
            <v>43182</v>
          </cell>
          <cell r="Q2196" t="str">
            <v>AYUDA TEMPORAL A LAS FAMILIAS DE VARIAS LOCALIDADES, PARA LA RELOCALIZACIÓN DE HOGARES LOCALIZADOS EN ZONAS DE ALTO RIESGO NO MITIGABLE ID:2015-W166-430, LOCALIDAD:19 CIUDAD BOLÍVAR, UPZ:68 EL TESORO, SECTOR:WOUNAAN</v>
          </cell>
          <cell r="R2196">
            <v>7480447</v>
          </cell>
          <cell r="S2196">
            <v>0</v>
          </cell>
          <cell r="T2196">
            <v>0</v>
          </cell>
          <cell r="U2196">
            <v>7480447</v>
          </cell>
          <cell r="V2196">
            <v>2877095</v>
          </cell>
        </row>
        <row r="2197">
          <cell r="J2197">
            <v>1647</v>
          </cell>
          <cell r="K2197">
            <v>43182</v>
          </cell>
          <cell r="L2197" t="str">
            <v>OFELIA  OBISPO MEMBACHE</v>
          </cell>
          <cell r="M2197">
            <v>31</v>
          </cell>
          <cell r="N2197" t="str">
            <v>RESOLUCION</v>
          </cell>
          <cell r="O2197">
            <v>1559</v>
          </cell>
          <cell r="P2197">
            <v>43182</v>
          </cell>
          <cell r="Q2197" t="str">
            <v>AYUDA TEMPORAL A LAS FAMILIAS DE VARIAS LOCALIDADES, PARA LA RELOCALIZACIÓN DE HOGARES LOCALIZADOS EN ZONAS DE ALTO RIESGO NO MITIGABLE ID:2015-W166-514, LOCALIDAD:19 CIUDAD BOLÍVAR, UPZ:67 LUCERO, SECTOR:WOUNAAN</v>
          </cell>
          <cell r="R2197">
            <v>7672262</v>
          </cell>
          <cell r="S2197">
            <v>0</v>
          </cell>
          <cell r="T2197">
            <v>0</v>
          </cell>
          <cell r="U2197">
            <v>7672262</v>
          </cell>
          <cell r="V2197">
            <v>2950870</v>
          </cell>
        </row>
        <row r="2198">
          <cell r="J2198">
            <v>1648</v>
          </cell>
          <cell r="K2198">
            <v>43182</v>
          </cell>
          <cell r="L2198" t="str">
            <v>PIOQUINTO  DURA OBISPO</v>
          </cell>
          <cell r="M2198">
            <v>31</v>
          </cell>
          <cell r="N2198" t="str">
            <v>RESOLUCION</v>
          </cell>
          <cell r="O2198">
            <v>1560</v>
          </cell>
          <cell r="P2198">
            <v>43182</v>
          </cell>
          <cell r="Q2198" t="str">
            <v>AYUDA TEMPORAL A LAS FAMILIAS DE VARIAS LOCALIDADES, PARA LA RELOCALIZACIÓN DE HOGARES LOCALIZADOS EN ZONAS DE ALTO RIESGO NO MITIGABLE ID:2014-W166-028, LOCALIDAD:19 CIUDAD BOLÍVAR, UPZ:67 LUCERO, SECTOR:WOUNAAN</v>
          </cell>
          <cell r="R2198">
            <v>7672262</v>
          </cell>
          <cell r="S2198">
            <v>0</v>
          </cell>
          <cell r="T2198">
            <v>0</v>
          </cell>
          <cell r="U2198">
            <v>7672262</v>
          </cell>
          <cell r="V2198">
            <v>2950870</v>
          </cell>
        </row>
        <row r="2199">
          <cell r="J2199">
            <v>1649</v>
          </cell>
          <cell r="K2199">
            <v>43182</v>
          </cell>
          <cell r="L2199" t="str">
            <v>DIRIO  CHAUCARAMA ISMARE</v>
          </cell>
          <cell r="M2199">
            <v>31</v>
          </cell>
          <cell r="N2199" t="str">
            <v>RESOLUCION</v>
          </cell>
          <cell r="O2199">
            <v>1562</v>
          </cell>
          <cell r="P2199">
            <v>43182</v>
          </cell>
          <cell r="Q2199" t="str">
            <v>AYUDA TEMPORAL A LAS FAMILIAS DE VARIAS LOCALIDADES, PARA LA RELOCALIZACIÓN DE HOGARES LOCALIZADOS EN ZONAS DE ALTO RIESGO NO MITIGABLE ID:2014-W166-053, LOCALIDAD:19 CIUDAD BOLÍVAR, UPZ:68 EL TESORO, SECTOR:WOUNAAN</v>
          </cell>
          <cell r="R2199">
            <v>7007741</v>
          </cell>
          <cell r="S2199">
            <v>0</v>
          </cell>
          <cell r="T2199">
            <v>0</v>
          </cell>
          <cell r="U2199">
            <v>7007741</v>
          </cell>
          <cell r="V2199">
            <v>2695285</v>
          </cell>
        </row>
        <row r="2200">
          <cell r="J2200">
            <v>1650</v>
          </cell>
          <cell r="K2200">
            <v>43182</v>
          </cell>
          <cell r="L2200" t="str">
            <v>CLAMEDE  MEMBACHE GARCIA</v>
          </cell>
          <cell r="M2200">
            <v>31</v>
          </cell>
          <cell r="N2200" t="str">
            <v>RESOLUCION</v>
          </cell>
          <cell r="O2200">
            <v>1563</v>
          </cell>
          <cell r="P2200">
            <v>43182</v>
          </cell>
          <cell r="Q2200" t="str">
            <v>AYUDA TEMPORAL A LAS FAMILIAS DE VARIAS LOCALIDADES, PARA LA RELOCALIZACIÓN DE HOGARES LOCALIZADOS EN ZONAS DE ALTO RIESGO NO MITIGABLE ID:2014-W166-045, LOCALIDAD:19 CIUDAD BOLÍVAR, UPZ:67 LUCERO, SECTOR:WOUNAAN</v>
          </cell>
          <cell r="R2200">
            <v>6098400</v>
          </cell>
          <cell r="S2200">
            <v>0</v>
          </cell>
          <cell r="T2200">
            <v>0</v>
          </cell>
          <cell r="U2200">
            <v>6098400</v>
          </cell>
          <cell r="V2200">
            <v>2772000</v>
          </cell>
        </row>
        <row r="2201">
          <cell r="J2201">
            <v>1651</v>
          </cell>
          <cell r="K2201">
            <v>43182</v>
          </cell>
          <cell r="L2201" t="str">
            <v>JACOB  QUIRO CARDENAS</v>
          </cell>
          <cell r="M2201">
            <v>31</v>
          </cell>
          <cell r="N2201" t="str">
            <v>RESOLUCION</v>
          </cell>
          <cell r="O2201">
            <v>1564</v>
          </cell>
          <cell r="P2201">
            <v>43182</v>
          </cell>
          <cell r="Q2201" t="str">
            <v>AYUDA TEMPORAL A LAS FAMILIAS DE VARIAS LOCALIDADES, PARA LA RELOCALIZACIÓN DE HOGARES LOCALIZADOS EN ZONAS DE ALTO RIESGO NO MITIGABLE ID:2014-W166-064, LOCALIDAD:19 CIUDAD BOLÍVAR, UPZ:68 EL TESORO, SECTOR:WOUNAAN</v>
          </cell>
          <cell r="R2201">
            <v>4797000</v>
          </cell>
          <cell r="S2201">
            <v>0</v>
          </cell>
          <cell r="T2201">
            <v>0</v>
          </cell>
          <cell r="U2201">
            <v>4797000</v>
          </cell>
          <cell r="V2201">
            <v>2398500</v>
          </cell>
        </row>
        <row r="2202">
          <cell r="J2202">
            <v>1652</v>
          </cell>
          <cell r="K2202">
            <v>43182</v>
          </cell>
          <cell r="L2202" t="str">
            <v>JOSE ALFREDO CHIRIMIA HUESO</v>
          </cell>
          <cell r="M2202">
            <v>31</v>
          </cell>
          <cell r="N2202" t="str">
            <v>RESOLUCION</v>
          </cell>
          <cell r="O2202">
            <v>1565</v>
          </cell>
          <cell r="P2202">
            <v>43182</v>
          </cell>
          <cell r="Q2202" t="str">
            <v>AYUDA TEMPORAL A LAS FAMILIAS DE VARIAS LOCALIDADES, PARA LA RELOCALIZACIÓN DE HOGARES LOCALIZADOS EN ZONAS DE ALTO RIESGO NO MITIGABLE ID:2015-W166-400, LOCALIDAD:03 SANTA FE, UPZ:95 LAS CRUCES, SECTOR:EPERARA</v>
          </cell>
          <cell r="R2202">
            <v>5311560</v>
          </cell>
          <cell r="S2202">
            <v>0</v>
          </cell>
          <cell r="T2202">
            <v>0</v>
          </cell>
          <cell r="U2202">
            <v>5311560</v>
          </cell>
          <cell r="V2202">
            <v>2655780</v>
          </cell>
        </row>
        <row r="2203">
          <cell r="J2203">
            <v>1653</v>
          </cell>
          <cell r="K2203">
            <v>43182</v>
          </cell>
          <cell r="L2203" t="str">
            <v>CELMA  DURA ISMARE</v>
          </cell>
          <cell r="M2203">
            <v>31</v>
          </cell>
          <cell r="N2203" t="str">
            <v>RESOLUCION</v>
          </cell>
          <cell r="O2203">
            <v>1566</v>
          </cell>
          <cell r="P2203">
            <v>43182</v>
          </cell>
          <cell r="Q2203" t="str">
            <v>AYUDA TEMPORAL A LAS FAMILIAS DE VARIAS LOCALIDADES, PARA LA RELOCALIZACIÓN DE HOGARES LOCALIZADOS EN ZONAS DE ALTO RIESGO NO MITIGABLE ID:2015-W166-439, LOCALIDAD:19 CIUDAD BOLÍVAR, UPZ:68 EL TESORO, SECTOR:WOUNAAN</v>
          </cell>
          <cell r="R2203">
            <v>6086168</v>
          </cell>
          <cell r="S2203">
            <v>0</v>
          </cell>
          <cell r="T2203">
            <v>0</v>
          </cell>
          <cell r="U2203">
            <v>6086168</v>
          </cell>
          <cell r="V2203">
            <v>2766440</v>
          </cell>
        </row>
        <row r="2204">
          <cell r="J2204">
            <v>1654</v>
          </cell>
          <cell r="K2204">
            <v>43182</v>
          </cell>
          <cell r="L2204" t="str">
            <v>JESUS MARIO MERCAZA CHAMAPURO</v>
          </cell>
          <cell r="M2204">
            <v>31</v>
          </cell>
          <cell r="N2204" t="str">
            <v>RESOLUCION</v>
          </cell>
          <cell r="O2204">
            <v>1567</v>
          </cell>
          <cell r="P2204">
            <v>43182</v>
          </cell>
          <cell r="Q2204" t="str">
            <v>AYUDA TEMPORAL A LAS FAMILIAS DE VARIAS LOCALIDADES, PARA LA RELOCALIZACIÓN DE HOGARES LOCALIZADOS EN ZONAS DE ALTO RIESGO NO MITIGABLE ID:2015-W166-422, LOCALIDAD:19 CIUDAD BOLÍVAR, UPZ:67 LUCERO, SECTOR:WOUNAAN</v>
          </cell>
          <cell r="R2204">
            <v>5953904</v>
          </cell>
          <cell r="S2204">
            <v>0</v>
          </cell>
          <cell r="T2204">
            <v>0</v>
          </cell>
          <cell r="U2204">
            <v>5953904</v>
          </cell>
          <cell r="V2204">
            <v>2706320</v>
          </cell>
        </row>
        <row r="2205">
          <cell r="J2205">
            <v>1655</v>
          </cell>
          <cell r="K2205">
            <v>43182</v>
          </cell>
          <cell r="L2205" t="str">
            <v>HERNANDO  PIRAZA ISMARE</v>
          </cell>
          <cell r="M2205">
            <v>31</v>
          </cell>
          <cell r="N2205" t="str">
            <v>RESOLUCION</v>
          </cell>
          <cell r="O2205">
            <v>1568</v>
          </cell>
          <cell r="P2205">
            <v>43182</v>
          </cell>
          <cell r="Q2205" t="str">
            <v>AYUDA TEMPORAL A LAS FAMILIAS DE VARIAS LOCALIDADES, PARA LA RELOCALIZACIÓN DE HOGARES LOCALIZADOS EN ZONAS DE ALTO RIESGO NO MITIGABLE ID:2014-W166-029, LOCALIDAD:19 CIUDAD BOLÍVAR, UPZ:67 LUCERO, SECTOR:WOUNAAN</v>
          </cell>
          <cell r="R2205">
            <v>6491914</v>
          </cell>
          <cell r="S2205">
            <v>0</v>
          </cell>
          <cell r="T2205">
            <v>0</v>
          </cell>
          <cell r="U2205">
            <v>6491914</v>
          </cell>
          <cell r="V2205">
            <v>2950870</v>
          </cell>
        </row>
        <row r="2206">
          <cell r="J2206">
            <v>1657</v>
          </cell>
          <cell r="K2206">
            <v>43185</v>
          </cell>
          <cell r="L2206" t="str">
            <v>JAIDAN  QUIRO PIRAZA</v>
          </cell>
          <cell r="M2206">
            <v>31</v>
          </cell>
          <cell r="N2206" t="str">
            <v>RESOLUCION</v>
          </cell>
          <cell r="O2206">
            <v>1561</v>
          </cell>
          <cell r="P2206">
            <v>43185</v>
          </cell>
          <cell r="Q2206" t="str">
            <v>AYUDA TEMPORAL A LAS FAMILIAS DE VARIAS LOCALIDADES, PARA LA RELOCALIZACIÓN DE HOGARES LOCALIZADOS EN ZONAS DE ALTO RIESGO NO MITIGABLE ID: 2015-W166-528, LOCALIDAD: 19 CIUDAD BOLIVAR, UPZ: 67 LUCERO, SECTOR: WOUNAAN</v>
          </cell>
          <cell r="R2206">
            <v>5311560</v>
          </cell>
          <cell r="S2206">
            <v>0</v>
          </cell>
          <cell r="T2206">
            <v>0</v>
          </cell>
          <cell r="U2206">
            <v>5311560</v>
          </cell>
          <cell r="V2206">
            <v>2655780</v>
          </cell>
        </row>
        <row r="2207">
          <cell r="J2207">
            <v>1661</v>
          </cell>
          <cell r="K2207">
            <v>43186</v>
          </cell>
          <cell r="L2207" t="str">
            <v>LUZ DARY TRIANA AGUIAR</v>
          </cell>
          <cell r="M2207">
            <v>31</v>
          </cell>
          <cell r="N2207" t="str">
            <v>RESOLUCION</v>
          </cell>
          <cell r="O2207">
            <v>1627</v>
          </cell>
          <cell r="P2207">
            <v>43186</v>
          </cell>
          <cell r="Q2207" t="str">
            <v>VUR de la actual vigencia.Dto 255 de 2013. LOCALIDAD:CIUDAD BOLIVAR; BARRIO:POTOSI; ID:2015-Q18-04422</v>
          </cell>
          <cell r="R2207">
            <v>39062100</v>
          </cell>
          <cell r="S2207">
            <v>0</v>
          </cell>
          <cell r="T2207">
            <v>0</v>
          </cell>
          <cell r="U2207">
            <v>39062100</v>
          </cell>
          <cell r="V2207">
            <v>39062100</v>
          </cell>
        </row>
        <row r="2208">
          <cell r="J2208">
            <v>1663</v>
          </cell>
          <cell r="K2208">
            <v>43192</v>
          </cell>
          <cell r="L2208" t="str">
            <v>BEYER BENJAMIN GALINDO CASTELBLANCO</v>
          </cell>
          <cell r="M2208">
            <v>31</v>
          </cell>
          <cell r="N2208" t="str">
            <v>RESOLUCION</v>
          </cell>
          <cell r="O2208">
            <v>1628</v>
          </cell>
          <cell r="P2208">
            <v>43192</v>
          </cell>
          <cell r="Q2208" t="str">
            <v>Asignacion del instrumento financiero a las familias ocupantes del predio que hayan superado la fase de verificacion dentro  del marco del Decreto 457 de 2017. LOCALIDAD: KENNEDY; BARRIO: VEREDITAS; ID: 2017-8-383638</v>
          </cell>
          <cell r="R2208">
            <v>54686940</v>
          </cell>
          <cell r="S2208">
            <v>0</v>
          </cell>
          <cell r="T2208">
            <v>0</v>
          </cell>
          <cell r="U2208">
            <v>54686940</v>
          </cell>
          <cell r="V2208">
            <v>54686940</v>
          </cell>
        </row>
        <row r="2209">
          <cell r="J2209">
            <v>1664</v>
          </cell>
          <cell r="K2209">
            <v>43192</v>
          </cell>
          <cell r="L2209" t="str">
            <v>ANDRES  YATE</v>
          </cell>
          <cell r="M2209">
            <v>31</v>
          </cell>
          <cell r="N2209" t="str">
            <v>RESOLUCION</v>
          </cell>
          <cell r="O2209">
            <v>1689</v>
          </cell>
          <cell r="P2209">
            <v>43192</v>
          </cell>
          <cell r="Q2209" t="str">
            <v>adquisición de mejoras y cesión de la posesión por Decreto 511 de 2010. LOCALIDAD: CIUDAD BOLIVAR; BARRIO: SANTA VIVIANA; ID: 2003-19-5176</v>
          </cell>
          <cell r="R2209">
            <v>24984000</v>
          </cell>
          <cell r="S2209">
            <v>0</v>
          </cell>
          <cell r="T2209">
            <v>0</v>
          </cell>
          <cell r="U2209">
            <v>24984000</v>
          </cell>
          <cell r="V2209">
            <v>0</v>
          </cell>
        </row>
        <row r="2210">
          <cell r="J2210">
            <v>1665</v>
          </cell>
          <cell r="K2210">
            <v>43192</v>
          </cell>
          <cell r="L2210" t="str">
            <v>JONATHAN ALEJANDRO BRAVO CHAVARRIO</v>
          </cell>
          <cell r="M2210">
            <v>31</v>
          </cell>
          <cell r="N2210" t="str">
            <v>RESOLUCION</v>
          </cell>
          <cell r="O2210">
            <v>1685</v>
          </cell>
          <cell r="P2210">
            <v>43192</v>
          </cell>
          <cell r="Q2210" t="str">
            <v>Asignacion del instrumento financiero a las familias ocupantes del predio que hayan superado la fase de verificacion dentro  del marco del Decreto 457 de 2017. LOCALIDAD: KENNEDY; BARRIO: VEREDITAS; ID: 2017-8-383670</v>
          </cell>
          <cell r="R2210">
            <v>54686940</v>
          </cell>
          <cell r="S2210">
            <v>0</v>
          </cell>
          <cell r="T2210">
            <v>0</v>
          </cell>
          <cell r="U2210">
            <v>54686940</v>
          </cell>
          <cell r="V2210">
            <v>54686940</v>
          </cell>
        </row>
        <row r="2211">
          <cell r="J2211">
            <v>1668</v>
          </cell>
          <cell r="K2211">
            <v>43194</v>
          </cell>
          <cell r="L2211" t="str">
            <v>LUIS HERNAN SIERRA CASAS</v>
          </cell>
          <cell r="M2211">
            <v>31</v>
          </cell>
          <cell r="N2211" t="str">
            <v>RESOLUCION</v>
          </cell>
          <cell r="O2211">
            <v>1747</v>
          </cell>
          <cell r="P2211">
            <v>43194</v>
          </cell>
          <cell r="Q2211" t="str">
            <v>AYUDA TEMPORAL A LAS FAMILIAS DE VARIAS LOCALIDADES, PARA LA RELOCALIZACIÓN DE HOGARES LOCALIZADOS EN ZONAS DE ALTO RIESGO NO MITIGABLE ID:2015-D227-00030, LOCALIDAD:04 SAN CRISTÓBAL, UPZ:51 LOS LIBERTADORES, SECTOR:SANTA TERESITA</v>
          </cell>
          <cell r="R2211">
            <v>2977345</v>
          </cell>
          <cell r="S2211">
            <v>0</v>
          </cell>
          <cell r="T2211">
            <v>0</v>
          </cell>
          <cell r="U2211">
            <v>2977345</v>
          </cell>
          <cell r="V2211">
            <v>2126675</v>
          </cell>
        </row>
        <row r="2212">
          <cell r="J2212">
            <v>1669</v>
          </cell>
          <cell r="K2212">
            <v>43194</v>
          </cell>
          <cell r="L2212" t="str">
            <v>EVANGELISTA  MORALES MORALES</v>
          </cell>
          <cell r="M2212">
            <v>31</v>
          </cell>
          <cell r="N2212" t="str">
            <v>RESOLUCION</v>
          </cell>
          <cell r="O2212">
            <v>1746</v>
          </cell>
          <cell r="P2212">
            <v>43194</v>
          </cell>
          <cell r="Q2212" t="str">
            <v>AYUDA TEMPORAL A LAS FAMILIAS DE VARIAS LOCALIDADES, PARA RELOCALIZACIÓN DE HOGARES LOCALIZADOS EN ZONAS DE ALTO RIESGO NO MITIGABLE ID:2013-Q10-00506, LOCALIDAD:04 SAN CRISTÓBAL, UPZ:51 LOS LIBERTADORES, SECTOR:QUEBRADA VEREJONES</v>
          </cell>
          <cell r="R2212">
            <v>3201695</v>
          </cell>
          <cell r="S2212">
            <v>0</v>
          </cell>
          <cell r="T2212">
            <v>0</v>
          </cell>
          <cell r="U2212">
            <v>3201695</v>
          </cell>
          <cell r="V2212">
            <v>2286925</v>
          </cell>
        </row>
        <row r="2213">
          <cell r="J2213">
            <v>1670</v>
          </cell>
          <cell r="K2213">
            <v>43194</v>
          </cell>
          <cell r="L2213" t="str">
            <v>EMILIANO  CHIRIPUA</v>
          </cell>
          <cell r="M2213">
            <v>31</v>
          </cell>
          <cell r="N2213" t="str">
            <v>RESOLUCION</v>
          </cell>
          <cell r="O2213">
            <v>1745</v>
          </cell>
          <cell r="P2213">
            <v>43194</v>
          </cell>
          <cell r="Q2213" t="str">
            <v>AYUDA TEMPORAL A LAS FAMILIAS DE VARIAS LOCALIDADES, PARA LA RELOCALIZACIÓN DE HOGARES LOCALIZADOS EN ZONAS DE ALTO RIESGO NO MITIGABLE ID:2014-W166-001, LOCALIDAD:19 CIUDAD BOLÍVAR, UPZ:68 EL TESORO, SECTOR:WOUNAAN</v>
          </cell>
          <cell r="R2213">
            <v>7480447</v>
          </cell>
          <cell r="S2213">
            <v>0</v>
          </cell>
          <cell r="T2213">
            <v>0</v>
          </cell>
          <cell r="U2213">
            <v>7480447</v>
          </cell>
          <cell r="V2213">
            <v>2877095</v>
          </cell>
        </row>
        <row r="2214">
          <cell r="J2214">
            <v>1671</v>
          </cell>
          <cell r="K2214">
            <v>43194</v>
          </cell>
          <cell r="L2214" t="str">
            <v>MARTHA CECILIA RIAÑO ROCHA</v>
          </cell>
          <cell r="M2214">
            <v>31</v>
          </cell>
          <cell r="N2214" t="str">
            <v>RESOLUCION</v>
          </cell>
          <cell r="O2214">
            <v>1744</v>
          </cell>
          <cell r="P2214">
            <v>43194</v>
          </cell>
          <cell r="Q2214" t="str">
            <v>AYUDA TEMPORAL A LAS FAMILIAS DE VARIAS LOCALIDADES, PARA LA RELOCALIZACIÓN DE HOGARES LOCALIZADOS EN ZONAS DE ALTO RIESGO NO MITIGABLE ID:2012-3-14353, LOCALIDAD:03 SANTA FE, UPZ:96 LOURDES, SECTOR:</v>
          </cell>
          <cell r="R2214">
            <v>4989600</v>
          </cell>
          <cell r="S2214">
            <v>0</v>
          </cell>
          <cell r="T2214">
            <v>0</v>
          </cell>
          <cell r="U2214">
            <v>4989600</v>
          </cell>
          <cell r="V2214">
            <v>2772000</v>
          </cell>
        </row>
        <row r="2215">
          <cell r="J2215">
            <v>1672</v>
          </cell>
          <cell r="K2215">
            <v>43194</v>
          </cell>
          <cell r="L2215" t="str">
            <v>FLORICELDA  CHIRIPUA CHAMAPURO</v>
          </cell>
          <cell r="M2215">
            <v>31</v>
          </cell>
          <cell r="N2215" t="str">
            <v>RESOLUCION</v>
          </cell>
          <cell r="O2215">
            <v>1742</v>
          </cell>
          <cell r="P2215">
            <v>43194</v>
          </cell>
          <cell r="Q2215" t="str">
            <v>AYUDA TEMPORAL A LAS FAMILIAS DE VARIAS LOCALIDADES, PARA LA RELOCALIZACIÓN DE HOGARES LOCALIZADOS EN ZONAS DE ALTO RIESGO NO MITIGABLE ID:2014-W166-060, LOCALIDAD:19 CIUDAD BOLÍVAR, UPZ:68 EL TESORO, SECTOR:WOUNAAN</v>
          </cell>
          <cell r="R2215">
            <v>4581225</v>
          </cell>
          <cell r="S2215">
            <v>0</v>
          </cell>
          <cell r="T2215">
            <v>0</v>
          </cell>
          <cell r="U2215">
            <v>4581225</v>
          </cell>
          <cell r="V2215">
            <v>2545125</v>
          </cell>
        </row>
        <row r="2216">
          <cell r="J2216">
            <v>1673</v>
          </cell>
          <cell r="K2216">
            <v>43194</v>
          </cell>
          <cell r="L2216" t="str">
            <v>ANA LUCIA CHIRIPUA DONISABE</v>
          </cell>
          <cell r="M2216">
            <v>31</v>
          </cell>
          <cell r="N2216" t="str">
            <v>RESOLUCION</v>
          </cell>
          <cell r="O2216">
            <v>1741</v>
          </cell>
          <cell r="P2216">
            <v>43194</v>
          </cell>
          <cell r="Q2216" t="str">
            <v>AYUDA TEMPORAL A LAS FAMILIAS DE VARIAS LOCALIDADES, PARA LA RELOCALIZACIÓN DE HOGARES LOCALIZADOS EN ZONAS DE ALTO RIESGO NO MITIGABLE ID:2015-W166-518, LOCALIDAD:19 CIUDAD BOLÍVAR, UPZ:67 LUCERO, SECTOR:WOUNAAN</v>
          </cell>
          <cell r="R2216">
            <v>5219100</v>
          </cell>
          <cell r="S2216">
            <v>0</v>
          </cell>
          <cell r="T2216">
            <v>0</v>
          </cell>
          <cell r="U2216">
            <v>5219100</v>
          </cell>
          <cell r="V2216">
            <v>2899500</v>
          </cell>
        </row>
        <row r="2217">
          <cell r="J2217">
            <v>1674</v>
          </cell>
          <cell r="K2217">
            <v>43194</v>
          </cell>
          <cell r="L2217" t="str">
            <v>ROBERT  ISMARE PUCHICAMA</v>
          </cell>
          <cell r="M2217">
            <v>31</v>
          </cell>
          <cell r="N2217" t="str">
            <v>RESOLUCION</v>
          </cell>
          <cell r="O2217">
            <v>1740</v>
          </cell>
          <cell r="P2217">
            <v>43194</v>
          </cell>
          <cell r="Q2217" t="str">
            <v>AYUDA TEMPORAL A LAS FAMILIAS DE VARIAS LOCALIDADES, PARA LA RELOCALIZACIÓN DE HOGARES LOCALIZADOS EN ZONAS DE ALTO RIESGO NO MITIGABLE ID:2014-W166-087, LOCALIDAD:19 CIUDAD BOLÍVAR, UPZ:68 EL TESORO, SECTOR:WOUNAAN</v>
          </cell>
          <cell r="R2217">
            <v>6491914</v>
          </cell>
          <cell r="S2217">
            <v>0</v>
          </cell>
          <cell r="T2217">
            <v>0</v>
          </cell>
          <cell r="U2217">
            <v>6491914</v>
          </cell>
          <cell r="V2217">
            <v>2950870</v>
          </cell>
        </row>
        <row r="2218">
          <cell r="J2218">
            <v>1675</v>
          </cell>
          <cell r="K2218">
            <v>43194</v>
          </cell>
          <cell r="L2218" t="str">
            <v>PEDRO  GOMEZ ACHURY</v>
          </cell>
          <cell r="M2218">
            <v>31</v>
          </cell>
          <cell r="N2218" t="str">
            <v>RESOLUCION</v>
          </cell>
          <cell r="O2218">
            <v>1739</v>
          </cell>
          <cell r="P2218">
            <v>43194</v>
          </cell>
          <cell r="Q2218" t="str">
            <v>AYUDA TEMPORAL A LAS FAMILIAS DE VARIAS LOCALIDADES, PARA LA RELOCALIZACIÓN DE HOGARES LOCALIZADOS EN ZONAS DE ALTO RIESGO NO MITIGABLE ID:2015-Q20-01413, LOCALIDAD:04 SAN CRISTÓBAL, UPZ:50 LA GLORIA, SECTOR:LA CHIGUAZA</v>
          </cell>
          <cell r="R2218">
            <v>4570263</v>
          </cell>
          <cell r="S2218">
            <v>0</v>
          </cell>
          <cell r="T2218">
            <v>0</v>
          </cell>
          <cell r="U2218">
            <v>4570263</v>
          </cell>
          <cell r="V2218">
            <v>2539035</v>
          </cell>
        </row>
        <row r="2219">
          <cell r="J2219">
            <v>1676</v>
          </cell>
          <cell r="K2219">
            <v>43194</v>
          </cell>
          <cell r="L2219" t="str">
            <v>MODESTO  GARCIA CHIRIMIA</v>
          </cell>
          <cell r="M2219">
            <v>31</v>
          </cell>
          <cell r="N2219" t="str">
            <v>RESOLUCION</v>
          </cell>
          <cell r="O2219">
            <v>1738</v>
          </cell>
          <cell r="P2219">
            <v>43194</v>
          </cell>
          <cell r="Q2219" t="str">
            <v>AYUDA TEMPORAL A LAS FAMILIAS DE VARIAS LOCALIDADES, PARA LA RELOCALIZACIÓN DE HOGARES LOCALIZADOS EN ZONAS DE ALTO RIESGO NO MITIGABLE ID:2014-W166-081, LOCALIDAD:19 CIUDAD BOLÍVAR, UPZ:68 EL TESORO, SECTOR:WOUNAAN</v>
          </cell>
          <cell r="R2219">
            <v>5532880</v>
          </cell>
          <cell r="S2219">
            <v>0</v>
          </cell>
          <cell r="T2219">
            <v>0</v>
          </cell>
          <cell r="U2219">
            <v>5532880</v>
          </cell>
          <cell r="V2219">
            <v>2766440</v>
          </cell>
        </row>
        <row r="2220">
          <cell r="J2220">
            <v>1677</v>
          </cell>
          <cell r="K2220">
            <v>43194</v>
          </cell>
          <cell r="L2220" t="str">
            <v>JANIOS ALPIDIO MARQUEZ SUEROKE</v>
          </cell>
          <cell r="M2220">
            <v>31</v>
          </cell>
          <cell r="N2220" t="str">
            <v>RESOLUCION</v>
          </cell>
          <cell r="O2220">
            <v>1737</v>
          </cell>
          <cell r="P2220">
            <v>43194</v>
          </cell>
          <cell r="Q2220" t="str">
            <v>AYUDA TEMPORAL A LAS FAMILIAS DE VARIAS LOCALIDADES, PARA LA RELOCALIZACIÓN DE HOGARES LOCALIZADOS EN ZONAS DE ALTO RIESGO NO MITIGABLE ID:2015-W166-410, LOCALIDAD:04 SAN CRISTÓBAL, UPZ:32 SAN BLAS, SECTOR:UITOTO</v>
          </cell>
          <cell r="R2220">
            <v>5311560</v>
          </cell>
          <cell r="S2220">
            <v>0</v>
          </cell>
          <cell r="T2220">
            <v>0</v>
          </cell>
          <cell r="U2220">
            <v>5311560</v>
          </cell>
          <cell r="V2220">
            <v>2655780</v>
          </cell>
        </row>
        <row r="2221">
          <cell r="J2221">
            <v>1678</v>
          </cell>
          <cell r="K2221">
            <v>43194</v>
          </cell>
          <cell r="L2221" t="str">
            <v>ESTEBAN  CHIRIMIA DURA</v>
          </cell>
          <cell r="M2221">
            <v>31</v>
          </cell>
          <cell r="N2221" t="str">
            <v>RESOLUCION</v>
          </cell>
          <cell r="O2221">
            <v>1736</v>
          </cell>
          <cell r="P2221">
            <v>43194</v>
          </cell>
          <cell r="Q2221" t="str">
            <v>AYUDA TEMPORAL A LAS FAMILIAS DE VARIAS LOCALIDADES, PARA LA RELOCALIZACIÓN DE HOGARES LOCALIZADOS EN ZONAS DE ALTO RIESGO NO MITIGABLE ID:2015-W166-210, LOCALIDAD:04 SAN CRISTÓBAL, UPZ:33 SOSIEGO, SECTOR:EPERARA</v>
          </cell>
          <cell r="R2221">
            <v>3629568</v>
          </cell>
          <cell r="S2221">
            <v>0</v>
          </cell>
          <cell r="T2221">
            <v>0</v>
          </cell>
          <cell r="U2221">
            <v>3629568</v>
          </cell>
          <cell r="V2221">
            <v>3024640</v>
          </cell>
        </row>
        <row r="2222">
          <cell r="J2222">
            <v>1679</v>
          </cell>
          <cell r="K2222">
            <v>43194</v>
          </cell>
          <cell r="L2222" t="str">
            <v>ELVIRA  CORZO DE GALEANO</v>
          </cell>
          <cell r="M2222">
            <v>31</v>
          </cell>
          <cell r="N2222" t="str">
            <v>RESOLUCION</v>
          </cell>
          <cell r="O2222">
            <v>1735</v>
          </cell>
          <cell r="P2222">
            <v>43194</v>
          </cell>
          <cell r="Q2222" t="str">
            <v>AYUDA TEMPORAL A LAS FAMILIAS DE VARIAS LOCALIDADES, PARA LA RELOCALIZACIÓN DE HOGARES LOCALIZADOS EN ZONAS DE ALTO RIESGO NO MITIGABLE ID:2014-Q07-00919, LOCALIDAD:19 CIUDAD BOLÍVAR, UPZ:68 EL TESORO, SECTOR:QUEBRADA GALINDO</v>
          </cell>
          <cell r="R2222">
            <v>1534452</v>
          </cell>
          <cell r="S2222">
            <v>383613</v>
          </cell>
          <cell r="T2222">
            <v>0</v>
          </cell>
          <cell r="U2222">
            <v>1150839</v>
          </cell>
          <cell r="V2222">
            <v>1150839</v>
          </cell>
        </row>
        <row r="2223">
          <cell r="J2223">
            <v>1680</v>
          </cell>
          <cell r="K2223">
            <v>43194</v>
          </cell>
          <cell r="L2223" t="str">
            <v>LEOPOLDINA  CHIRIPUA DURA</v>
          </cell>
          <cell r="M2223">
            <v>31</v>
          </cell>
          <cell r="N2223" t="str">
            <v>RESOLUCION</v>
          </cell>
          <cell r="O2223">
            <v>1734</v>
          </cell>
          <cell r="P2223">
            <v>43194</v>
          </cell>
          <cell r="Q2223" t="str">
            <v>AYUDA TEMPORAL A LAS FAMILIAS DE VARIAS LOCALIDADES, PARA LA RELOCALIZACIÓN DE HOGARES LOCALIZADOS EN ZONAS DE ALTO RIESGO NO MITIGABLE ID:2015-W166-515, LOCALIDAD:19 CIUDAD BOLÍVAR, UPZ:67 LUCERO, SECTOR:WOUNAAN</v>
          </cell>
          <cell r="R2223">
            <v>4131218</v>
          </cell>
          <cell r="S2223">
            <v>0</v>
          </cell>
          <cell r="T2223">
            <v>0</v>
          </cell>
          <cell r="U2223">
            <v>4131218</v>
          </cell>
          <cell r="V2223">
            <v>2950870</v>
          </cell>
        </row>
        <row r="2224">
          <cell r="J2224">
            <v>1681</v>
          </cell>
          <cell r="K2224">
            <v>43194</v>
          </cell>
          <cell r="L2224" t="str">
            <v>JHON LEWIS CHICHILIANO PEÑA</v>
          </cell>
          <cell r="M2224">
            <v>31</v>
          </cell>
          <cell r="N2224" t="str">
            <v>RESOLUCION</v>
          </cell>
          <cell r="O2224">
            <v>1733</v>
          </cell>
          <cell r="P2224">
            <v>43194</v>
          </cell>
          <cell r="Q2224" t="str">
            <v>AYUDA TEMPORAL A LAS FAMILIAS DE VARIAS LOCALIDADES, PARA LA RELOCALIZACIÓN DE HOGARES LOCALIZADOS EN ZONAS DE ALTO RIESGO NO MITIGABLE ID:2014-W166-069, LOCALIDAD:19 CIUDAD BOLÍVAR, UPZ:68 EL TESORO, SECTOR:WOUNAAN</v>
          </cell>
          <cell r="R2224">
            <v>4027933</v>
          </cell>
          <cell r="S2224">
            <v>0</v>
          </cell>
          <cell r="T2224">
            <v>0</v>
          </cell>
          <cell r="U2224">
            <v>4027933</v>
          </cell>
          <cell r="V2224">
            <v>2877095</v>
          </cell>
        </row>
        <row r="2225">
          <cell r="J2225">
            <v>1682</v>
          </cell>
          <cell r="K2225">
            <v>43194</v>
          </cell>
          <cell r="L2225" t="str">
            <v>MARIA LEONISA MERCAZA CHIRIPUA</v>
          </cell>
          <cell r="M2225">
            <v>31</v>
          </cell>
          <cell r="N2225" t="str">
            <v>RESOLUCION</v>
          </cell>
          <cell r="O2225">
            <v>1732</v>
          </cell>
          <cell r="P2225">
            <v>43194</v>
          </cell>
          <cell r="Q2225" t="str">
            <v>AYUDA TEMPORAL A LAS FAMILIAS DE VARIAS LOCALIDADES, PARA LA RELOCALIZACIÓN DE HOGARES LOCALIZADOS EN ZONAS DE ALTO RIESGO NO MITIGABLE ID:2015-W166-533, LOCALIDAD:19 CIUDAD BOLÍVAR, UPZ:67 LUCERO, SECTOR:WOUNAAN</v>
          </cell>
          <cell r="R2225">
            <v>5112378</v>
          </cell>
          <cell r="S2225">
            <v>0</v>
          </cell>
          <cell r="T2225">
            <v>0</v>
          </cell>
          <cell r="U2225">
            <v>5112378</v>
          </cell>
          <cell r="V2225">
            <v>2840210</v>
          </cell>
        </row>
        <row r="2226">
          <cell r="J2226">
            <v>1683</v>
          </cell>
          <cell r="K2226">
            <v>43194</v>
          </cell>
          <cell r="L2226" t="str">
            <v>BLANCA LILIANA MELO RAMOS</v>
          </cell>
          <cell r="M2226">
            <v>31</v>
          </cell>
          <cell r="N2226" t="str">
            <v>RESOLUCION</v>
          </cell>
          <cell r="O2226">
            <v>1731</v>
          </cell>
          <cell r="P2226">
            <v>43194</v>
          </cell>
          <cell r="Q2226" t="str">
            <v>AYUDA TEMPORAL A LAS FAMILIAS DE VARIAS LOCALIDADES, PARA LA RELOCALIZACIÓN DE HOGARES LOCALIZADOS EN ZONAS DE ALTO RIESGO NO MITIGABLE ID:2011-4-12714, LOCALIDAD:04 SAN CRISTÓBAL, UPZ:32 SAN BLAS</v>
          </cell>
          <cell r="R2226">
            <v>6283186</v>
          </cell>
          <cell r="S2226">
            <v>0</v>
          </cell>
          <cell r="T2226">
            <v>0</v>
          </cell>
          <cell r="U2226">
            <v>6283186</v>
          </cell>
          <cell r="V2226">
            <v>3383254</v>
          </cell>
        </row>
        <row r="2227">
          <cell r="J2227">
            <v>1684</v>
          </cell>
          <cell r="K2227">
            <v>43194</v>
          </cell>
          <cell r="L2227" t="str">
            <v>RUVIELA  JAIMES CARBAJAL</v>
          </cell>
          <cell r="M2227">
            <v>31</v>
          </cell>
          <cell r="N2227" t="str">
            <v>RESOLUCION</v>
          </cell>
          <cell r="O2227">
            <v>1684</v>
          </cell>
          <cell r="P2227">
            <v>43194</v>
          </cell>
          <cell r="Q2227" t="str">
            <v>AYUDA TEMPORAL A LAS FAMILIAS DE VARIAS LOCALIDADES, PARA LA RELOCALIZACIÓN DE HOGARES LOCALIZADOS EN ZONAS DE ALTO RIESGO NO MITIGABLE ID:2012-ALES-211, LOCALIDAD:19 CIUDAD BOLÍVAR, UPZ:69 ISMAEL PERDOMO, SECTOR:ALTOS DE LA ESTANCIA</v>
          </cell>
          <cell r="R2227">
            <v>5164020</v>
          </cell>
          <cell r="S2227">
            <v>0</v>
          </cell>
          <cell r="T2227">
            <v>0</v>
          </cell>
          <cell r="U2227">
            <v>5164020</v>
          </cell>
          <cell r="V2227">
            <v>2582010</v>
          </cell>
        </row>
        <row r="2228">
          <cell r="J2228">
            <v>1685</v>
          </cell>
          <cell r="K2228">
            <v>43194</v>
          </cell>
          <cell r="L2228" t="str">
            <v>DAVID  MOÑA ISMARE</v>
          </cell>
          <cell r="M2228">
            <v>31</v>
          </cell>
          <cell r="N2228" t="str">
            <v>RESOLUCION</v>
          </cell>
          <cell r="O2228">
            <v>1683</v>
          </cell>
          <cell r="P2228">
            <v>43194</v>
          </cell>
          <cell r="Q2228" t="str">
            <v>AYUDA TEMPORAL A LAS FAMILIAS DE VARIAS LOCALIDADES, PARA LA RELOCALIZACIÓN DE HOGARES LOCALIZADOS EN ZONAS DE ALTO RIESGO NO MITIGABLE ID:2015-W166-415, LOCALIDAD:19 CIUDAD BOLÍVAR, UPZ:67 LUCERO, SECTOR:WOUNAAN</v>
          </cell>
          <cell r="R2228">
            <v>4871376</v>
          </cell>
          <cell r="S2228">
            <v>0</v>
          </cell>
          <cell r="T2228">
            <v>0</v>
          </cell>
          <cell r="U2228">
            <v>4871376</v>
          </cell>
          <cell r="V2228">
            <v>2706320</v>
          </cell>
        </row>
        <row r="2229">
          <cell r="J2229">
            <v>1686</v>
          </cell>
          <cell r="K2229">
            <v>43194</v>
          </cell>
          <cell r="L2229" t="str">
            <v>SILVIO  MOYA OPUA</v>
          </cell>
          <cell r="M2229">
            <v>31</v>
          </cell>
          <cell r="N2229" t="str">
            <v>RESOLUCION</v>
          </cell>
          <cell r="O2229">
            <v>1682</v>
          </cell>
          <cell r="P2229">
            <v>43194</v>
          </cell>
          <cell r="Q2229" t="str">
            <v>AYUDA TEMPORAL A LAS FAMILIAS DE VARIAS LOCALIDADES, PARA LA RELOCALIZACIÓN DE HOGARES LOCALIZADOS EN ZONAS DE ALTO RIESGO NO MITIGABLE ID:2014-W166-092, LOCALIDAD:19 CIUDAD BOLÍVAR, UPZ:68 EL TESORO, SECTOR:WOUNAAN</v>
          </cell>
          <cell r="R2229">
            <v>4780404</v>
          </cell>
          <cell r="S2229">
            <v>0</v>
          </cell>
          <cell r="T2229">
            <v>0</v>
          </cell>
          <cell r="U2229">
            <v>4780404</v>
          </cell>
          <cell r="V2229">
            <v>2655780</v>
          </cell>
        </row>
        <row r="2230">
          <cell r="J2230">
            <v>1687</v>
          </cell>
          <cell r="K2230">
            <v>43194</v>
          </cell>
          <cell r="L2230" t="str">
            <v>YENNY  CHAMAPURO CHIRIMIA</v>
          </cell>
          <cell r="M2230">
            <v>31</v>
          </cell>
          <cell r="N2230" t="str">
            <v>RESOLUCION</v>
          </cell>
          <cell r="O2230">
            <v>1681</v>
          </cell>
          <cell r="P2230">
            <v>43194</v>
          </cell>
          <cell r="Q2230" t="str">
            <v>AYUDA TEMPORAL A LAS FAMILIAS DE VARIAS LOCALIDADES, PARA LA RELOCALIZACIÓN DE HOGARES LOCALIZADOS EN ZONAS DE ALTO RIESGO NO MITIGABLE ID:2015-W166-437, LOCALIDAD:19 CIUDAD BOLÍVAR, UPZ:68 EL TESORO, SECTOR:WOUNAAN</v>
          </cell>
          <cell r="R2230">
            <v>4871376</v>
          </cell>
          <cell r="S2230">
            <v>0</v>
          </cell>
          <cell r="T2230">
            <v>0</v>
          </cell>
          <cell r="U2230">
            <v>4871376</v>
          </cell>
          <cell r="V2230">
            <v>2706320</v>
          </cell>
        </row>
        <row r="2231">
          <cell r="J2231">
            <v>1688</v>
          </cell>
          <cell r="K2231">
            <v>43194</v>
          </cell>
          <cell r="L2231" t="str">
            <v>RIGOBERTO  BALAGUER CAICEDO</v>
          </cell>
          <cell r="M2231">
            <v>31</v>
          </cell>
          <cell r="N2231" t="str">
            <v>RESOLUCION</v>
          </cell>
          <cell r="O2231">
            <v>1680</v>
          </cell>
          <cell r="P2231">
            <v>43194</v>
          </cell>
          <cell r="Q2231" t="str">
            <v>AYUDA TEMPORAL A LAS FAMILIAS DE VARIAS LOCALIDADES, PARA LA RELOCALIZACIÓN DE HOGARES LOCALIZADOS EN ZONAS DE ALTO RIESGO NO MITIGABLE ID:2012-19-14581, LOCALIDAD:19 CIUDAD BOLÍVAR, UPZ:68 EL TESORO, SECTOR:QUEBRADA TROMPETA</v>
          </cell>
          <cell r="R2231">
            <v>3098410</v>
          </cell>
          <cell r="S2231">
            <v>0</v>
          </cell>
          <cell r="T2231">
            <v>0</v>
          </cell>
          <cell r="U2231">
            <v>3098410</v>
          </cell>
          <cell r="V2231">
            <v>2213150</v>
          </cell>
        </row>
        <row r="2232">
          <cell r="J2232">
            <v>1689</v>
          </cell>
          <cell r="K2232">
            <v>43194</v>
          </cell>
          <cell r="L2232" t="str">
            <v>MISAEL  MOCHO NEGRIA</v>
          </cell>
          <cell r="M2232">
            <v>31</v>
          </cell>
          <cell r="N2232" t="str">
            <v>RESOLUCION</v>
          </cell>
          <cell r="O2232">
            <v>1679</v>
          </cell>
          <cell r="P2232">
            <v>43194</v>
          </cell>
          <cell r="Q2232" t="str">
            <v>AYUDA TEMPORAL A LAS FAMILIAS DE VARIAS LOCALIDADES, PARA LA RELOCALIZACIÓN DE HOGARES LOCALIZADOS EN ZONAS DE ALTO RIESGO NO MITIGABLE ID:2015-W166-529, LOCALIDAD:19 CIUDAD BOLÍVAR, UPZ:67 LUCERO, SECTOR:WOUNAAN</v>
          </cell>
          <cell r="R2232">
            <v>7192744</v>
          </cell>
          <cell r="S2232">
            <v>0</v>
          </cell>
          <cell r="T2232">
            <v>0</v>
          </cell>
          <cell r="U2232">
            <v>7192744</v>
          </cell>
          <cell r="V2232">
            <v>2766440</v>
          </cell>
        </row>
        <row r="2233">
          <cell r="J2233">
            <v>1690</v>
          </cell>
          <cell r="K2233">
            <v>43194</v>
          </cell>
          <cell r="L2233" t="str">
            <v>DAWILIO  DURA ISMARE</v>
          </cell>
          <cell r="M2233">
            <v>31</v>
          </cell>
          <cell r="N2233" t="str">
            <v>RESOLUCION</v>
          </cell>
          <cell r="O2233">
            <v>1678</v>
          </cell>
          <cell r="P2233">
            <v>43194</v>
          </cell>
          <cell r="Q2233" t="str">
            <v>AYUDA TEMPORAL A LAS FAMILIAS DE VARIAS LOCALIDADES, PARA LA RELOCALIZACIÓN DE HOGARES LOCALIZADOS EN ZONAS DE ALTO RIESGO NO MITIGABLE ID:2015-W166-432, LOCALIDAD:19 CIUDAD BOLÍVAR, UPZ:67 LUCERO, SECTOR:WOUNAAN</v>
          </cell>
          <cell r="R2233">
            <v>6905028</v>
          </cell>
          <cell r="S2233">
            <v>0</v>
          </cell>
          <cell r="T2233">
            <v>0</v>
          </cell>
          <cell r="U2233">
            <v>6905028</v>
          </cell>
          <cell r="V2233">
            <v>2655780</v>
          </cell>
        </row>
        <row r="2234">
          <cell r="J2234">
            <v>1691</v>
          </cell>
          <cell r="K2234">
            <v>43194</v>
          </cell>
          <cell r="L2234" t="str">
            <v>LUZ MARLEN URREGO RODRIGUEZ</v>
          </cell>
          <cell r="M2234">
            <v>31</v>
          </cell>
          <cell r="N2234" t="str">
            <v>RESOLUCION</v>
          </cell>
          <cell r="O2234">
            <v>1677</v>
          </cell>
          <cell r="P2234">
            <v>43194</v>
          </cell>
          <cell r="Q2234" t="str">
            <v>AYUDA TEMPORAL A LAS FAMILIAS DE VARIAS LOCALIDADES, PARA LA RELOCALIZACIÓN DE HOGARES LOCALIZADOS EN ZONAS DE ALTO RIESGO NO MITIGABLE ID:2015-5-14740, LOCALIDAD:05 USME, UPZ:56 DANUBIO,</v>
          </cell>
          <cell r="R2234">
            <v>6279000</v>
          </cell>
          <cell r="S2234">
            <v>0</v>
          </cell>
          <cell r="T2234">
            <v>0</v>
          </cell>
          <cell r="U2234">
            <v>6279000</v>
          </cell>
          <cell r="V2234">
            <v>2415000</v>
          </cell>
        </row>
        <row r="2235">
          <cell r="J2235">
            <v>1692</v>
          </cell>
          <cell r="K2235">
            <v>43194</v>
          </cell>
          <cell r="L2235" t="str">
            <v>VIRGILIO  PUAMA MEMBACHE</v>
          </cell>
          <cell r="M2235">
            <v>31</v>
          </cell>
          <cell r="N2235" t="str">
            <v>RESOLUCION</v>
          </cell>
          <cell r="O2235">
            <v>1676</v>
          </cell>
          <cell r="P2235">
            <v>43194</v>
          </cell>
          <cell r="Q2235" t="str">
            <v>AYUDA TEMPORAL A LAS FAMILIAS DE VARIAS LOCALIDADES, PARA LA RELOCALIZACIÓN DE HOGARES LOCALIZADOS EN ZONAS DE ALTO RIESGO NO MITIGABLE ID:2015-W166-517, LOCALIDAD:19 CIUDAD BOLÍVAR, UPZ:67 LUCERO, SECTOR:WOUNAAN</v>
          </cell>
          <cell r="R2235">
            <v>5360745</v>
          </cell>
          <cell r="S2235">
            <v>0</v>
          </cell>
          <cell r="T2235">
            <v>0</v>
          </cell>
          <cell r="U2235">
            <v>5360745</v>
          </cell>
          <cell r="V2235">
            <v>2061825</v>
          </cell>
        </row>
        <row r="2236">
          <cell r="J2236">
            <v>1693</v>
          </cell>
          <cell r="K2236">
            <v>43194</v>
          </cell>
          <cell r="L2236" t="str">
            <v>MIRNA ELISA VALENCIA PERTIAGA</v>
          </cell>
          <cell r="M2236">
            <v>31</v>
          </cell>
          <cell r="N2236" t="str">
            <v>RESOLUCION</v>
          </cell>
          <cell r="O2236">
            <v>1675</v>
          </cell>
          <cell r="P2236">
            <v>43194</v>
          </cell>
          <cell r="Q2236" t="str">
            <v>AYUDA TEMPORAL A LAS FAMILIAS DE VARIAS LOCALIDADES, PARA LA RELOCALIZACIÓN DE HOGARES LOCALIZADOS EN ZONAS DE ALTO RIESGO NO MITIGABLE ID:2015-W166-509, LOCALIDAD:04 SAN CRISTÓBAL, UPZ:34 20 DE JULIO, SECTOR:EPERARA</v>
          </cell>
          <cell r="R2236">
            <v>4780404</v>
          </cell>
          <cell r="S2236">
            <v>0</v>
          </cell>
          <cell r="T2236">
            <v>0</v>
          </cell>
          <cell r="U2236">
            <v>4780404</v>
          </cell>
          <cell r="V2236">
            <v>2655780</v>
          </cell>
        </row>
        <row r="2237">
          <cell r="J2237">
            <v>1694</v>
          </cell>
          <cell r="K2237">
            <v>43194</v>
          </cell>
          <cell r="L2237" t="str">
            <v>RENE  PIZARE MALAGA</v>
          </cell>
          <cell r="M2237">
            <v>31</v>
          </cell>
          <cell r="N2237" t="str">
            <v>RESOLUCION</v>
          </cell>
          <cell r="O2237">
            <v>1674</v>
          </cell>
          <cell r="P2237">
            <v>43194</v>
          </cell>
          <cell r="Q2237" t="str">
            <v>AYUDA TEMPORAL A LAS FAMILIAS DE VARIAS LOCALIDADES, PARA LA RELOCALIZACIÓN DE HOGARES LOCALIZADOS EN ZONAS DE ALTO RIESGO NO MITIGABLE ID:2015-W166-201, LOCALIDAD:04 SAN CRISTÓBAL, UPZ:33 SOSIEGO, SECTOR:EPERARA</v>
          </cell>
          <cell r="R2237">
            <v>4979592</v>
          </cell>
          <cell r="S2237">
            <v>0</v>
          </cell>
          <cell r="T2237">
            <v>0</v>
          </cell>
          <cell r="U2237">
            <v>4979592</v>
          </cell>
          <cell r="V2237">
            <v>2766440</v>
          </cell>
        </row>
        <row r="2238">
          <cell r="J2238">
            <v>1695</v>
          </cell>
          <cell r="K2238">
            <v>43195</v>
          </cell>
          <cell r="L2238" t="str">
            <v>ELBER ANTONIO ISMARE DURA</v>
          </cell>
          <cell r="M2238">
            <v>31</v>
          </cell>
          <cell r="N2238" t="str">
            <v>RESOLUCION</v>
          </cell>
          <cell r="O2238">
            <v>1673</v>
          </cell>
          <cell r="P2238">
            <v>43195</v>
          </cell>
          <cell r="Q2238" t="str">
            <v>AYUDA TEMPORAL A LAS FAMILIAS DE VARIAS LOCALIDADES, PARA LA RELOCALIZACIÓN DE HOGARES LOCALIZADOS EN ZONAS DE ALTO RIESGO NO MITIGABLE ID:2015-W166-213, LOCALIDAD:04 SAN CRISTÓBAL, UPZ:33 SOSIEGO, SECTOR:EPERARA</v>
          </cell>
          <cell r="R2238">
            <v>4647618</v>
          </cell>
          <cell r="S2238">
            <v>0</v>
          </cell>
          <cell r="T2238">
            <v>0</v>
          </cell>
          <cell r="U2238">
            <v>4647618</v>
          </cell>
          <cell r="V2238">
            <v>2582010</v>
          </cell>
        </row>
        <row r="2239">
          <cell r="J2239">
            <v>1696</v>
          </cell>
          <cell r="K2239">
            <v>43195</v>
          </cell>
          <cell r="L2239" t="str">
            <v>NISON HARIEL CHAUCARAMA GUACORIZO</v>
          </cell>
          <cell r="M2239">
            <v>31</v>
          </cell>
          <cell r="N2239" t="str">
            <v>RESOLUCION</v>
          </cell>
          <cell r="O2239">
            <v>1672</v>
          </cell>
          <cell r="P2239">
            <v>43195</v>
          </cell>
          <cell r="Q2239" t="str">
            <v>AYUDA TEMPORAL A LAS FAMILIAS DE VARIAS LOCALIDADES, PARA LA RELOCALIZACIÓN DE HOGARES LOCALIZADOS EN ZONAS DE ALTO RIESGO NO MITIGABLE ID:2014-W166-083, LOCALIDAD:19 CIUDAD BOLÍVAR, UPZ:68 EL TESORO, SECTOR:WOUNAAN</v>
          </cell>
          <cell r="R2239">
            <v>3515589</v>
          </cell>
          <cell r="S2239">
            <v>0</v>
          </cell>
          <cell r="T2239">
            <v>0</v>
          </cell>
          <cell r="U2239">
            <v>3515589</v>
          </cell>
          <cell r="V2239">
            <v>1953105</v>
          </cell>
        </row>
        <row r="2240">
          <cell r="J2240">
            <v>1697</v>
          </cell>
          <cell r="K2240">
            <v>43195</v>
          </cell>
          <cell r="L2240" t="str">
            <v>YONNY LESI OSORIO SARCO</v>
          </cell>
          <cell r="M2240">
            <v>31</v>
          </cell>
          <cell r="N2240" t="str">
            <v>RESOLUCION</v>
          </cell>
          <cell r="O2240">
            <v>1671</v>
          </cell>
          <cell r="P2240">
            <v>43195</v>
          </cell>
          <cell r="Q2240" t="str">
            <v>AYUDA TEMPORAL A LAS FAMILIAS DE VARIAS LOCALIDADES, PARA LA RELOCALIZACIÓN DE HOGARES LOCALIZADOS EN ZONAS DE ALTO RIESGO NO MITIGABLE ID:2014-W166-097, LOCALIDAD:19 CIUDAD BOLÍVAR, UPZ:68 EL TESORO, SECTOR:WOUNAAN</v>
          </cell>
          <cell r="R2240">
            <v>4780404</v>
          </cell>
          <cell r="S2240">
            <v>0</v>
          </cell>
          <cell r="T2240">
            <v>0</v>
          </cell>
          <cell r="U2240">
            <v>4780404</v>
          </cell>
          <cell r="V2240">
            <v>2655780</v>
          </cell>
        </row>
        <row r="2241">
          <cell r="J2241">
            <v>1698</v>
          </cell>
          <cell r="K2241">
            <v>43195</v>
          </cell>
          <cell r="L2241" t="str">
            <v>HENRY  MEJIA CUAMA</v>
          </cell>
          <cell r="M2241">
            <v>31</v>
          </cell>
          <cell r="N2241" t="str">
            <v>RESOLUCION</v>
          </cell>
          <cell r="O2241">
            <v>1670</v>
          </cell>
          <cell r="P2241">
            <v>43195</v>
          </cell>
          <cell r="Q2241" t="str">
            <v>AYUDA TEMPORAL A LAS FAMILIAS DE VARIAS LOCALIDADES, PARA LA RELOCALIZACIÓN DE HOGARES LOCALIZADOS EN ZONAS DE ALTO RIESGO NO MITIGABLE ID:2015-W166-205, LOCALIDAD:04 SAN CRISTÓBAL, UPZ:33 SOSIEGO, SECTOR:EPERARA</v>
          </cell>
          <cell r="R2241">
            <v>4780404</v>
          </cell>
          <cell r="S2241">
            <v>0</v>
          </cell>
          <cell r="T2241">
            <v>0</v>
          </cell>
          <cell r="U2241">
            <v>4780404</v>
          </cell>
          <cell r="V2241">
            <v>2655780</v>
          </cell>
        </row>
        <row r="2242">
          <cell r="J2242">
            <v>1699</v>
          </cell>
          <cell r="K2242">
            <v>43195</v>
          </cell>
          <cell r="L2242" t="str">
            <v>ELEYDA  CARDENAS MEMBACHE</v>
          </cell>
          <cell r="M2242">
            <v>31</v>
          </cell>
          <cell r="N2242" t="str">
            <v>RESOLUCION</v>
          </cell>
          <cell r="O2242">
            <v>1669</v>
          </cell>
          <cell r="P2242">
            <v>43195</v>
          </cell>
          <cell r="Q2242" t="str">
            <v>AYUDA TEMPORAL A LAS FAMILIAS DE VARIAS LOCALIDADES, PARA LA RELOCALIZACIÓN DE HOGARES LOCALIZADOS EN ZONAS DE ALTO RIESGO NO MITIGABLE ID:2014-W166-054, LOCALIDAD:19 CIUDAD BOLÍVAR, UPZ:68 EL TESORO, SECTOR:WOUNAAN</v>
          </cell>
          <cell r="R2242">
            <v>5311566</v>
          </cell>
          <cell r="S2242">
            <v>0</v>
          </cell>
          <cell r="T2242">
            <v>0</v>
          </cell>
          <cell r="U2242">
            <v>5311566</v>
          </cell>
          <cell r="V2242">
            <v>2950870</v>
          </cell>
        </row>
        <row r="2243">
          <cell r="J2243">
            <v>1700</v>
          </cell>
          <cell r="K2243">
            <v>43195</v>
          </cell>
          <cell r="L2243" t="str">
            <v>ALBEIRO  ORTIZ CHICHILIANO</v>
          </cell>
          <cell r="M2243">
            <v>31</v>
          </cell>
          <cell r="N2243" t="str">
            <v>RESOLUCION</v>
          </cell>
          <cell r="O2243">
            <v>1668</v>
          </cell>
          <cell r="P2243">
            <v>43195</v>
          </cell>
          <cell r="Q2243" t="str">
            <v>AYUDA TEMPORAL A LAS FAMILIAS DE VARIAS LOCALIDADES, PARA LA RELOCALIZACIÓN DE HOGARES LOCALIZADOS EN ZONAS DE ALTO RIESGO NO MITIGABLE ID:2015-W166-418, LOCALIDAD:19 CIUDAD BOLÍVAR, UPZ:67 LUCERO, SECTOR:WOUNAAN</v>
          </cell>
          <cell r="R2243">
            <v>5335434</v>
          </cell>
          <cell r="S2243">
            <v>0</v>
          </cell>
          <cell r="T2243">
            <v>0</v>
          </cell>
          <cell r="U2243">
            <v>5335434</v>
          </cell>
          <cell r="V2243">
            <v>2371304</v>
          </cell>
        </row>
        <row r="2244">
          <cell r="J2244">
            <v>1701</v>
          </cell>
          <cell r="K2244">
            <v>43195</v>
          </cell>
          <cell r="L2244" t="str">
            <v>DORIS ELSA PIRAZA ISMARE</v>
          </cell>
          <cell r="M2244">
            <v>31</v>
          </cell>
          <cell r="N2244" t="str">
            <v>RESOLUCION</v>
          </cell>
          <cell r="O2244">
            <v>1667</v>
          </cell>
          <cell r="P2244">
            <v>43195</v>
          </cell>
          <cell r="Q2244" t="str">
            <v>AYUDA TEMPORAL A LAS FAMILIAS DE VARIAS LOCALIDADES, PARA LA RELOCALIZACIÓN DE HOGARES LOCALIZADOS EN ZONAS DE ALTO RIESGO NO MITIGABLE ID:2014-W166-039, LOCALIDAD:19 CIUDAD BOLÍVAR, UPZ:68 EL TESORO, SECTOR:WOUNAAN</v>
          </cell>
          <cell r="R2244">
            <v>6491914</v>
          </cell>
          <cell r="S2244">
            <v>0</v>
          </cell>
          <cell r="T2244">
            <v>0</v>
          </cell>
          <cell r="U2244">
            <v>6491914</v>
          </cell>
          <cell r="V2244">
            <v>2950870</v>
          </cell>
        </row>
        <row r="2245">
          <cell r="J2245">
            <v>1702</v>
          </cell>
          <cell r="K2245">
            <v>43195</v>
          </cell>
          <cell r="L2245" t="str">
            <v>ROSALBA  ATEHORTUA ARIAS</v>
          </cell>
          <cell r="M2245">
            <v>31</v>
          </cell>
          <cell r="N2245" t="str">
            <v>RESOLUCION</v>
          </cell>
          <cell r="O2245">
            <v>1666</v>
          </cell>
          <cell r="P2245">
            <v>43195</v>
          </cell>
          <cell r="Q2245" t="str">
            <v>AYUDA TEMPORAL A LAS FAMILIAS DE VARIAS LOCALIDADES, PARA LA RELOCALIZACIÓN DE HOGARES LOCALIZADOS EN ZONAS DE ALTO RIESGO NO MITIGABLE ID:2013-5-14681, LOCALIDAD:05 USME, UPZ:57 GRAN YOMASA</v>
          </cell>
          <cell r="R2245">
            <v>5152170</v>
          </cell>
          <cell r="S2245">
            <v>0</v>
          </cell>
          <cell r="T2245">
            <v>0</v>
          </cell>
          <cell r="U2245">
            <v>5152170</v>
          </cell>
          <cell r="V2245">
            <v>2576085</v>
          </cell>
        </row>
        <row r="2246">
          <cell r="J2246">
            <v>1703</v>
          </cell>
          <cell r="K2246">
            <v>43195</v>
          </cell>
          <cell r="L2246" t="str">
            <v>DEISY  PEGAISA OPUA</v>
          </cell>
          <cell r="M2246">
            <v>31</v>
          </cell>
          <cell r="N2246" t="str">
            <v>RESOLUCION</v>
          </cell>
          <cell r="O2246">
            <v>1665</v>
          </cell>
          <cell r="P2246">
            <v>43195</v>
          </cell>
          <cell r="Q2246" t="str">
            <v>AYUDA TEMPORAL A LAS FAMILIAS DE VARIAS LOCALIDADES, PARA RELOCALIZACIÓN DE HOGARES LOCALIZADOS EN ZONAS DE ALTO RIESGO NO MITIGABLE ID:2014-W166-002, LOCALIDAD:19 CIUDAD BOLÍVAR, UPZ:67 LUCERO, SECTOR:WOUNAAN</v>
          </cell>
          <cell r="R2246">
            <v>3186936</v>
          </cell>
          <cell r="S2246">
            <v>0</v>
          </cell>
          <cell r="T2246">
            <v>0</v>
          </cell>
          <cell r="U2246">
            <v>3186936</v>
          </cell>
          <cell r="V2246">
            <v>2655780</v>
          </cell>
        </row>
        <row r="2247">
          <cell r="J2247">
            <v>1704</v>
          </cell>
          <cell r="K2247">
            <v>43195</v>
          </cell>
          <cell r="L2247" t="str">
            <v>PAOLA ANDREA ATTAMA</v>
          </cell>
          <cell r="M2247">
            <v>31</v>
          </cell>
          <cell r="N2247" t="str">
            <v>RESOLUCION</v>
          </cell>
          <cell r="O2247">
            <v>1664</v>
          </cell>
          <cell r="P2247">
            <v>43195</v>
          </cell>
          <cell r="Q2247" t="str">
            <v>AYUDA TEMPORAL A LAS FAMILIAS DE VARIAS LOCALIDADES, PARA LA RELOCALIZACIÓN DE HOGARES LOCALIZADOS EN ZONAS DE ALTO RIESGO NO MITIGABLE ID:2015-W166-406, LOCALIDAD:07 BOSA, UPZ:86 EL PORVENIR, SECTOR:UITOTO</v>
          </cell>
          <cell r="R2247">
            <v>4544336</v>
          </cell>
          <cell r="S2247">
            <v>0</v>
          </cell>
          <cell r="T2247">
            <v>0</v>
          </cell>
          <cell r="U2247">
            <v>4544336</v>
          </cell>
          <cell r="V2247">
            <v>2840210</v>
          </cell>
        </row>
        <row r="2248">
          <cell r="J2248">
            <v>1705</v>
          </cell>
          <cell r="K2248">
            <v>43195</v>
          </cell>
          <cell r="L2248" t="str">
            <v>FLOR EDILMA GARZON BENITEZ</v>
          </cell>
          <cell r="M2248">
            <v>31</v>
          </cell>
          <cell r="N2248" t="str">
            <v>RESOLUCION</v>
          </cell>
          <cell r="O2248">
            <v>1663</v>
          </cell>
          <cell r="P2248">
            <v>43195</v>
          </cell>
          <cell r="Q2248" t="str">
            <v>AYUDA TEMPORAL A LAS FAMILIAS DE VARIAS LOCALIDADES, PARA LA RELOCALIZACIÓN DE HOGARES LOCALIZADOS EN ZONAS DE ALTO RIESGO NO MITIGABLE ID:2013-Q05-00050, LOCALIDAD:19 CIUDAD BOLÍVAR, UPZ:67 LUCERO, SECTOR:QUEBRADA CAÑO BAÚL</v>
          </cell>
          <cell r="R2248">
            <v>3017000</v>
          </cell>
          <cell r="S2248">
            <v>0</v>
          </cell>
          <cell r="T2248">
            <v>0</v>
          </cell>
          <cell r="U2248">
            <v>3017000</v>
          </cell>
          <cell r="V2248">
            <v>2155000</v>
          </cell>
        </row>
        <row r="2249">
          <cell r="J2249">
            <v>1706</v>
          </cell>
          <cell r="K2249">
            <v>43195</v>
          </cell>
          <cell r="L2249" t="str">
            <v>JAIRO ALEXI FERLA</v>
          </cell>
          <cell r="M2249">
            <v>31</v>
          </cell>
          <cell r="N2249" t="str">
            <v>RESOLUCION</v>
          </cell>
          <cell r="O2249">
            <v>1662</v>
          </cell>
          <cell r="P2249">
            <v>43195</v>
          </cell>
          <cell r="Q2249" t="str">
            <v>AYUDA TEMPORAL A LAS FAMILIAS DE VARIAS LOCALIDADES, PARA LA RELOCALIZACIÓN DE HOGARES LOCALIZADOS EN ZONAS DE ALTO RIESGO NO MITIGABLE ID:2007-4-10688, LOCALIDAD:04 SAN CRISTÓBAL, UPZ:32 SAN BLAS</v>
          </cell>
          <cell r="R2249">
            <v>5612893</v>
          </cell>
          <cell r="S2249">
            <v>0</v>
          </cell>
          <cell r="T2249">
            <v>0</v>
          </cell>
          <cell r="U2249">
            <v>5612893</v>
          </cell>
          <cell r="V2249">
            <v>2158805</v>
          </cell>
        </row>
        <row r="2250">
          <cell r="J2250">
            <v>1707</v>
          </cell>
          <cell r="K2250">
            <v>43195</v>
          </cell>
          <cell r="L2250" t="str">
            <v>GEORGINA  GOMEZ MORENO</v>
          </cell>
          <cell r="M2250">
            <v>31</v>
          </cell>
          <cell r="N2250" t="str">
            <v>RESOLUCION</v>
          </cell>
          <cell r="O2250">
            <v>1661</v>
          </cell>
          <cell r="P2250">
            <v>43195</v>
          </cell>
          <cell r="Q2250" t="str">
            <v>AYUDA TEMPORAL A LAS FAMILIAS DE VARIAS LOCALIDADES, PARA LA RELOCALIZACIÓN DE HOGARES LOCALIZADOS EN ZONAS DE ALTO RIESGO NO MITIGABLE ID:2015-W166-500, LOCALIDAD:03 SANTA FE, UPZ:96 LOURDES, SECTOR:UITOTO</v>
          </cell>
          <cell r="R2250">
            <v>5311566</v>
          </cell>
          <cell r="S2250">
            <v>0</v>
          </cell>
          <cell r="T2250">
            <v>0</v>
          </cell>
          <cell r="U2250">
            <v>5311566</v>
          </cell>
          <cell r="V2250">
            <v>2950870</v>
          </cell>
        </row>
        <row r="2251">
          <cell r="J2251">
            <v>1711</v>
          </cell>
          <cell r="K2251">
            <v>43195</v>
          </cell>
          <cell r="L2251" t="str">
            <v>ALVARO  GARZON GONZALEZ</v>
          </cell>
          <cell r="M2251">
            <v>31</v>
          </cell>
          <cell r="N2251" t="str">
            <v>RESOLUCION</v>
          </cell>
          <cell r="O2251">
            <v>1660</v>
          </cell>
          <cell r="P2251">
            <v>43195</v>
          </cell>
          <cell r="Q2251" t="str">
            <v>AYUDA TEMPORAL A LAS FAMILIAS DE VARIAS LOCALIDADES, PARA LA RELOCALIZACIÓN DE HOGARES LOCALIZADOS EN ZONAS DE ALTO RIESGO NO MITIGABLE ID:2015-D227-00038, LOCALIDAD:04 SAN CRISTÓBAL, UPZ:51 LOS LIBERTADORES, SECTOR:SANTA TERESITA</v>
          </cell>
          <cell r="R2251">
            <v>2899572</v>
          </cell>
          <cell r="S2251">
            <v>0</v>
          </cell>
          <cell r="T2251">
            <v>0</v>
          </cell>
          <cell r="U2251">
            <v>2899572</v>
          </cell>
          <cell r="V2251">
            <v>2416310</v>
          </cell>
        </row>
        <row r="2252">
          <cell r="J2252">
            <v>1712</v>
          </cell>
          <cell r="K2252">
            <v>43195</v>
          </cell>
          <cell r="L2252" t="str">
            <v>LUZ MERY BERMUDEZ VARGAS</v>
          </cell>
          <cell r="M2252">
            <v>31</v>
          </cell>
          <cell r="N2252" t="str">
            <v>RESOLUCION</v>
          </cell>
          <cell r="O2252">
            <v>1659</v>
          </cell>
          <cell r="P2252">
            <v>43195</v>
          </cell>
          <cell r="Q2252" t="str">
            <v>AYUDA TEMPORAL A LAS FAMILIAS DE VARIAS LOCALIDADES, PARA LA RELOCALIZACIÓN DE HOGARES LOCALIZADOS EN ZONAS DE ALTO RIESGO NO MITIGABLE ID:2015-Q03-03361, LOCALIDAD:19 CIUDAD BOLÍVAR, UPZ:67 LUCERO, SECTOR:LIMAS</v>
          </cell>
          <cell r="R2252">
            <v>3157357</v>
          </cell>
          <cell r="S2252">
            <v>0</v>
          </cell>
          <cell r="T2252">
            <v>0</v>
          </cell>
          <cell r="U2252">
            <v>3157357</v>
          </cell>
          <cell r="V2252">
            <v>2255255</v>
          </cell>
        </row>
        <row r="2253">
          <cell r="J2253">
            <v>1713</v>
          </cell>
          <cell r="K2253">
            <v>43195</v>
          </cell>
          <cell r="L2253" t="str">
            <v>NELSON  GALEANO CORZO</v>
          </cell>
          <cell r="M2253">
            <v>31</v>
          </cell>
          <cell r="N2253" t="str">
            <v>RESOLUCION</v>
          </cell>
          <cell r="O2253">
            <v>1658</v>
          </cell>
          <cell r="P2253">
            <v>43195</v>
          </cell>
          <cell r="Q2253" t="str">
            <v>AYUDA TEMPORAL A LAS FAMILIAS DE VARIAS LOCALIDADES, PARA LA RELOCALIZACIÓN DE HOGARES LOCALIZADOS EN ZONAS DE ALTO RIESGO NO MITIGABLE ID:2013-Q05-00054, LOCALIDAD:19 CIUDAD BOLÍVAR, UPZ:68 EL TESORO, SECTOR:QUEBRADA GALINDO</v>
          </cell>
          <cell r="R2253">
            <v>2596764</v>
          </cell>
          <cell r="S2253">
            <v>649191</v>
          </cell>
          <cell r="T2253">
            <v>0</v>
          </cell>
          <cell r="U2253">
            <v>1947573</v>
          </cell>
          <cell r="V2253">
            <v>1947573</v>
          </cell>
        </row>
        <row r="2254">
          <cell r="J2254">
            <v>1714</v>
          </cell>
          <cell r="K2254">
            <v>43195</v>
          </cell>
          <cell r="L2254" t="str">
            <v>MARLIN  MOÑA CHIRIPUA</v>
          </cell>
          <cell r="M2254">
            <v>31</v>
          </cell>
          <cell r="N2254" t="str">
            <v>RESOLUCION</v>
          </cell>
          <cell r="O2254">
            <v>1657</v>
          </cell>
          <cell r="P2254">
            <v>43195</v>
          </cell>
          <cell r="Q2254" t="str">
            <v>AYUDA TEMPORAL A LAS FAMILIAS DE VARIAS LOCALIDADES, PARA LA RELOCALIZACIÓN DE HOGARES LOCALIZADOS EN ZONAS DE ALTO RIESGO NO MITIGABLE ID:2015-W166-519, LOCALIDAD:19 CIUDAD BOLÍVAR, UPZ:67 LUCERO, SECTOR:WOUNAAN</v>
          </cell>
          <cell r="R2254">
            <v>6030557</v>
          </cell>
          <cell r="S2254">
            <v>0</v>
          </cell>
          <cell r="T2254">
            <v>0</v>
          </cell>
          <cell r="U2254">
            <v>6030557</v>
          </cell>
          <cell r="V2254">
            <v>2319445</v>
          </cell>
        </row>
        <row r="2255">
          <cell r="J2255">
            <v>1715</v>
          </cell>
          <cell r="K2255">
            <v>43195</v>
          </cell>
          <cell r="L2255" t="str">
            <v>VICTOR  CARPIO CONQUISTA</v>
          </cell>
          <cell r="M2255">
            <v>31</v>
          </cell>
          <cell r="N2255" t="str">
            <v>RESOLUCION</v>
          </cell>
          <cell r="O2255">
            <v>1656</v>
          </cell>
          <cell r="P2255">
            <v>43195</v>
          </cell>
          <cell r="Q2255" t="str">
            <v>AYUDA TEMPORAL A LAS FAMILIAS DE VARIAS LOCALIDADES, PARA LA RELOCALIZACIÓN DE HOGARES LOCALIZADOS EN ZONAS DE ALTO RIESGO NO MITIGABLE ID:2014-W166-030, LOCALIDAD:19 CIUDAD BOLÍVAR, UPZ:67 LUCERO, SECTOR:WOUNAAN</v>
          </cell>
          <cell r="R2255">
            <v>5532880</v>
          </cell>
          <cell r="S2255">
            <v>0</v>
          </cell>
          <cell r="T2255">
            <v>0</v>
          </cell>
          <cell r="U2255">
            <v>5532880</v>
          </cell>
          <cell r="V2255">
            <v>2766440</v>
          </cell>
        </row>
        <row r="2256">
          <cell r="J2256">
            <v>1716</v>
          </cell>
          <cell r="K2256">
            <v>43195</v>
          </cell>
          <cell r="L2256" t="str">
            <v>INGRI  CARPIO CHAMAPURO</v>
          </cell>
          <cell r="M2256">
            <v>31</v>
          </cell>
          <cell r="N2256" t="str">
            <v>RESOLUCION</v>
          </cell>
          <cell r="O2256">
            <v>1655</v>
          </cell>
          <cell r="P2256">
            <v>43195</v>
          </cell>
          <cell r="Q2256" t="str">
            <v>AYUDA TEMPORAL A LAS FAMILIAS DE VARIAS LOCALIDADES, PARA LA RELOCALIZACIÓN DE HOGARES LOCALIZADOS EN ZONAS DE ALTO RIESGO NO MITIGABLE ID:2015-W166-442, LOCALIDAD:19 CIUDAD BOLÍVAR, UPZ:67 LUCERO, SECTOR:WOUNAAN</v>
          </cell>
          <cell r="R2256">
            <v>4117167</v>
          </cell>
          <cell r="S2256">
            <v>0</v>
          </cell>
          <cell r="T2256">
            <v>0</v>
          </cell>
          <cell r="U2256">
            <v>4117167</v>
          </cell>
          <cell r="V2256">
            <v>2287315</v>
          </cell>
        </row>
        <row r="2257">
          <cell r="J2257">
            <v>1718</v>
          </cell>
          <cell r="K2257">
            <v>43195</v>
          </cell>
          <cell r="L2257" t="str">
            <v>CARMEN NANCY RINCON DE BORDA</v>
          </cell>
          <cell r="M2257">
            <v>31</v>
          </cell>
          <cell r="N2257" t="str">
            <v>RESOLUCION</v>
          </cell>
          <cell r="O2257">
            <v>1690</v>
          </cell>
          <cell r="P2257">
            <v>43195</v>
          </cell>
          <cell r="Q2257" t="str">
            <v>VUR de la actual vigencia.Dto 255 de 2013. LOCALIDAD:CIUDAD BOLIVAR; BARRIO:SAUCES HORTALIZAS (HORTALIZAS); ID:2012-19-14175</v>
          </cell>
          <cell r="R2257">
            <v>39062100</v>
          </cell>
          <cell r="S2257">
            <v>0</v>
          </cell>
          <cell r="T2257">
            <v>0</v>
          </cell>
          <cell r="U2257">
            <v>39062100</v>
          </cell>
          <cell r="V2257">
            <v>0</v>
          </cell>
        </row>
        <row r="2258">
          <cell r="J2258">
            <v>1719</v>
          </cell>
          <cell r="K2258">
            <v>43195</v>
          </cell>
          <cell r="L2258" t="str">
            <v>ILEUDINE  DURA CHIRIPUA</v>
          </cell>
          <cell r="M2258">
            <v>31</v>
          </cell>
          <cell r="N2258" t="str">
            <v>RESOLUCION</v>
          </cell>
          <cell r="O2258">
            <v>1750</v>
          </cell>
          <cell r="P2258">
            <v>43195</v>
          </cell>
          <cell r="Q2258" t="str">
            <v>AYUDA TEMPORAL A LAS FAMILIAS DE VARIAS LOCALIDADES, PARA LA RELOCALIZACIÓN DE HOGARES LOCALIZADOS EN ZONAS DE ALTO RIESGO NO MITIGABLE ID:2015-W166-208, LOCALIDAD:04 SAN CRISTÓBAL, UPZ:33 SOSIEGO, SECTOR:EPERARA</v>
          </cell>
          <cell r="R2258">
            <v>3983670</v>
          </cell>
          <cell r="S2258">
            <v>0</v>
          </cell>
          <cell r="T2258">
            <v>0</v>
          </cell>
          <cell r="U2258">
            <v>3983670</v>
          </cell>
          <cell r="V2258">
            <v>2213150</v>
          </cell>
        </row>
        <row r="2259">
          <cell r="J2259">
            <v>1721</v>
          </cell>
          <cell r="K2259">
            <v>43195</v>
          </cell>
          <cell r="L2259" t="str">
            <v>FERNELY  ISMARE PUCHICAMA</v>
          </cell>
          <cell r="M2259">
            <v>31</v>
          </cell>
          <cell r="N2259" t="str">
            <v>RESOLUCION</v>
          </cell>
          <cell r="O2259">
            <v>1751</v>
          </cell>
          <cell r="P2259">
            <v>43195</v>
          </cell>
          <cell r="Q2259" t="str">
            <v>AYUDA TEMPORAL A LAS FAMILIAS DE VARIAS LOCALIDADES, PARA LA RELOCALIZACIÓN DE HOGARES LOCALIZADOS EN ZONAS DE ALTO RIESGO NO MITIGABLE ID:2014-W166-098, LOCALIDAD:19 CIUDAD BOLÍVAR, UPZ:67 LUCERO, SECTOR:WOUNAAN</v>
          </cell>
          <cell r="R2259">
            <v>3515589</v>
          </cell>
          <cell r="S2259">
            <v>0</v>
          </cell>
          <cell r="T2259">
            <v>0</v>
          </cell>
          <cell r="U2259">
            <v>3515589</v>
          </cell>
          <cell r="V2259">
            <v>1953105</v>
          </cell>
        </row>
        <row r="2260">
          <cell r="J2260">
            <v>1722</v>
          </cell>
          <cell r="K2260">
            <v>43195</v>
          </cell>
          <cell r="L2260" t="str">
            <v>ARELIS  CLOFE GAMBOA</v>
          </cell>
          <cell r="M2260">
            <v>31</v>
          </cell>
          <cell r="N2260" t="str">
            <v>RESOLUCION</v>
          </cell>
          <cell r="O2260">
            <v>1752</v>
          </cell>
          <cell r="P2260">
            <v>43195</v>
          </cell>
          <cell r="Q2260" t="str">
            <v>AYUDA TEMPORAL A LAS FAMILIAS DE VARIAS LOCALIDADES, PARA LA RELOCALIZACIÓN DE HOGARES LOCALIZADOS EN ZONAS DE ALTO RIESGO NO MITIGABLE ID:2013-Q18-00395, LOCALIDAD:19 CIUDAD BOLÍVAR, UPZ:69 ISMAEL PERDOMO, SECTOR:ZANJÓN MURALLA</v>
          </cell>
          <cell r="R2260">
            <v>1335924</v>
          </cell>
          <cell r="S2260">
            <v>445308</v>
          </cell>
          <cell r="T2260">
            <v>0</v>
          </cell>
          <cell r="U2260">
            <v>890616</v>
          </cell>
          <cell r="V2260">
            <v>890616</v>
          </cell>
        </row>
        <row r="2261">
          <cell r="J2261">
            <v>1726</v>
          </cell>
          <cell r="K2261">
            <v>43195</v>
          </cell>
          <cell r="L2261" t="str">
            <v>ALONSO  CONQUISTA CARPIO</v>
          </cell>
          <cell r="M2261">
            <v>31</v>
          </cell>
          <cell r="N2261" t="str">
            <v>RESOLUCION</v>
          </cell>
          <cell r="O2261">
            <v>1654</v>
          </cell>
          <cell r="P2261">
            <v>43195</v>
          </cell>
          <cell r="Q2261" t="str">
            <v>AYUDA TEMPORAL A LAS FAMILIAS DE VARIAS LOCALIDADES, PARA RELOCALIZACIÓN DE HOGARES LOCALIZADOS EN ZONAS DE ALTO RIESGO NO MITIGABLE ID:2014-W166-049, LOCALIDAD:19 CIUDAD BOLÍVAR, UPZ:68 EL TESORO, SECTOR:WOUNAAN</v>
          </cell>
          <cell r="R2261">
            <v>3873016</v>
          </cell>
          <cell r="S2261">
            <v>0</v>
          </cell>
          <cell r="T2261">
            <v>0</v>
          </cell>
          <cell r="U2261">
            <v>3873016</v>
          </cell>
          <cell r="V2261">
            <v>2766440</v>
          </cell>
        </row>
        <row r="2262">
          <cell r="J2262">
            <v>1727</v>
          </cell>
          <cell r="K2262">
            <v>43195</v>
          </cell>
          <cell r="L2262" t="str">
            <v>DILFIO  MERCAZA ISMARE</v>
          </cell>
          <cell r="M2262">
            <v>31</v>
          </cell>
          <cell r="N2262" t="str">
            <v>RESOLUCION</v>
          </cell>
          <cell r="O2262">
            <v>1653</v>
          </cell>
          <cell r="P2262">
            <v>43195</v>
          </cell>
          <cell r="Q2262" t="str">
            <v>AYUDA TEMPORAL A LAS FAMILIAS DE VARIAS LOCALIDADES, PARA LA RELOCALIZACIÓN DE HOGARES LOCALIZADOS EN ZONAS DE ALTO RIESGO NO MITIGABLE ID:2014-W166-024, LOCALIDAD:19 CIUDAD BOLÍVAR, UPZ:68 EL TESORO, SECTOR:WOUNAAN</v>
          </cell>
          <cell r="R2262">
            <v>3659040</v>
          </cell>
          <cell r="S2262">
            <v>0</v>
          </cell>
          <cell r="T2262">
            <v>0</v>
          </cell>
          <cell r="U2262">
            <v>3659040</v>
          </cell>
          <cell r="V2262">
            <v>2032800</v>
          </cell>
        </row>
        <row r="2263">
          <cell r="J2263">
            <v>1728</v>
          </cell>
          <cell r="K2263">
            <v>43195</v>
          </cell>
          <cell r="L2263" t="str">
            <v>JOSE BELANIO QUIRO PIRAZA</v>
          </cell>
          <cell r="M2263">
            <v>31</v>
          </cell>
          <cell r="N2263" t="str">
            <v>RESOLUCION</v>
          </cell>
          <cell r="O2263">
            <v>1652</v>
          </cell>
          <cell r="P2263">
            <v>43195</v>
          </cell>
          <cell r="Q2263" t="str">
            <v>AYUDA TEMPORAL A LAS FAMILIAS DE VARIAS LOCALIDADES, PARA LA RELOCALIZACIÓN DE HOGARES LOCALIZADOS EN ZONAS DE ALTO RIESGO NO MITIGABLE ID:2014-W166-072, LOCALIDAD:19 CIUDAD BOLÍVAR, UPZ:68 EL TESORO, SECTOR:WOUNAAN</v>
          </cell>
          <cell r="R2263">
            <v>7921797</v>
          </cell>
          <cell r="S2263">
            <v>0</v>
          </cell>
          <cell r="T2263">
            <v>0</v>
          </cell>
          <cell r="U2263">
            <v>7921797</v>
          </cell>
          <cell r="V2263">
            <v>3046845</v>
          </cell>
        </row>
        <row r="2264">
          <cell r="J2264">
            <v>1729</v>
          </cell>
          <cell r="K2264">
            <v>43195</v>
          </cell>
          <cell r="L2264" t="str">
            <v>NOEL  ZAMUDIO BOHORQUEZ</v>
          </cell>
          <cell r="M2264">
            <v>31</v>
          </cell>
          <cell r="N2264" t="str">
            <v>RESOLUCION</v>
          </cell>
          <cell r="O2264">
            <v>1651</v>
          </cell>
          <cell r="P2264">
            <v>43195</v>
          </cell>
          <cell r="Q2264" t="str">
            <v>AYUDA TEMPORAL A LAS FAMILIAS DE VARIAS LOCALIDADES, PARA LA RELOCALIZACIÓN DE HOGARES LOCALIZADOS EN ZONAS DE ALTO RIESGO NO MITIGABLE ID:2009-4-10956, LOCALIDAD:04 SAN CRISTÓBAL, UPZ:32 SAN BLAS</v>
          </cell>
          <cell r="R2264">
            <v>5178771</v>
          </cell>
          <cell r="S2264">
            <v>0</v>
          </cell>
          <cell r="T2264">
            <v>0</v>
          </cell>
          <cell r="U2264">
            <v>5178771</v>
          </cell>
          <cell r="V2264">
            <v>1991835</v>
          </cell>
        </row>
        <row r="2265">
          <cell r="J2265">
            <v>1730</v>
          </cell>
          <cell r="K2265">
            <v>43195</v>
          </cell>
          <cell r="L2265" t="str">
            <v>NANCY  CHIRIMIA QUIRO</v>
          </cell>
          <cell r="M2265">
            <v>31</v>
          </cell>
          <cell r="N2265" t="str">
            <v>RESOLUCION</v>
          </cell>
          <cell r="O2265">
            <v>1650</v>
          </cell>
          <cell r="P2265">
            <v>43195</v>
          </cell>
          <cell r="Q2265" t="str">
            <v>AYUDA TEMPORAL A LAS FAMILIAS DE VARIAS LOCALIDADES, PARA LA RELOCALIZACIÓN DE HOGARES LOCALIZADOS EN ZONAS DE ALTO RIESGO NO MITIGABLE ID:2015-W166-219, LOCALIDAD:04 SAN CRISTÓBAL, UPZ:33 SOSIEGO, SECTOR:EPERARA</v>
          </cell>
          <cell r="R2265">
            <v>7312422</v>
          </cell>
          <cell r="S2265">
            <v>0</v>
          </cell>
          <cell r="T2265">
            <v>0</v>
          </cell>
          <cell r="U2265">
            <v>7312422</v>
          </cell>
          <cell r="V2265">
            <v>2812470</v>
          </cell>
        </row>
        <row r="2266">
          <cell r="J2266">
            <v>1731</v>
          </cell>
          <cell r="K2266">
            <v>43195</v>
          </cell>
          <cell r="L2266" t="str">
            <v>MARTHA  JIMENEZ PRECIADO</v>
          </cell>
          <cell r="M2266">
            <v>31</v>
          </cell>
          <cell r="N2266" t="str">
            <v>RESOLUCION</v>
          </cell>
          <cell r="O2266">
            <v>1646</v>
          </cell>
          <cell r="P2266">
            <v>43195</v>
          </cell>
          <cell r="Q2266" t="str">
            <v>AYUDA TEMPORAL A LAS FAMILIAS DE VARIAS LOCALIDADES, PARA LA RELOCALIZACIÓN DE HOGARES LOCALIZADOS EN ZONAS DE ALTO RIESGO NO MITIGABLE ID:2013-Q04-00530, LOCALIDAD:19 CIUDAD BOLÍVAR, UPZ:67 LUCERO, SECTOR:PEÑA COLORADA</v>
          </cell>
          <cell r="R2266">
            <v>4218705</v>
          </cell>
          <cell r="S2266">
            <v>0</v>
          </cell>
          <cell r="T2266">
            <v>0</v>
          </cell>
          <cell r="U2266">
            <v>4218705</v>
          </cell>
          <cell r="V2266">
            <v>2343725</v>
          </cell>
        </row>
        <row r="2267">
          <cell r="J2267">
            <v>1732</v>
          </cell>
          <cell r="K2267">
            <v>43195</v>
          </cell>
          <cell r="L2267" t="str">
            <v>BERNABE  CARRILLO FORERO</v>
          </cell>
          <cell r="M2267">
            <v>31</v>
          </cell>
          <cell r="N2267" t="str">
            <v>RESOLUCION</v>
          </cell>
          <cell r="O2267">
            <v>1645</v>
          </cell>
          <cell r="P2267">
            <v>43195</v>
          </cell>
          <cell r="Q2267" t="str">
            <v>AYUDA TEMPORAL A LAS FAMILIAS DE VARIAS LOCALIDADES, PARA LA RELOCALIZACIÓN DE HOGARES LOCALIZADOS EN ZONAS DE ALTO RIESGO NO MITIGABLE ID:2012-19-13900, LOCALIDAD:19 CIUDAD BOLÍVAR, UPZ:67 LUCERO</v>
          </cell>
          <cell r="R2267">
            <v>4218710</v>
          </cell>
          <cell r="S2267">
            <v>0</v>
          </cell>
          <cell r="T2267">
            <v>0</v>
          </cell>
          <cell r="U2267">
            <v>4218710</v>
          </cell>
          <cell r="V2267">
            <v>2109355</v>
          </cell>
        </row>
        <row r="2268">
          <cell r="J2268">
            <v>1733</v>
          </cell>
          <cell r="K2268">
            <v>43195</v>
          </cell>
          <cell r="L2268" t="str">
            <v>MISTRICO  CARPIO CHIRIPUA</v>
          </cell>
          <cell r="M2268">
            <v>31</v>
          </cell>
          <cell r="N2268" t="str">
            <v>RESOLUCION</v>
          </cell>
          <cell r="O2268">
            <v>1749</v>
          </cell>
          <cell r="P2268">
            <v>43195</v>
          </cell>
          <cell r="Q2268" t="str">
            <v>AYUDA TEMPORAL A LAS FAMILIAS DE VARIAS LOCALIDADES, PARA LA RELOCALIZACIÓN DE HOGARES LOCALIZADOS EN ZONAS DE ALTO RIESGO NO MITIGABLE ID:2014-W166-080, LOCALIDAD:19 CIUDAD BOLÍVAR, UPZ:68 EL TESORO, SECTOR:WOUNAAN</v>
          </cell>
          <cell r="R2268">
            <v>5901740</v>
          </cell>
          <cell r="S2268">
            <v>0</v>
          </cell>
          <cell r="T2268">
            <v>0</v>
          </cell>
          <cell r="U2268">
            <v>5901740</v>
          </cell>
          <cell r="V2268">
            <v>2950870</v>
          </cell>
        </row>
        <row r="2269">
          <cell r="J2269">
            <v>1734</v>
          </cell>
          <cell r="K2269">
            <v>43195</v>
          </cell>
          <cell r="L2269" t="str">
            <v>MARIA ANGELICA MARTTINEZ JIMENEZ</v>
          </cell>
          <cell r="M2269">
            <v>31</v>
          </cell>
          <cell r="N2269" t="str">
            <v>RESOLUCION</v>
          </cell>
          <cell r="O2269">
            <v>1753</v>
          </cell>
          <cell r="P2269">
            <v>43195</v>
          </cell>
          <cell r="Q2269" t="str">
            <v>AYUDA TEMPORAL A LAS FAMILIAS DE VARIAS LOCALIDADES, PARA LA RELOCALIZACIÓN DE HOGARES LOCALIZADOS EN ZONAS DE ALTO RIESGO NO MITIGABLE ID:2015-Q04-01467, LOCALIDAD:19 CIUDAD BOLÍVAR, UPZ:67 LUCERO, SECTOR:PEÑA COLORADA</v>
          </cell>
          <cell r="R2269">
            <v>4570263</v>
          </cell>
          <cell r="S2269">
            <v>4570263</v>
          </cell>
          <cell r="T2269">
            <v>0</v>
          </cell>
          <cell r="U2269">
            <v>0</v>
          </cell>
          <cell r="V2269">
            <v>0</v>
          </cell>
        </row>
        <row r="2270">
          <cell r="J2270">
            <v>1735</v>
          </cell>
          <cell r="K2270">
            <v>43195</v>
          </cell>
          <cell r="L2270" t="str">
            <v>CAROLAING  JOYA CUELLAR</v>
          </cell>
          <cell r="M2270">
            <v>31</v>
          </cell>
          <cell r="N2270" t="str">
            <v>RESOLUCION</v>
          </cell>
          <cell r="O2270">
            <v>1748</v>
          </cell>
          <cell r="P2270">
            <v>43195</v>
          </cell>
          <cell r="Q2270" t="str">
            <v>Asignacion del instrumento financiero a las familias ocupantes del predio que hayan superado la fase de verificacion dentro  del marco del Decreto 457 de 2017. LOCALIDAD: KENNEDY; BARRIO: VEREDITAS; ID: 2018-8-15223</v>
          </cell>
          <cell r="R2270">
            <v>54686940</v>
          </cell>
          <cell r="S2270">
            <v>54686940</v>
          </cell>
          <cell r="T2270">
            <v>0</v>
          </cell>
          <cell r="U2270">
            <v>0</v>
          </cell>
          <cell r="V2270">
            <v>0</v>
          </cell>
        </row>
        <row r="2271">
          <cell r="J2271">
            <v>1736</v>
          </cell>
          <cell r="K2271">
            <v>43196</v>
          </cell>
          <cell r="L2271" t="str">
            <v>CAROLAING  JOYA CUELLAR</v>
          </cell>
          <cell r="M2271">
            <v>31</v>
          </cell>
          <cell r="N2271" t="str">
            <v>RESOLUCION</v>
          </cell>
          <cell r="O2271">
            <v>1748</v>
          </cell>
          <cell r="P2271">
            <v>43196</v>
          </cell>
          <cell r="Q2271" t="str">
            <v>Asignacion del instrumento financiero a las familias ocupantes del predio que hayan superado la fase de verificacion dentro  del marco del Decreto 457 de 2017. LOCALIDAD: KENNEDY; BARRIO: VEREDITAS; ID: 2018-8-15223</v>
          </cell>
          <cell r="R2271">
            <v>54686940</v>
          </cell>
          <cell r="S2271">
            <v>54686940</v>
          </cell>
          <cell r="T2271">
            <v>0</v>
          </cell>
          <cell r="U2271">
            <v>0</v>
          </cell>
          <cell r="V2271">
            <v>0</v>
          </cell>
        </row>
        <row r="2272">
          <cell r="J2272">
            <v>1737</v>
          </cell>
          <cell r="K2272">
            <v>43196</v>
          </cell>
          <cell r="L2272" t="str">
            <v>CAROLAING  JOYA CUELLAR</v>
          </cell>
          <cell r="M2272">
            <v>31</v>
          </cell>
          <cell r="N2272" t="str">
            <v>RESOLUCION</v>
          </cell>
          <cell r="O2272">
            <v>1748</v>
          </cell>
          <cell r="P2272">
            <v>43196</v>
          </cell>
          <cell r="Q2272" t="str">
            <v>Asignacion del instrumento financiero a las familias ocupantes del predio que hayan superado la fase de verificacion dentro  del marco del Decreto 457 de 2017. LOCALIDAD: KENNEDY; BARRIO: VEREDITAS; ID: 2018-8-15223</v>
          </cell>
          <cell r="R2272">
            <v>54686940</v>
          </cell>
          <cell r="S2272">
            <v>0</v>
          </cell>
          <cell r="T2272">
            <v>0</v>
          </cell>
          <cell r="U2272">
            <v>54686940</v>
          </cell>
          <cell r="V2272">
            <v>54686940</v>
          </cell>
        </row>
        <row r="2273">
          <cell r="J2273">
            <v>1740</v>
          </cell>
          <cell r="K2273">
            <v>43199</v>
          </cell>
          <cell r="L2273" t="str">
            <v>MARIA ONAIDA CONDE AROCA</v>
          </cell>
          <cell r="M2273">
            <v>31</v>
          </cell>
          <cell r="N2273" t="str">
            <v>RESOLUCION</v>
          </cell>
          <cell r="O2273">
            <v>1766</v>
          </cell>
          <cell r="P2273">
            <v>43199</v>
          </cell>
          <cell r="Q2273" t="str">
            <v>AYUDA TEMPORAL A LAS FAMILIAS DE VARIAS LOCALIDADES, PARA LA RELOCALIZACIÓN DE HOGARES LOCALIZADOS EN ZONAS DE ALTO RIESGO NO MITIGABLE ID:2011-5-12997, LOCALIDAD:05 USME, UPZ:56 DANUBIO</v>
          </cell>
          <cell r="R2273">
            <v>4177680</v>
          </cell>
          <cell r="S2273">
            <v>0</v>
          </cell>
          <cell r="T2273">
            <v>0</v>
          </cell>
          <cell r="U2273">
            <v>4177680</v>
          </cell>
          <cell r="V2273">
            <v>2088840</v>
          </cell>
        </row>
        <row r="2274">
          <cell r="J2274">
            <v>1741</v>
          </cell>
          <cell r="K2274">
            <v>43199</v>
          </cell>
          <cell r="L2274" t="str">
            <v>LUIS FERNANDO GOMEZ ALARCON</v>
          </cell>
          <cell r="M2274">
            <v>31</v>
          </cell>
          <cell r="N2274" t="str">
            <v>RESOLUCION</v>
          </cell>
          <cell r="O2274">
            <v>1767</v>
          </cell>
          <cell r="P2274">
            <v>43199</v>
          </cell>
          <cell r="Q2274" t="str">
            <v>AYUDA TEMPORAL A LAS FAMILIAS DE VARIAS LOCALIDADES, PARA LA RELOCALIZACIÓN DE HOGARES LOCALIZADOS EN ZONAS DE ALTO RIESGO NO MITIGABLE ID:2014-OTR-00971, LOCALIDAD:19 CIUDAD BOLÍVAR, UPZ:67 LUCERO, SECTOR:TABOR ALTALOMA</v>
          </cell>
          <cell r="R2274">
            <v>4310000</v>
          </cell>
          <cell r="S2274">
            <v>0</v>
          </cell>
          <cell r="T2274">
            <v>0</v>
          </cell>
          <cell r="U2274">
            <v>4310000</v>
          </cell>
          <cell r="V2274">
            <v>2155000</v>
          </cell>
        </row>
        <row r="2275">
          <cell r="J2275">
            <v>1742</v>
          </cell>
          <cell r="K2275">
            <v>43199</v>
          </cell>
          <cell r="L2275" t="str">
            <v>NELLY EDUVIGES PEÑA MOSQUERA</v>
          </cell>
          <cell r="M2275">
            <v>31</v>
          </cell>
          <cell r="N2275" t="str">
            <v>RESOLUCION</v>
          </cell>
          <cell r="O2275">
            <v>1768</v>
          </cell>
          <cell r="P2275">
            <v>43199</v>
          </cell>
          <cell r="Q2275" t="str">
            <v>AYUDA TEMPORAL A LAS FAMILIAS DE VARIAS LOCALIDADES, PARA LA RELOCALIZACIÓN DE HOGARES LOCALIZADOS EN ZONAS DE ALTO RIESGO NO MITIGABLE ID:2013-Q21-00613, LOCALIDAD:19 CIUDAD BOLÍVAR, UPZ:67 LUCERO, SECTOR:BRAZO DERECHO DE LIMAS</v>
          </cell>
          <cell r="R2275">
            <v>4843700</v>
          </cell>
          <cell r="S2275">
            <v>0</v>
          </cell>
          <cell r="T2275">
            <v>0</v>
          </cell>
          <cell r="U2275">
            <v>4843700</v>
          </cell>
          <cell r="V2275">
            <v>1453110</v>
          </cell>
        </row>
        <row r="2276">
          <cell r="J2276">
            <v>1743</v>
          </cell>
          <cell r="K2276">
            <v>43199</v>
          </cell>
          <cell r="L2276" t="str">
            <v>MIRYAM AMPARO SALINAS ARAGON</v>
          </cell>
          <cell r="M2276">
            <v>31</v>
          </cell>
          <cell r="N2276" t="str">
            <v>RESOLUCION</v>
          </cell>
          <cell r="O2276">
            <v>1769</v>
          </cell>
          <cell r="P2276">
            <v>43199</v>
          </cell>
          <cell r="Q2276" t="str">
            <v>AYUDA TEMPORAL A LAS FAMILIAS DE VARIAS LOCALIDADES, PARA LA RELOCALIZACIÓN DE HOGARES LOCALIZADOS EN ZONAS DE ALTO RIESGO NO MITIGABLE ID:2009-4-11058, LOCALIDAD:04 SAN CRISTÓBAL, UPZ:32 SAN BLAS</v>
          </cell>
          <cell r="R2276">
            <v>4317610</v>
          </cell>
          <cell r="S2276">
            <v>0</v>
          </cell>
          <cell r="T2276">
            <v>0</v>
          </cell>
          <cell r="U2276">
            <v>4317610</v>
          </cell>
          <cell r="V2276">
            <v>2590566</v>
          </cell>
        </row>
        <row r="2277">
          <cell r="J2277">
            <v>1744</v>
          </cell>
          <cell r="K2277">
            <v>43199</v>
          </cell>
          <cell r="L2277" t="str">
            <v>JARINSON  ORTIZ QUIRO</v>
          </cell>
          <cell r="M2277">
            <v>31</v>
          </cell>
          <cell r="N2277" t="str">
            <v>RESOLUCION</v>
          </cell>
          <cell r="O2277">
            <v>1770</v>
          </cell>
          <cell r="P2277">
            <v>43199</v>
          </cell>
          <cell r="Q2277" t="str">
            <v>AYUDA TEMPORAL A LAS FAMILIAS DE VARIAS LOCALIDADES, PARA LA RELOCALIZACIÓN DE HOGARES LOCALIZADOS EN ZONAS DE ALTO RIESGO NO MITIGABLE ID:2014-W166-066, LOCALIDAD:19 CIUDAD BOLÍVAR, UPZ:68 EL TESORO, SECTOR:WOUNAAN</v>
          </cell>
          <cell r="R2277">
            <v>5476900</v>
          </cell>
          <cell r="S2277">
            <v>0</v>
          </cell>
          <cell r="T2277">
            <v>0</v>
          </cell>
          <cell r="U2277">
            <v>5476900</v>
          </cell>
          <cell r="V2277">
            <v>2738450</v>
          </cell>
        </row>
        <row r="2278">
          <cell r="J2278">
            <v>1745</v>
          </cell>
          <cell r="K2278">
            <v>43199</v>
          </cell>
          <cell r="L2278" t="str">
            <v>MARIA ALEJANDRA SANCHEZ MENESES</v>
          </cell>
          <cell r="M2278">
            <v>31</v>
          </cell>
          <cell r="N2278" t="str">
            <v>RESOLUCION</v>
          </cell>
          <cell r="O2278">
            <v>1743</v>
          </cell>
          <cell r="P2278">
            <v>43199</v>
          </cell>
          <cell r="Q2278" t="str">
            <v>AYUDA TEMPORAL A LAS FAMILIAS DE VARIAS LOCALIDADES, PARA RELOCALIZACIÓN DE HOGARES LOCALIZADOS EN ZONAS DE ALTO RIESGO NO MITIGABLE ID:2014-OTR-01167, LOCALIDAD:11 SUBA, UPZ:71 TIBABUYES, SECTOR:GAVILANES</v>
          </cell>
          <cell r="R2278">
            <v>3017000</v>
          </cell>
          <cell r="S2278">
            <v>431000</v>
          </cell>
          <cell r="T2278">
            <v>0</v>
          </cell>
          <cell r="U2278">
            <v>2586000</v>
          </cell>
          <cell r="V2278">
            <v>2586000</v>
          </cell>
        </row>
        <row r="2279">
          <cell r="J2279">
            <v>1746</v>
          </cell>
          <cell r="K2279">
            <v>43199</v>
          </cell>
          <cell r="L2279" t="str">
            <v>IMELDA  PERTIAGA GONZALEZ</v>
          </cell>
          <cell r="M2279">
            <v>31</v>
          </cell>
          <cell r="N2279" t="str">
            <v>RESOLUCION</v>
          </cell>
          <cell r="O2279">
            <v>1759</v>
          </cell>
          <cell r="P2279">
            <v>43199</v>
          </cell>
          <cell r="Q2279" t="str">
            <v>AYUDA TEMPORAL A LAS FAMILIAS DE VARIAS LOCALIDADES, PARA LA RELOCALIZACIÓN DE HOGARES LOCALIZADOS EN ZONAS DE ALTO RIESGO NO MITIGABLE ID:2015-W166-218, LOCALIDAD:04 SAN CRISTÓBAL, UPZ:33 SOSIEGO, SECTOR:EPERARA</v>
          </cell>
          <cell r="R2279">
            <v>5923863</v>
          </cell>
          <cell r="S2279">
            <v>0</v>
          </cell>
          <cell r="T2279">
            <v>0</v>
          </cell>
          <cell r="U2279">
            <v>5923863</v>
          </cell>
          <cell r="V2279">
            <v>2692665</v>
          </cell>
        </row>
        <row r="2280">
          <cell r="J2280">
            <v>1747</v>
          </cell>
          <cell r="K2280">
            <v>43199</v>
          </cell>
          <cell r="L2280" t="str">
            <v>GERMAN  RUBIO MORENO</v>
          </cell>
          <cell r="M2280">
            <v>31</v>
          </cell>
          <cell r="N2280" t="str">
            <v>RESOLUCION</v>
          </cell>
          <cell r="O2280">
            <v>1762</v>
          </cell>
          <cell r="P2280">
            <v>43199</v>
          </cell>
          <cell r="Q2280" t="str">
            <v>AYUDA TEMPORAL A LAS FAMILIAS DE VARIAS LOCALIDADES, PARA LA RELOCALIZACIÓN DE HOGARES LOCALIZADOS EN ZONAS DE ALTO RIESGO NO MITIGABLE ID:2011-19-13761, LOCALIDAD:19 CIUDAD BOLÍVAR, UPZ:67 LUCERO</v>
          </cell>
          <cell r="R2280">
            <v>1171863</v>
          </cell>
          <cell r="S2280">
            <v>1171863</v>
          </cell>
          <cell r="T2280">
            <v>0</v>
          </cell>
          <cell r="U2280">
            <v>0</v>
          </cell>
          <cell r="V2280">
            <v>0</v>
          </cell>
        </row>
        <row r="2281">
          <cell r="J2281">
            <v>1748</v>
          </cell>
          <cell r="K2281">
            <v>43199</v>
          </cell>
          <cell r="L2281" t="str">
            <v>TEODORO  LEON CASTRO</v>
          </cell>
          <cell r="M2281">
            <v>31</v>
          </cell>
          <cell r="N2281" t="str">
            <v>RESOLUCION</v>
          </cell>
          <cell r="O2281">
            <v>1760</v>
          </cell>
          <cell r="P2281">
            <v>43199</v>
          </cell>
          <cell r="Q2281" t="str">
            <v>AYUDA TEMPORAL A LAS FAMILIAS DE VARIAS LOCALIDADES, PARA LA RELOCALIZACIÓN DE HOGARES LOCALIZADOS EN ZONAS DE ALTO RIESGO NO MITIGABLE ID:2016-4-00009, LOCALIDAD:04 SAN CRISTÓBAL, UPZ:51 LOS LIBERTADORES</v>
          </cell>
          <cell r="R2281">
            <v>4234496</v>
          </cell>
          <cell r="S2281">
            <v>0</v>
          </cell>
          <cell r="T2281">
            <v>0</v>
          </cell>
          <cell r="U2281">
            <v>4234496</v>
          </cell>
          <cell r="V2281">
            <v>3024640</v>
          </cell>
        </row>
        <row r="2282">
          <cell r="J2282">
            <v>1749</v>
          </cell>
          <cell r="K2282">
            <v>43199</v>
          </cell>
          <cell r="L2282" t="str">
            <v>HAMILTON  CARPIO MEMBACHE</v>
          </cell>
          <cell r="M2282">
            <v>31</v>
          </cell>
          <cell r="N2282" t="str">
            <v>RESOLUCION</v>
          </cell>
          <cell r="O2282">
            <v>1763</v>
          </cell>
          <cell r="P2282">
            <v>43199</v>
          </cell>
          <cell r="Q2282" t="str">
            <v>AYUDA TEMPORAL A LAS FAMILIAS DE VARIAS LOCALIDADES, PARA LA RELOCALIZACIÓN DE HOGARES LOCALIZADOS EN ZONAS DE ALTO RIESGO NO MITIGABLE ID:2014-W166-062, LOCALIDAD:19 CIUDAD BOLÍVAR, UPZ:68 EL TESORO, SECTOR:WOUNAAN</v>
          </cell>
          <cell r="R2282">
            <v>5680420</v>
          </cell>
          <cell r="S2282">
            <v>0</v>
          </cell>
          <cell r="T2282">
            <v>0</v>
          </cell>
          <cell r="U2282">
            <v>5680420</v>
          </cell>
          <cell r="V2282">
            <v>2840210</v>
          </cell>
        </row>
        <row r="2283">
          <cell r="J2283">
            <v>1750</v>
          </cell>
          <cell r="K2283">
            <v>43199</v>
          </cell>
          <cell r="L2283" t="str">
            <v>YERAR  MOYA ORTIZ</v>
          </cell>
          <cell r="M2283">
            <v>31</v>
          </cell>
          <cell r="N2283" t="str">
            <v>RESOLUCION</v>
          </cell>
          <cell r="O2283">
            <v>1764</v>
          </cell>
          <cell r="P2283">
            <v>43199</v>
          </cell>
          <cell r="Q2283" t="str">
            <v>AYUDA TEMPORAL A LAS FAMILIAS DE VARIAS LOCALIDADES, PARA LA RELOCALIZACIÓN DE HOGARES LOCALIZADOS EN ZONAS DE ALTO RIESGO NO MITIGABLE ID:2014-W166-036, LOCALIDAD:19 CIUDAD BOLÍVAR, UPZ:67 LUCERO, SECTOR:WOUNAAN</v>
          </cell>
          <cell r="R2283">
            <v>5532880</v>
          </cell>
          <cell r="S2283">
            <v>0</v>
          </cell>
          <cell r="T2283">
            <v>0</v>
          </cell>
          <cell r="U2283">
            <v>5532880</v>
          </cell>
          <cell r="V2283">
            <v>2766440</v>
          </cell>
        </row>
        <row r="2284">
          <cell r="J2284">
            <v>1751</v>
          </cell>
          <cell r="K2284">
            <v>43199</v>
          </cell>
          <cell r="L2284" t="str">
            <v>JHON FREDY VALENCIA CUERO</v>
          </cell>
          <cell r="M2284">
            <v>31</v>
          </cell>
          <cell r="N2284" t="str">
            <v>RESOLUCION</v>
          </cell>
          <cell r="O2284">
            <v>1765</v>
          </cell>
          <cell r="P2284">
            <v>43199</v>
          </cell>
          <cell r="Q2284" t="str">
            <v>AYUDA TEMPORAL A LAS FAMILIAS DE VARIAS LOCALIDADES, PARA LA RELOCALIZACIÓN DE HOGARES LOCALIZADOS EN ZONAS DE ALTO RIESGO NO MITIGABLE ID:2014-W166-067, LOCALIDAD:19 CIUDAD BOLÍVAR, UPZ:68 EL TESORO, SECTOR:WOUNAAN</v>
          </cell>
          <cell r="R2284">
            <v>5901740</v>
          </cell>
          <cell r="S2284">
            <v>0</v>
          </cell>
          <cell r="T2284">
            <v>0</v>
          </cell>
          <cell r="U2284">
            <v>5901740</v>
          </cell>
          <cell r="V2284">
            <v>2950870</v>
          </cell>
        </row>
        <row r="2285">
          <cell r="J2285">
            <v>1752</v>
          </cell>
          <cell r="K2285">
            <v>43199</v>
          </cell>
          <cell r="L2285" t="str">
            <v>GERMAN  RUBIO MORENO</v>
          </cell>
          <cell r="M2285">
            <v>31</v>
          </cell>
          <cell r="N2285" t="str">
            <v>RESOLUCION</v>
          </cell>
          <cell r="O2285">
            <v>1762</v>
          </cell>
          <cell r="P2285">
            <v>43199</v>
          </cell>
          <cell r="Q2285" t="str">
            <v>AYUDA TEMPORAL A LAS FAMILIAS DE VARIAS LOCALIDADES, PARA LA RELOCALIZACIÓN DE HOGARES LOCALIZADOS EN ZONAS DE ALTO RIESGO NO MITIGABLE ID:2011-19-13761, LOCALIDAD:19 CIUDAD BOLÍVAR, UPZ:67 LUCERO</v>
          </cell>
          <cell r="R2285">
            <v>1171863</v>
          </cell>
          <cell r="S2285">
            <v>390621</v>
          </cell>
          <cell r="T2285">
            <v>0</v>
          </cell>
          <cell r="U2285">
            <v>781242</v>
          </cell>
          <cell r="V2285">
            <v>781242</v>
          </cell>
        </row>
        <row r="2286">
          <cell r="J2286">
            <v>1753</v>
          </cell>
          <cell r="K2286">
            <v>43200</v>
          </cell>
          <cell r="L2286" t="str">
            <v>BLANCA MARY BULLA RODRIGUEZ</v>
          </cell>
          <cell r="M2286">
            <v>31</v>
          </cell>
          <cell r="N2286" t="str">
            <v>RESOLUCION</v>
          </cell>
          <cell r="O2286">
            <v>1761</v>
          </cell>
          <cell r="P2286">
            <v>43200</v>
          </cell>
          <cell r="Q2286" t="str">
            <v>AYUDA TEMPORAL A LAS FAMILIAS DE VARIAS LOCALIDADES, PARA LA RELOCALIZACIÓN DE HOGARES LOCALIZADOS EN ZONAS DE ALTO RIESGO NO MITIGABLE ID:2013000249, LOCALIDAD:19 CIUDAD BOLÍVAR, UPZ:67 LUCERO, SECTOR:PEÑA COLORADA</v>
          </cell>
          <cell r="R2286">
            <v>6639450</v>
          </cell>
          <cell r="S2286">
            <v>0</v>
          </cell>
          <cell r="T2286">
            <v>0</v>
          </cell>
          <cell r="U2286">
            <v>6639450</v>
          </cell>
          <cell r="V2286">
            <v>3319725</v>
          </cell>
        </row>
        <row r="2287">
          <cell r="J2287">
            <v>1757</v>
          </cell>
          <cell r="K2287">
            <v>43201</v>
          </cell>
          <cell r="L2287" t="str">
            <v>CARLOS  CONTRERAS COLMENARES</v>
          </cell>
          <cell r="M2287">
            <v>31</v>
          </cell>
          <cell r="N2287" t="str">
            <v>RESOLUCION</v>
          </cell>
          <cell r="O2287">
            <v>1824</v>
          </cell>
          <cell r="P2287">
            <v>43201</v>
          </cell>
          <cell r="Q2287" t="str">
            <v>AYUDA TEMPORAL A LAS FAMILIAS DE VARIAS LOCALIDADES, PARA LA RELOCALIZACIÓN DE HOGARES LOCALIZADOS EN ZONAS DE ALTO RIESGO NO MITIGABLE ID:2007-19-9715, LOCALIDAD:19 CIUDAD BOLÍVAR, UPZ:69 ISMAEL PERDOMO</v>
          </cell>
          <cell r="R2287">
            <v>4296831</v>
          </cell>
          <cell r="S2287">
            <v>0</v>
          </cell>
          <cell r="T2287">
            <v>0</v>
          </cell>
          <cell r="U2287">
            <v>4296831</v>
          </cell>
          <cell r="V2287">
            <v>2343726</v>
          </cell>
        </row>
        <row r="2288">
          <cell r="J2288">
            <v>1758</v>
          </cell>
          <cell r="K2288">
            <v>43201</v>
          </cell>
          <cell r="L2288" t="str">
            <v>CAROLINA  GUZMAN ROMERO</v>
          </cell>
          <cell r="M2288">
            <v>31</v>
          </cell>
          <cell r="N2288" t="str">
            <v>RESOLUCION</v>
          </cell>
          <cell r="O2288">
            <v>1832</v>
          </cell>
          <cell r="P2288">
            <v>43201</v>
          </cell>
          <cell r="Q2288" t="str">
            <v>AYUDA TEMPORAL A LAS FAMILIAS DE VARIAS LOCALIDADES, PARA LA RELOCALIZACIÓN DE HOGARES LOCALIZADOS EN ZONAS DE ALTO RIESGO NO MITIGABLE ID:2016-08-14921, LOCALIDAD:08 KENNEDY, UPZ:82 PATIO BONITO, SECTOR:PALMITAS</v>
          </cell>
          <cell r="R2288">
            <v>3186936</v>
          </cell>
          <cell r="S2288">
            <v>0</v>
          </cell>
          <cell r="T2288">
            <v>0</v>
          </cell>
          <cell r="U2288">
            <v>3186936</v>
          </cell>
          <cell r="V2288">
            <v>1991835</v>
          </cell>
        </row>
        <row r="2289">
          <cell r="J2289">
            <v>1759</v>
          </cell>
          <cell r="K2289">
            <v>43201</v>
          </cell>
          <cell r="L2289" t="str">
            <v>LUZ GEIDI MONTOYA</v>
          </cell>
          <cell r="M2289">
            <v>31</v>
          </cell>
          <cell r="N2289" t="str">
            <v>RESOLUCION</v>
          </cell>
          <cell r="O2289">
            <v>1833</v>
          </cell>
          <cell r="P2289">
            <v>43201</v>
          </cell>
          <cell r="Q2289" t="str">
            <v>AYUDA TEMPORAL A LAS FAMILIAS DE VARIAS LOCALIDADES, PARA RELOCALIZACIÓN DE HOGARES LOCALIZADOS EN ZONAS DE ALTO RIESGO NO MITIGABLE ID:2013000371, LOCALIDAD:19 CIUDAD BOLÍVAR, UPZ:67 LUCERO, SECTOR:PEÑA COLORADA</v>
          </cell>
          <cell r="R2289">
            <v>5859320</v>
          </cell>
          <cell r="S2289">
            <v>0</v>
          </cell>
          <cell r="T2289">
            <v>0</v>
          </cell>
          <cell r="U2289">
            <v>5859320</v>
          </cell>
          <cell r="V2289">
            <v>2929660</v>
          </cell>
        </row>
        <row r="2290">
          <cell r="J2290">
            <v>1760</v>
          </cell>
          <cell r="K2290">
            <v>43201</v>
          </cell>
          <cell r="L2290" t="str">
            <v>LUIS YEINER PIRAZA GARABATO</v>
          </cell>
          <cell r="M2290">
            <v>31</v>
          </cell>
          <cell r="N2290" t="str">
            <v>RESOLUCION</v>
          </cell>
          <cell r="O2290">
            <v>1834</v>
          </cell>
          <cell r="P2290">
            <v>43201</v>
          </cell>
          <cell r="Q2290" t="str">
            <v>AYUDA TEMPORAL A LAS FAMILIAS DE VARIAS LOCALIDADES, PARA RELOCALIZACIÓN DE HOGARES LOCALIZADOS EN ZONAS DE ALTO RIESGO NO MITIGABLE ID:2015-W166-427, LOCALIDAD:19 CIUDAD BOLÍVAR, UPZ:68 EL TESORO, SECTOR:WOUNAAN</v>
          </cell>
          <cell r="R2290">
            <v>4871376</v>
          </cell>
          <cell r="S2290">
            <v>0</v>
          </cell>
          <cell r="T2290">
            <v>0</v>
          </cell>
          <cell r="U2290">
            <v>4871376</v>
          </cell>
          <cell r="V2290">
            <v>2706320</v>
          </cell>
        </row>
        <row r="2291">
          <cell r="J2291">
            <v>1761</v>
          </cell>
          <cell r="K2291">
            <v>43201</v>
          </cell>
          <cell r="L2291" t="str">
            <v>JOSE PARMENIO LOPEZ</v>
          </cell>
          <cell r="M2291">
            <v>31</v>
          </cell>
          <cell r="N2291" t="str">
            <v>RESOLUCION</v>
          </cell>
          <cell r="O2291">
            <v>1783</v>
          </cell>
          <cell r="P2291">
            <v>43201</v>
          </cell>
          <cell r="Q2291" t="str">
            <v>VUR de la actual vigencia.Dto 255 de 2013. LOCALIDAD:CIUDAD BOLIVAR; BARRIO:EL MOCHUEO IV; ID:2016-19-00024</v>
          </cell>
          <cell r="R2291">
            <v>39062100</v>
          </cell>
          <cell r="S2291">
            <v>0</v>
          </cell>
          <cell r="T2291">
            <v>0</v>
          </cell>
          <cell r="U2291">
            <v>39062100</v>
          </cell>
          <cell r="V2291">
            <v>39062100</v>
          </cell>
        </row>
        <row r="2292">
          <cell r="J2292">
            <v>1762</v>
          </cell>
          <cell r="K2292">
            <v>43201</v>
          </cell>
          <cell r="L2292" t="str">
            <v>JESSICA LIZBETH PUENTES TELLEZ</v>
          </cell>
          <cell r="M2292">
            <v>31</v>
          </cell>
          <cell r="N2292" t="str">
            <v>RESOLUCION</v>
          </cell>
          <cell r="O2292">
            <v>1777</v>
          </cell>
          <cell r="P2292">
            <v>43201</v>
          </cell>
          <cell r="Q2292" t="str">
            <v>Asignacion del instrumento financiero a las familias ocupantes del predio que hayan superado la fase de verificacion dentro  del marco del Decreto 457 de 2017. LOCALIDAD: KENNEDY; BARRIO: VEREDITAS; ID: 2018-8-384313.</v>
          </cell>
          <cell r="R2292">
            <v>54686940</v>
          </cell>
          <cell r="S2292">
            <v>0</v>
          </cell>
          <cell r="T2292">
            <v>0</v>
          </cell>
          <cell r="U2292">
            <v>54686940</v>
          </cell>
          <cell r="V2292">
            <v>54686940</v>
          </cell>
        </row>
        <row r="2293">
          <cell r="J2293">
            <v>1763</v>
          </cell>
          <cell r="K2293">
            <v>43201</v>
          </cell>
          <cell r="L2293" t="str">
            <v>JOSE BASILICO GONZALEZ MURCIA</v>
          </cell>
          <cell r="M2293">
            <v>31</v>
          </cell>
          <cell r="N2293" t="str">
            <v>RESOLUCION</v>
          </cell>
          <cell r="O2293">
            <v>1773</v>
          </cell>
          <cell r="P2293">
            <v>43201</v>
          </cell>
          <cell r="Q2293" t="str">
            <v>Asignacion del instrumento financiero a las familias ocupantes del predio que hayan superado la fase de verificacion dentro  del marco del Decreto 457 de 2017. LOCALIDAD: KENNEDY; BARRIO: VEREDITAS; ID: 2017-8-383763</v>
          </cell>
          <cell r="R2293">
            <v>54686940</v>
          </cell>
          <cell r="S2293">
            <v>0</v>
          </cell>
          <cell r="T2293">
            <v>0</v>
          </cell>
          <cell r="U2293">
            <v>54686940</v>
          </cell>
          <cell r="V2293">
            <v>54686940</v>
          </cell>
        </row>
        <row r="2294">
          <cell r="J2294">
            <v>1764</v>
          </cell>
          <cell r="K2294">
            <v>43201</v>
          </cell>
          <cell r="L2294" t="str">
            <v>ALISON DANIELA MUÑOZ REYES</v>
          </cell>
          <cell r="M2294">
            <v>31</v>
          </cell>
          <cell r="N2294" t="str">
            <v>RESOLUCION</v>
          </cell>
          <cell r="O2294">
            <v>1774</v>
          </cell>
          <cell r="P2294">
            <v>43201</v>
          </cell>
          <cell r="Q2294" t="str">
            <v>Asignacion del instrumento financiero a las familias ocupantes del predio que hayan superado la fase de verificacion dentro  del marco del Decreto 457 de 2017. LOCALIDAD: KENNEDY; BARRIO: VEREDITAS; ID: 2018-8-384268</v>
          </cell>
          <cell r="R2294">
            <v>54686940</v>
          </cell>
          <cell r="S2294">
            <v>0</v>
          </cell>
          <cell r="T2294">
            <v>0</v>
          </cell>
          <cell r="U2294">
            <v>54686940</v>
          </cell>
          <cell r="V2294">
            <v>54686940</v>
          </cell>
        </row>
        <row r="2295">
          <cell r="J2295">
            <v>1765</v>
          </cell>
          <cell r="K2295">
            <v>43201</v>
          </cell>
          <cell r="L2295" t="str">
            <v>MARIA DEL CARMEN VALENCIA MEJIA</v>
          </cell>
          <cell r="M2295">
            <v>31</v>
          </cell>
          <cell r="N2295" t="str">
            <v>RESOLUCION</v>
          </cell>
          <cell r="O2295">
            <v>1788</v>
          </cell>
          <cell r="P2295">
            <v>43201</v>
          </cell>
          <cell r="Q2295" t="str">
            <v>AYUDA TEMPORAL A LAS FAMILIAS DE VARIAS LOCALIDADES, PARA LA RELOCALIZACIÓN DE HOGARES LOCALIZADOS EN ZONAS DE ALTO RIESGO NO MITIGABLE ID:2015-W166-203, LOCALIDAD:04 SAN CRISTÓBAL, UPZ:33 SOSIEGO, SECTOR:EPERARA</v>
          </cell>
          <cell r="R2295">
            <v>4926465</v>
          </cell>
          <cell r="S2295">
            <v>0</v>
          </cell>
          <cell r="T2295">
            <v>0</v>
          </cell>
          <cell r="U2295">
            <v>4926465</v>
          </cell>
          <cell r="V2295">
            <v>2736925</v>
          </cell>
        </row>
        <row r="2296">
          <cell r="J2296">
            <v>1766</v>
          </cell>
          <cell r="K2296">
            <v>43201</v>
          </cell>
          <cell r="L2296" t="str">
            <v>MELIDA  VALENCIA CHIRIMIA</v>
          </cell>
          <cell r="M2296">
            <v>31</v>
          </cell>
          <cell r="N2296" t="str">
            <v>RESOLUCION</v>
          </cell>
          <cell r="O2296">
            <v>1789</v>
          </cell>
          <cell r="P2296">
            <v>43201</v>
          </cell>
          <cell r="Q2296" t="str">
            <v>AYUDA TEMPORAL A LAS FAMILIAS DE VARIAS LOCALIDADES, PARA LA RELOCALIZACIÓN DE HOGARES LOCALIZADOS EN ZONAS DE ALTO RIESGO NO MITIGABLE ID:2015-W166-200, LOCALIDAD:04 SAN CRISTÓBAL, UPZ:33 SOSIEGO, SECTOR:EPERARA</v>
          </cell>
          <cell r="R2296">
            <v>5311566</v>
          </cell>
          <cell r="S2296">
            <v>0</v>
          </cell>
          <cell r="T2296">
            <v>0</v>
          </cell>
          <cell r="U2296">
            <v>5311566</v>
          </cell>
          <cell r="V2296">
            <v>2950870</v>
          </cell>
        </row>
        <row r="2297">
          <cell r="J2297">
            <v>1767</v>
          </cell>
          <cell r="K2297">
            <v>43201</v>
          </cell>
          <cell r="L2297" t="str">
            <v>JULIO  ROMERO</v>
          </cell>
          <cell r="M2297">
            <v>31</v>
          </cell>
          <cell r="N2297" t="str">
            <v>RESOLUCION</v>
          </cell>
          <cell r="O2297">
            <v>1775</v>
          </cell>
          <cell r="P2297">
            <v>43201</v>
          </cell>
          <cell r="Q2297" t="str">
            <v>Asignacion del instrumento financiero a las familias ocupantes del predio que hayan superado la fase de verificacion dentro  del marco del Decreto 457 de 2017. LOCALIDAD: KENNEDY; BARRIO: VEREDITAS; ID: 2018-08-384320</v>
          </cell>
          <cell r="R2297">
            <v>54686940</v>
          </cell>
          <cell r="S2297">
            <v>0</v>
          </cell>
          <cell r="T2297">
            <v>0</v>
          </cell>
          <cell r="U2297">
            <v>54686940</v>
          </cell>
          <cell r="V2297">
            <v>54686940</v>
          </cell>
        </row>
        <row r="2298">
          <cell r="J2298">
            <v>1768</v>
          </cell>
          <cell r="K2298">
            <v>43201</v>
          </cell>
          <cell r="L2298" t="str">
            <v>CARLOS JULIO LEON OBANDO</v>
          </cell>
          <cell r="M2298">
            <v>31</v>
          </cell>
          <cell r="N2298" t="str">
            <v>RESOLUCION</v>
          </cell>
          <cell r="O2298">
            <v>1776</v>
          </cell>
          <cell r="P2298">
            <v>43201</v>
          </cell>
          <cell r="Q2298" t="str">
            <v>Asignacion del instrumento financiero a las familias ocupantes del predio que hayan superado la fase de verificacion dentro  del marco del Decreto 457 de 2017. LOCALIDAD: KENNEDY; BARRIO: VEREDITAS; ID: 2017-8-383614</v>
          </cell>
          <cell r="R2298">
            <v>54686940</v>
          </cell>
          <cell r="S2298">
            <v>0</v>
          </cell>
          <cell r="T2298">
            <v>0</v>
          </cell>
          <cell r="U2298">
            <v>54686940</v>
          </cell>
          <cell r="V2298">
            <v>54686940</v>
          </cell>
        </row>
        <row r="2299">
          <cell r="J2299">
            <v>1769</v>
          </cell>
          <cell r="K2299">
            <v>43201</v>
          </cell>
          <cell r="L2299" t="str">
            <v>EDINSON  CHOCO PIRAZA</v>
          </cell>
          <cell r="M2299">
            <v>31</v>
          </cell>
          <cell r="N2299" t="str">
            <v>RESOLUCION</v>
          </cell>
          <cell r="O2299">
            <v>1784</v>
          </cell>
          <cell r="P2299">
            <v>43201</v>
          </cell>
          <cell r="Q2299" t="str">
            <v>AYUDA TEMPORAL A LAS FAMILIAS DE VARIAS LOCALIDADES, PARA LA RELOCALIZACIÓN DE HOGARES LOCALIZADOS EN ZONAS DE ALTO RIESGO NO MITIGABLE ID:2015-W166-531, LOCALIDAD:19 CIUDAD BOLÍVAR, UPZ:67 LUCERO, SECTOR:WOUNAAN</v>
          </cell>
          <cell r="R2299">
            <v>4175001</v>
          </cell>
          <cell r="S2299">
            <v>0</v>
          </cell>
          <cell r="T2299">
            <v>0</v>
          </cell>
          <cell r="U2299">
            <v>4175001</v>
          </cell>
          <cell r="V2299">
            <v>2319445</v>
          </cell>
        </row>
        <row r="2300">
          <cell r="J2300">
            <v>1770</v>
          </cell>
          <cell r="K2300">
            <v>43201</v>
          </cell>
          <cell r="L2300" t="str">
            <v>ILARIO  MECHA PEDROZA</v>
          </cell>
          <cell r="M2300">
            <v>31</v>
          </cell>
          <cell r="N2300" t="str">
            <v>RESOLUCION</v>
          </cell>
          <cell r="O2300">
            <v>1785</v>
          </cell>
          <cell r="P2300">
            <v>43201</v>
          </cell>
          <cell r="Q2300" t="str">
            <v>AYUDA TEMPORAL A LAS FAMILIAS DE VARIAS LOCALIDADES, PARA LA RELOCALIZACIÓN DE HOGARES LOCALIZADOS EN ZONAS DE ALTO RIESGO NO MITIGABLE ID:2014-W166-026, LOCALIDAD:19 CIUDAD BOLÍVAR, UPZ:67 LUCERO, SECTOR:WOUNAAN</v>
          </cell>
          <cell r="R2300">
            <v>7192744</v>
          </cell>
          <cell r="S2300">
            <v>0</v>
          </cell>
          <cell r="T2300">
            <v>0</v>
          </cell>
          <cell r="U2300">
            <v>7192744</v>
          </cell>
          <cell r="V2300">
            <v>2766440</v>
          </cell>
        </row>
        <row r="2301">
          <cell r="J2301">
            <v>1771</v>
          </cell>
          <cell r="K2301">
            <v>43201</v>
          </cell>
          <cell r="L2301" t="str">
            <v>FLOR ALBA ARIZA MOSQUERA</v>
          </cell>
          <cell r="M2301">
            <v>31</v>
          </cell>
          <cell r="N2301" t="str">
            <v>RESOLUCION</v>
          </cell>
          <cell r="O2301">
            <v>1786</v>
          </cell>
          <cell r="P2301">
            <v>43201</v>
          </cell>
          <cell r="Q2301" t="str">
            <v>AYUDA TEMPORAL A LAS FAMILIAS DE VARIAS LOCALIDADES, PARA LA RELOCALIZACIÓN DE HOGARES LOCALIZADOS EN ZONAS DE ALTO RIESGO NO MITIGABLE ID:2013-Q18-00093, LOCALIDAD:19 CIUDAD BOLÍVAR, UPZ:69 ISMAEL PERDOMO, SECTOR:ZANJÓN MURALLA</v>
          </cell>
          <cell r="R2301">
            <v>1624984</v>
          </cell>
          <cell r="S2301">
            <v>406246</v>
          </cell>
          <cell r="T2301">
            <v>0</v>
          </cell>
          <cell r="U2301">
            <v>1218738</v>
          </cell>
          <cell r="V2301">
            <v>1218738</v>
          </cell>
        </row>
        <row r="2302">
          <cell r="J2302">
            <v>1772</v>
          </cell>
          <cell r="K2302">
            <v>43201</v>
          </cell>
          <cell r="L2302" t="str">
            <v>MARISOL  LEIVA FARIRATOFE</v>
          </cell>
          <cell r="M2302">
            <v>31</v>
          </cell>
          <cell r="N2302" t="str">
            <v>RESOLUCION</v>
          </cell>
          <cell r="O2302">
            <v>1822</v>
          </cell>
          <cell r="P2302">
            <v>43201</v>
          </cell>
          <cell r="Q2302" t="str">
            <v>AYUDA TEMPORAL A LAS FAMILIAS DE VARIAS LOCALIDADES, PARA LA RELOCALIZACIÓN DE HOGARES LOCALIZADOS EN ZONAS DE ALTO RIESGO NO MITIGABLE ID:2015-W166-408, LOCALIDAD:06 TUNJUELITO, UPZ:42 VENECIA, SECTOR:UITOTO</v>
          </cell>
          <cell r="R2302">
            <v>6520679</v>
          </cell>
          <cell r="S2302">
            <v>0</v>
          </cell>
          <cell r="T2302">
            <v>0</v>
          </cell>
          <cell r="U2302">
            <v>6520679</v>
          </cell>
          <cell r="V2302">
            <v>2963945</v>
          </cell>
        </row>
        <row r="2303">
          <cell r="J2303">
            <v>1773</v>
          </cell>
          <cell r="K2303">
            <v>43201</v>
          </cell>
          <cell r="L2303" t="str">
            <v>HECTOR  MEMBACHE ZARCO</v>
          </cell>
          <cell r="M2303">
            <v>31</v>
          </cell>
          <cell r="N2303" t="str">
            <v>RESOLUCION</v>
          </cell>
          <cell r="O2303">
            <v>1787</v>
          </cell>
          <cell r="P2303">
            <v>43201</v>
          </cell>
          <cell r="Q2303" t="str">
            <v>AYUDA TEMPORAL A LAS FAMILIAS DE VARIAS LOCALIDADES, PARA LA RELOCALIZACIÓN DE HOGARES LOCALIZADOS EN ZONAS DE ALTO RIESGO NO MITIGABLE ID:2014-W166-063, LOCALIDAD:19 CIUDAD BOLÍVAR, UPZ:68 EL TESORO, SECTOR:WOUNAAN</v>
          </cell>
          <cell r="R2303">
            <v>4573850</v>
          </cell>
          <cell r="S2303">
            <v>0</v>
          </cell>
          <cell r="T2303">
            <v>0</v>
          </cell>
          <cell r="U2303">
            <v>4573850</v>
          </cell>
          <cell r="V2303">
            <v>2286925</v>
          </cell>
        </row>
        <row r="2304">
          <cell r="J2304">
            <v>1774</v>
          </cell>
          <cell r="K2304">
            <v>43201</v>
          </cell>
          <cell r="L2304" t="str">
            <v>JORGE ENRIQUE CASTELLANOS VASQUEZ</v>
          </cell>
          <cell r="M2304">
            <v>31</v>
          </cell>
          <cell r="N2304" t="str">
            <v>RESOLUCION</v>
          </cell>
          <cell r="O2304">
            <v>1790</v>
          </cell>
          <cell r="P2304">
            <v>43201</v>
          </cell>
          <cell r="Q2304" t="str">
            <v>AYUDA TEMPORAL A LAS FAMILIAS DE VARIAS LOCALIDADES, PARA LA RELOCALIZACIÓN DE HOGARES LOCALIZADOS EN ZONAS DE ALTO RIESGO NO MITIGABLE ID:2017-20-15009, LOCALIDAD:20 SUMAPAZ, UPZ:5 UPR RIO SUMAPAZ, SECTOR:LA UNION</v>
          </cell>
          <cell r="R2304">
            <v>7031180</v>
          </cell>
          <cell r="S2304">
            <v>0</v>
          </cell>
          <cell r="T2304">
            <v>0</v>
          </cell>
          <cell r="U2304">
            <v>7031180</v>
          </cell>
          <cell r="V2304">
            <v>3515590</v>
          </cell>
        </row>
        <row r="2305">
          <cell r="J2305">
            <v>1775</v>
          </cell>
          <cell r="K2305">
            <v>43201</v>
          </cell>
          <cell r="L2305" t="str">
            <v>LEYDY VIVIANA CASAS</v>
          </cell>
          <cell r="M2305">
            <v>31</v>
          </cell>
          <cell r="N2305" t="str">
            <v>RESOLUCION</v>
          </cell>
          <cell r="O2305">
            <v>1823</v>
          </cell>
          <cell r="P2305">
            <v>43201</v>
          </cell>
          <cell r="Q2305" t="str">
            <v>AYUDA TEMPORAL A LAS FAMILIAS DE VARIAS LOCALIDADES, PARA LA RELOCALIZACIÓN DE HOGARES LOCALIZADOS EN ZONAS DE ALTO RIESGO NO MITIGABLE ID:2015-Q09-01426, LOCALIDAD:19 CIUDAD BOLÍVAR, UPZ:67 LUCERO, SECTOR:QUEBRADA TROMPETA</v>
          </cell>
          <cell r="R2305">
            <v>5412450</v>
          </cell>
          <cell r="S2305">
            <v>0</v>
          </cell>
          <cell r="T2305">
            <v>0</v>
          </cell>
          <cell r="U2305">
            <v>5412450</v>
          </cell>
          <cell r="V2305">
            <v>2706225</v>
          </cell>
        </row>
        <row r="2306">
          <cell r="J2306">
            <v>1777</v>
          </cell>
          <cell r="K2306">
            <v>43202</v>
          </cell>
          <cell r="L2306" t="str">
            <v>ROSALY  GONZALEZ SAENZ</v>
          </cell>
          <cell r="M2306">
            <v>31</v>
          </cell>
          <cell r="N2306" t="str">
            <v>RESOLUCION</v>
          </cell>
          <cell r="O2306">
            <v>1782</v>
          </cell>
          <cell r="P2306">
            <v>43202</v>
          </cell>
          <cell r="Q2306" t="str">
            <v>Adquisición predial Dto. 511 de 2010. LOCALIDAD: USME; BARRIO: SAN JUAN DE USME;ID: 2010-5-11479</v>
          </cell>
          <cell r="R2306">
            <v>53532600</v>
          </cell>
          <cell r="S2306">
            <v>0</v>
          </cell>
          <cell r="T2306">
            <v>0</v>
          </cell>
          <cell r="U2306">
            <v>53532600</v>
          </cell>
          <cell r="V2306">
            <v>16059780</v>
          </cell>
        </row>
        <row r="2307">
          <cell r="J2307">
            <v>1778</v>
          </cell>
          <cell r="K2307">
            <v>43202</v>
          </cell>
          <cell r="L2307" t="str">
            <v>DIEGO EDWIN PULIDO MOLANO</v>
          </cell>
          <cell r="M2307">
            <v>31</v>
          </cell>
          <cell r="N2307" t="str">
            <v>RESOLUCION</v>
          </cell>
          <cell r="O2307">
            <v>1758</v>
          </cell>
          <cell r="P2307">
            <v>43202</v>
          </cell>
          <cell r="Q2307" t="str">
            <v>Valor excedente de providencia ordena pagar gastos de auxiliar de justicia en el marco de la Acción Popular No 2016-00177 enero de 2018</v>
          </cell>
          <cell r="R2307">
            <v>122953</v>
          </cell>
          <cell r="S2307">
            <v>0</v>
          </cell>
          <cell r="T2307">
            <v>0</v>
          </cell>
          <cell r="U2307">
            <v>122953</v>
          </cell>
          <cell r="V2307">
            <v>122953</v>
          </cell>
        </row>
        <row r="2308">
          <cell r="J2308">
            <v>1779</v>
          </cell>
          <cell r="K2308">
            <v>43202</v>
          </cell>
          <cell r="L2308" t="str">
            <v>DIEGO EDWIN PULIDO MOLANO</v>
          </cell>
          <cell r="M2308">
            <v>31</v>
          </cell>
          <cell r="N2308" t="str">
            <v>RESOLUCION</v>
          </cell>
          <cell r="O2308">
            <v>1286</v>
          </cell>
          <cell r="P2308">
            <v>43202</v>
          </cell>
          <cell r="Q2308" t="str">
            <v>Providencia ordena pagar gastos de auxiliar de justicia en el marco de la Acción Popular No 2016-00177 enero de 2018.</v>
          </cell>
          <cell r="R2308">
            <v>614764</v>
          </cell>
          <cell r="S2308">
            <v>0</v>
          </cell>
          <cell r="T2308">
            <v>0</v>
          </cell>
          <cell r="U2308">
            <v>614764</v>
          </cell>
          <cell r="V2308">
            <v>614764</v>
          </cell>
        </row>
        <row r="2309">
          <cell r="J2309">
            <v>1780</v>
          </cell>
          <cell r="K2309">
            <v>43202</v>
          </cell>
          <cell r="L2309" t="str">
            <v>MARISOL  HERNANDEZ PEREA</v>
          </cell>
          <cell r="M2309">
            <v>31</v>
          </cell>
          <cell r="N2309" t="str">
            <v>RESOLUCION</v>
          </cell>
          <cell r="O2309">
            <v>1844</v>
          </cell>
          <cell r="P2309">
            <v>43202</v>
          </cell>
          <cell r="Q2309" t="str">
            <v>Asignacion del instrumento financiero a las familias ocupantes del predio que hayan superado la fase de verificacion dentro  del marco del Decreto 457 de 2017. LOCALIDAD: KENNEDY; BARRIO: VEREDITAS; ID: 2017-8-383720</v>
          </cell>
          <cell r="R2309">
            <v>54686940</v>
          </cell>
          <cell r="S2309">
            <v>0</v>
          </cell>
          <cell r="T2309">
            <v>0</v>
          </cell>
          <cell r="U2309">
            <v>54686940</v>
          </cell>
          <cell r="V2309">
            <v>54686940</v>
          </cell>
        </row>
        <row r="2310">
          <cell r="J2310">
            <v>1781</v>
          </cell>
          <cell r="K2310">
            <v>43202</v>
          </cell>
          <cell r="L2310" t="str">
            <v>LUIS ALBERTO FAJARDO</v>
          </cell>
          <cell r="M2310">
            <v>31</v>
          </cell>
          <cell r="N2310" t="str">
            <v>RESOLUCION</v>
          </cell>
          <cell r="O2310">
            <v>1856</v>
          </cell>
          <cell r="P2310">
            <v>43202</v>
          </cell>
          <cell r="Q2310" t="str">
            <v>adquisición de mejoras Dto. 511 de 2010. LOCALIDAD: CIUDAD BOLIVAR; BARRIO:PARAISO QUIBA;ID: 2013-Q04-00402</v>
          </cell>
          <cell r="R2310">
            <v>22950000</v>
          </cell>
          <cell r="S2310">
            <v>0</v>
          </cell>
          <cell r="T2310">
            <v>0</v>
          </cell>
          <cell r="U2310">
            <v>22950000</v>
          </cell>
          <cell r="V2310">
            <v>0</v>
          </cell>
        </row>
        <row r="2311">
          <cell r="J2311">
            <v>1782</v>
          </cell>
          <cell r="K2311">
            <v>43202</v>
          </cell>
          <cell r="L2311" t="str">
            <v>MARISOL  AGREDO CLARO</v>
          </cell>
          <cell r="M2311">
            <v>31</v>
          </cell>
          <cell r="N2311" t="str">
            <v>RESOLUCION</v>
          </cell>
          <cell r="O2311">
            <v>1857</v>
          </cell>
          <cell r="P2311">
            <v>43202</v>
          </cell>
          <cell r="Q2311" t="str">
            <v>adquisición predial Dto. 511 de 2010. LOCALIDAD: SAN CRISTOBAL; BARRIO:NUEVA GLORIA;ID: ID:  2015-Q20-01311</v>
          </cell>
          <cell r="R2311">
            <v>81785300</v>
          </cell>
          <cell r="S2311">
            <v>0</v>
          </cell>
          <cell r="T2311">
            <v>0</v>
          </cell>
          <cell r="U2311">
            <v>81785300</v>
          </cell>
          <cell r="V2311">
            <v>24535590</v>
          </cell>
        </row>
        <row r="2312">
          <cell r="J2312">
            <v>1783</v>
          </cell>
          <cell r="K2312">
            <v>43202</v>
          </cell>
          <cell r="L2312" t="str">
            <v>CARLOS ARTURO TAPIERO RUIZ</v>
          </cell>
          <cell r="M2312">
            <v>31</v>
          </cell>
          <cell r="N2312" t="str">
            <v>RESOLUCION</v>
          </cell>
          <cell r="O2312">
            <v>1839</v>
          </cell>
          <cell r="P2312">
            <v>43202</v>
          </cell>
          <cell r="Q2312" t="str">
            <v>Asignacion del instrumento financiero a las familias ocupantes del predio que hayan superado la fase de verificacion dentro  del marco del Decreto 457 de 2017. LOCALIDAD: KENNEDY; BARRIO: VEREDITAS; ID: 2018-8-384314</v>
          </cell>
          <cell r="R2312">
            <v>54686940</v>
          </cell>
          <cell r="S2312">
            <v>0</v>
          </cell>
          <cell r="T2312">
            <v>0</v>
          </cell>
          <cell r="U2312">
            <v>54686940</v>
          </cell>
          <cell r="V2312">
            <v>54686940</v>
          </cell>
        </row>
        <row r="2313">
          <cell r="J2313">
            <v>1784</v>
          </cell>
          <cell r="K2313">
            <v>43202</v>
          </cell>
          <cell r="L2313" t="str">
            <v>ANGELICA PATRICIA VELASQUEZ</v>
          </cell>
          <cell r="M2313">
            <v>31</v>
          </cell>
          <cell r="N2313" t="str">
            <v>RESOLUCION</v>
          </cell>
          <cell r="O2313">
            <v>1845</v>
          </cell>
          <cell r="P2313">
            <v>43202</v>
          </cell>
          <cell r="Q2313" t="str">
            <v>Asignacion del instrumento financiero a las familias ocupantes del predio que hayan superado la fase de verificacion dentro  del marco del Decreto 457 de 2017. LOCALIDAD: KENNEDY; BARRIO: VEREDITAS; ID: 2018-8-384304</v>
          </cell>
          <cell r="R2313">
            <v>54686940</v>
          </cell>
          <cell r="S2313">
            <v>0</v>
          </cell>
          <cell r="T2313">
            <v>0</v>
          </cell>
          <cell r="U2313">
            <v>54686940</v>
          </cell>
          <cell r="V2313">
            <v>54686940</v>
          </cell>
        </row>
        <row r="2314">
          <cell r="J2314">
            <v>1785</v>
          </cell>
          <cell r="K2314">
            <v>43202</v>
          </cell>
          <cell r="L2314" t="str">
            <v>LAURA CAMILA ESCOBAR QUINTERO</v>
          </cell>
          <cell r="M2314">
            <v>31</v>
          </cell>
          <cell r="N2314" t="str">
            <v>RESOLUCION</v>
          </cell>
          <cell r="O2314">
            <v>1846</v>
          </cell>
          <cell r="P2314">
            <v>43202</v>
          </cell>
          <cell r="Q2314" t="str">
            <v>Asignacion del instrumento financiero a las familias ocupantes del predio que hayan superado la fase de verificacion dentro  del marco del Decreto 457 de 2017. LOCALIDAD: KENNEDY; BARRIO: VEREDITAS; ID: 2018-8-384307</v>
          </cell>
          <cell r="R2314">
            <v>54686940</v>
          </cell>
          <cell r="S2314">
            <v>0</v>
          </cell>
          <cell r="T2314">
            <v>0</v>
          </cell>
          <cell r="U2314">
            <v>54686940</v>
          </cell>
          <cell r="V2314">
            <v>54686940</v>
          </cell>
        </row>
        <row r="2315">
          <cell r="J2315">
            <v>1786</v>
          </cell>
          <cell r="K2315">
            <v>43202</v>
          </cell>
          <cell r="L2315" t="str">
            <v>MARIA DEL PILAR CORTES HERNANDEZ</v>
          </cell>
          <cell r="M2315">
            <v>31</v>
          </cell>
          <cell r="N2315" t="str">
            <v>RESOLUCION</v>
          </cell>
          <cell r="O2315">
            <v>1840</v>
          </cell>
          <cell r="P2315">
            <v>43202</v>
          </cell>
          <cell r="Q2315" t="str">
            <v>Asignacion del instrumento financiero a las familias ocupantes del predio que hayan superado la fase de verificacion dentro  del marco del Decreto 457 de 2017. LOCALIDAD: KENNEDY; BARRIO: VEREDITAS; ID: 2017-8-383654</v>
          </cell>
          <cell r="R2315">
            <v>54686940</v>
          </cell>
          <cell r="S2315">
            <v>0</v>
          </cell>
          <cell r="T2315">
            <v>0</v>
          </cell>
          <cell r="U2315">
            <v>54686940</v>
          </cell>
          <cell r="V2315">
            <v>54686940</v>
          </cell>
        </row>
        <row r="2316">
          <cell r="J2316">
            <v>1787</v>
          </cell>
          <cell r="K2316">
            <v>43202</v>
          </cell>
          <cell r="L2316" t="str">
            <v>MISAEL  MARTIN</v>
          </cell>
          <cell r="M2316">
            <v>31</v>
          </cell>
          <cell r="N2316" t="str">
            <v>RESOLUCION</v>
          </cell>
          <cell r="O2316">
            <v>1847</v>
          </cell>
          <cell r="P2316">
            <v>43202</v>
          </cell>
          <cell r="Q2316" t="str">
            <v>Asignacion del instrumento financiero a las familias ocupantes del predio que hayan superado la fase de verificacion dentro  del marco del Decreto 457 de 2017. LOCALIDAD: KENNEDY; BARRIO: VEREDITAS; ID: 2018-8-384305</v>
          </cell>
          <cell r="R2316">
            <v>54686940</v>
          </cell>
          <cell r="S2316">
            <v>0</v>
          </cell>
          <cell r="T2316">
            <v>0</v>
          </cell>
          <cell r="U2316">
            <v>54686940</v>
          </cell>
          <cell r="V2316">
            <v>54686940</v>
          </cell>
        </row>
        <row r="2317">
          <cell r="J2317">
            <v>1788</v>
          </cell>
          <cell r="K2317">
            <v>43202</v>
          </cell>
          <cell r="L2317" t="str">
            <v>OMAR  FRANCO MOLINA</v>
          </cell>
          <cell r="M2317">
            <v>31</v>
          </cell>
          <cell r="N2317" t="str">
            <v>RESOLUCION</v>
          </cell>
          <cell r="O2317">
            <v>1841</v>
          </cell>
          <cell r="P2317">
            <v>43202</v>
          </cell>
          <cell r="Q2317" t="str">
            <v>Asignacion del instrumento financiero a las familias ocupantes del predio que hayan superado la fase de verificacion dentro  del marco del Decreto 457 de 2017. LOCALIDAD: KENNEDY; BARRIO: VEREDITAS; ID: 2018-8-384310</v>
          </cell>
          <cell r="R2317">
            <v>54686940</v>
          </cell>
          <cell r="S2317">
            <v>0</v>
          </cell>
          <cell r="T2317">
            <v>0</v>
          </cell>
          <cell r="U2317">
            <v>54686940</v>
          </cell>
          <cell r="V2317">
            <v>54686940</v>
          </cell>
        </row>
        <row r="2318">
          <cell r="J2318">
            <v>1789</v>
          </cell>
          <cell r="K2318">
            <v>43202</v>
          </cell>
          <cell r="L2318" t="str">
            <v>JANETH  GOMEZ TRIANA</v>
          </cell>
          <cell r="M2318">
            <v>31</v>
          </cell>
          <cell r="N2318" t="str">
            <v>RESOLUCION</v>
          </cell>
          <cell r="O2318">
            <v>1848</v>
          </cell>
          <cell r="P2318">
            <v>43202</v>
          </cell>
          <cell r="Q2318" t="str">
            <v>Asignacion del instrumento financiero a las familias ocupantes del predio que hayan superado la fase de verificacion dentro  del marco del Decreto 457 de 2017. LOCALIDAD: KENNEDY; BARRIO: VEREDITAS; ID: 2018-8-384312</v>
          </cell>
          <cell r="R2318">
            <v>54686940</v>
          </cell>
          <cell r="S2318">
            <v>0</v>
          </cell>
          <cell r="T2318">
            <v>0</v>
          </cell>
          <cell r="U2318">
            <v>54686940</v>
          </cell>
          <cell r="V2318">
            <v>54686940</v>
          </cell>
        </row>
        <row r="2319">
          <cell r="J2319">
            <v>1790</v>
          </cell>
          <cell r="K2319">
            <v>43202</v>
          </cell>
          <cell r="L2319" t="str">
            <v>NINI JOHANNA OLIVEROS LIZCANO</v>
          </cell>
          <cell r="M2319">
            <v>31</v>
          </cell>
          <cell r="N2319" t="str">
            <v>RESOLUCION</v>
          </cell>
          <cell r="O2319">
            <v>1842</v>
          </cell>
          <cell r="P2319">
            <v>43202</v>
          </cell>
          <cell r="Q2319" t="str">
            <v>Asignacion del instrumento financiero a las familias ocupantes del predio que hayan superado la fase de verificacion dentro  del marco del Decreto 457 de 2017. LOCALIDAD: KENNEDY; BARRIO: VEREDITAS; ID: 2018-08-384303</v>
          </cell>
          <cell r="R2319">
            <v>54686940</v>
          </cell>
          <cell r="S2319">
            <v>0</v>
          </cell>
          <cell r="T2319">
            <v>0</v>
          </cell>
          <cell r="U2319">
            <v>54686940</v>
          </cell>
          <cell r="V2319">
            <v>54686940</v>
          </cell>
        </row>
        <row r="2320">
          <cell r="J2320">
            <v>1791</v>
          </cell>
          <cell r="K2320">
            <v>43202</v>
          </cell>
          <cell r="L2320" t="str">
            <v>OSCAR HERNAN AGUILAR VARELA</v>
          </cell>
          <cell r="M2320">
            <v>31</v>
          </cell>
          <cell r="N2320" t="str">
            <v>RESOLUCION</v>
          </cell>
          <cell r="O2320">
            <v>1843</v>
          </cell>
          <cell r="P2320">
            <v>43202</v>
          </cell>
          <cell r="Q2320" t="str">
            <v>Asignacion del instrumento financiero a las familias ocupantes del predio que hayan superado la fase de verificacion dentro  del marco del Decreto 457 de 2017. LOCALIDAD: KENNEDY; BARRIO: VEREDITAS; ID: 2018-8-384306</v>
          </cell>
          <cell r="R2320">
            <v>54686940</v>
          </cell>
          <cell r="S2320">
            <v>0</v>
          </cell>
          <cell r="T2320">
            <v>0</v>
          </cell>
          <cell r="U2320">
            <v>54686940</v>
          </cell>
          <cell r="V2320">
            <v>54686940</v>
          </cell>
        </row>
        <row r="2321">
          <cell r="J2321">
            <v>1792</v>
          </cell>
          <cell r="K2321">
            <v>43203</v>
          </cell>
          <cell r="L2321" t="str">
            <v>WILLIAM  VIUCHE CUPITRA</v>
          </cell>
          <cell r="M2321">
            <v>31</v>
          </cell>
          <cell r="N2321" t="str">
            <v>RESOLUCION</v>
          </cell>
          <cell r="O2321">
            <v>1862</v>
          </cell>
          <cell r="P2321">
            <v>43203</v>
          </cell>
          <cell r="Q2321" t="str">
            <v>VUR de la actual vigencia.Dto 255 de 2013. LOCALIDAD:CIUDAD BOLIVAR; BARRIO:ESTRELLA DEL SUR; ID:2014-Q05-00840</v>
          </cell>
          <cell r="R2321">
            <v>39062100</v>
          </cell>
          <cell r="S2321">
            <v>0</v>
          </cell>
          <cell r="T2321">
            <v>0</v>
          </cell>
          <cell r="U2321">
            <v>39062100</v>
          </cell>
          <cell r="V2321">
            <v>0</v>
          </cell>
        </row>
        <row r="2322">
          <cell r="J2322">
            <v>1793</v>
          </cell>
          <cell r="K2322">
            <v>43203</v>
          </cell>
          <cell r="L2322" t="str">
            <v>MARIA CECILIA BERNAL</v>
          </cell>
          <cell r="M2322">
            <v>31</v>
          </cell>
          <cell r="N2322" t="str">
            <v>RESOLUCION</v>
          </cell>
          <cell r="O2322">
            <v>1863</v>
          </cell>
          <cell r="P2322">
            <v>43203</v>
          </cell>
          <cell r="Q2322" t="str">
            <v>VUR de la actual vigencia.Dto 255 de 2013. LOCALIDAD:CIUDAD BOLIVAR; BARRIO:PARAISO QUIBA; ID:2015-Q04-03677</v>
          </cell>
          <cell r="R2322">
            <v>39062100</v>
          </cell>
          <cell r="S2322">
            <v>0</v>
          </cell>
          <cell r="T2322">
            <v>0</v>
          </cell>
          <cell r="U2322">
            <v>39062100</v>
          </cell>
          <cell r="V2322">
            <v>39062100</v>
          </cell>
        </row>
        <row r="2323">
          <cell r="J2323">
            <v>1795</v>
          </cell>
          <cell r="K2323">
            <v>43203</v>
          </cell>
          <cell r="L2323" t="str">
            <v>CAJA DE VIVIENDA POPULAR</v>
          </cell>
          <cell r="M2323">
            <v>1</v>
          </cell>
          <cell r="N2323" t="str">
            <v>RELACION DE AUTORIZACION</v>
          </cell>
          <cell r="O2323">
            <v>28</v>
          </cell>
          <cell r="P2323">
            <v>43203</v>
          </cell>
          <cell r="Q2323" t="str">
            <v>PAGO DE SEGURIDAD SOCIAL Y PARAFISCALES DE FUNCIONARIOS DE PLANTA TEMPORAL DE LA DIRECCIÓN DE REASENTAMIENTOS DE LA CAJA DE LA VIVIENDA POPULAR  MES DE MARZO DE 2018"</v>
          </cell>
          <cell r="R2323">
            <v>35468800</v>
          </cell>
          <cell r="S2323">
            <v>35468800</v>
          </cell>
          <cell r="T2323">
            <v>0</v>
          </cell>
          <cell r="U2323">
            <v>0</v>
          </cell>
          <cell r="V2323">
            <v>0</v>
          </cell>
        </row>
        <row r="2324">
          <cell r="J2324">
            <v>1807</v>
          </cell>
          <cell r="K2324">
            <v>43207</v>
          </cell>
          <cell r="L2324" t="str">
            <v>JHONATAN HARLEY PINZON AVILA</v>
          </cell>
          <cell r="M2324">
            <v>31</v>
          </cell>
          <cell r="N2324" t="str">
            <v>RESOLUCION</v>
          </cell>
          <cell r="O2324">
            <v>1865</v>
          </cell>
          <cell r="P2324">
            <v>43207</v>
          </cell>
          <cell r="Q2324" t="str">
            <v>Asignacion del instrumento financiero a las familias ocupantes del predio que hayan superado la fase de verificacion dentro  del marco del Decreto 457 de 2017. LOCALIDAD: KENNEDY; BARRIO: VEREDITAS; ID: 2017-8-383676</v>
          </cell>
          <cell r="R2324">
            <v>54686940</v>
          </cell>
          <cell r="S2324">
            <v>0</v>
          </cell>
          <cell r="T2324">
            <v>0</v>
          </cell>
          <cell r="U2324">
            <v>54686940</v>
          </cell>
          <cell r="V2324">
            <v>54686940</v>
          </cell>
        </row>
        <row r="2325">
          <cell r="J2325">
            <v>1808</v>
          </cell>
          <cell r="K2325">
            <v>43207</v>
          </cell>
          <cell r="L2325" t="str">
            <v>YENIFER VALENTINA JAIMES AGUILAR</v>
          </cell>
          <cell r="M2325">
            <v>31</v>
          </cell>
          <cell r="N2325" t="str">
            <v>RESOLUCION</v>
          </cell>
          <cell r="O2325">
            <v>1864</v>
          </cell>
          <cell r="P2325">
            <v>43207</v>
          </cell>
          <cell r="Q2325" t="str">
            <v>Asignacion del instrumento financiero a las familias ocupantes del predio que hayan superado la fase de verificacion dentro  del marco del Decreto 457 de 2017. LOCALIDAD: KENNEDY; BARRIO: VEREDITAS; ID: 2018-08-384302</v>
          </cell>
          <cell r="R2325">
            <v>54686940</v>
          </cell>
          <cell r="S2325">
            <v>0</v>
          </cell>
          <cell r="T2325">
            <v>0</v>
          </cell>
          <cell r="U2325">
            <v>54686940</v>
          </cell>
          <cell r="V2325">
            <v>54686940</v>
          </cell>
        </row>
        <row r="2326">
          <cell r="J2326">
            <v>1814</v>
          </cell>
          <cell r="K2326">
            <v>43209</v>
          </cell>
          <cell r="L2326" t="str">
            <v>JESUS MARIA GONZALEZ RODRIGUEZ</v>
          </cell>
          <cell r="M2326">
            <v>31</v>
          </cell>
          <cell r="N2326" t="str">
            <v>RESOLUCION</v>
          </cell>
          <cell r="O2326">
            <v>1894</v>
          </cell>
          <cell r="P2326">
            <v>43209</v>
          </cell>
          <cell r="Q2326" t="str">
            <v>Cumplimiento de la orden impartida por el Juzgado Treinta y Seis  Penal del Circuito con Función de Conocimiento de Bogotá D.C, mediante providencia del 09 de abril de 2018, notificada a la Caja de la Vivienda Popular el 17 de abril de 2018, en el marco de la Acción de Tutela .2018 ¿ 0013, instaurada por el señor JESÚS MARÍA GONZÁLEZ RODRÍGUEZ.</v>
          </cell>
          <cell r="R2326">
            <v>406560</v>
          </cell>
          <cell r="S2326">
            <v>0</v>
          </cell>
          <cell r="T2326">
            <v>0</v>
          </cell>
          <cell r="U2326">
            <v>406560</v>
          </cell>
          <cell r="V2326">
            <v>406560</v>
          </cell>
        </row>
        <row r="2327">
          <cell r="J2327">
            <v>1815</v>
          </cell>
          <cell r="K2327">
            <v>43209</v>
          </cell>
          <cell r="L2327" t="str">
            <v>MAUREN  SIERRA FONSECA</v>
          </cell>
          <cell r="M2327">
            <v>31</v>
          </cell>
          <cell r="N2327" t="str">
            <v>RESOLUCION</v>
          </cell>
          <cell r="O2327">
            <v>1872</v>
          </cell>
          <cell r="P2327">
            <v>43209</v>
          </cell>
          <cell r="Q2327" t="str">
            <v>Asignacion del instrumento financiero a las familias ocupantes del predio que hayan superado la fase de verificacion dentro  del marco del Decreto 457 de 2017. LOCALIDAD: KENNEDY; BARRIO: VEREDITAS; ID: 2018-8-384311</v>
          </cell>
          <cell r="R2327">
            <v>54686940</v>
          </cell>
          <cell r="S2327">
            <v>0</v>
          </cell>
          <cell r="T2327">
            <v>0</v>
          </cell>
          <cell r="U2327">
            <v>54686940</v>
          </cell>
          <cell r="V2327">
            <v>54686940</v>
          </cell>
        </row>
        <row r="2328">
          <cell r="J2328">
            <v>1816</v>
          </cell>
          <cell r="K2328">
            <v>43209</v>
          </cell>
          <cell r="L2328" t="str">
            <v>JOSE ARMANDO PAIBA</v>
          </cell>
          <cell r="M2328">
            <v>31</v>
          </cell>
          <cell r="N2328" t="str">
            <v>RESOLUCION</v>
          </cell>
          <cell r="O2328">
            <v>1870</v>
          </cell>
          <cell r="P2328">
            <v>43209</v>
          </cell>
          <cell r="Q2328" t="str">
            <v>Asignacion del instrumento financiero a las familias ocupantes del predio que hayan superado la fase de verificacion dentro  del marco del Decreto 457 de 2017. LOCALIDAD: KENNEDY; BARRIO: VEREDITAS; ID: 2018-08-384353</v>
          </cell>
          <cell r="R2328">
            <v>54686940</v>
          </cell>
          <cell r="S2328">
            <v>0</v>
          </cell>
          <cell r="T2328">
            <v>0</v>
          </cell>
          <cell r="U2328">
            <v>54686940</v>
          </cell>
          <cell r="V2328">
            <v>54686940</v>
          </cell>
        </row>
        <row r="2329">
          <cell r="J2329">
            <v>1817</v>
          </cell>
          <cell r="K2329">
            <v>43209</v>
          </cell>
          <cell r="L2329" t="str">
            <v>LUZ AIDEE CALDERÓN ORTIZ</v>
          </cell>
          <cell r="M2329">
            <v>31</v>
          </cell>
          <cell r="N2329" t="str">
            <v>RESOLUCION</v>
          </cell>
          <cell r="O2329">
            <v>1873</v>
          </cell>
          <cell r="P2329">
            <v>43209</v>
          </cell>
          <cell r="Q2329" t="str">
            <v>Asignacion del instrumento financiero a las familias ocupantes del predio que hayan superado la fase de verificacion dentro  del marco del Decreto 457 de 2017. LOCALIDAD: KENNEDY; BARRIO: VEREDITAS; ID: 2018-08-384309</v>
          </cell>
          <cell r="R2329">
            <v>54686940</v>
          </cell>
          <cell r="S2329">
            <v>0</v>
          </cell>
          <cell r="T2329">
            <v>0</v>
          </cell>
          <cell r="U2329">
            <v>54686940</v>
          </cell>
          <cell r="V2329">
            <v>54686940</v>
          </cell>
        </row>
        <row r="2330">
          <cell r="J2330">
            <v>1818</v>
          </cell>
          <cell r="K2330">
            <v>43209</v>
          </cell>
          <cell r="L2330" t="str">
            <v>MARIA ANGELICA MARTINEZ JIMENEZ</v>
          </cell>
          <cell r="M2330">
            <v>31</v>
          </cell>
          <cell r="N2330" t="str">
            <v>RESOLUCION</v>
          </cell>
          <cell r="O2330">
            <v>1753</v>
          </cell>
          <cell r="P2330">
            <v>43209</v>
          </cell>
          <cell r="Q2330" t="str">
            <v>AYUDA TEMPORAL A LAS FAMILIAS DE VARIAS LOCALIDADES, PARA LA RELOCALIZACIÓN DE HOGARES LOCALIZADOS EN ZONAS DE ALTO RIESGO NO MITIGABLE ID: 2015-Q04-01467, LOCALIDAD: 19 CIUDAD BOLIVAR, UPZ:67 LUCERO, SECTOR: PEÑA COLORADA</v>
          </cell>
          <cell r="R2330">
            <v>4570263</v>
          </cell>
          <cell r="S2330">
            <v>0</v>
          </cell>
          <cell r="T2330">
            <v>0</v>
          </cell>
          <cell r="U2330">
            <v>4570263</v>
          </cell>
          <cell r="V2330">
            <v>2539035</v>
          </cell>
        </row>
        <row r="2331">
          <cell r="J2331">
            <v>1819</v>
          </cell>
          <cell r="K2331">
            <v>43209</v>
          </cell>
          <cell r="L2331" t="str">
            <v>LORENA  CORTES VILLANUEVA</v>
          </cell>
          <cell r="M2331">
            <v>31</v>
          </cell>
          <cell r="N2331" t="str">
            <v>RESOLUCION</v>
          </cell>
          <cell r="O2331">
            <v>1871</v>
          </cell>
          <cell r="P2331">
            <v>43209</v>
          </cell>
          <cell r="Q2331" t="str">
            <v>Asignacion del instrumento financiero a las familias ocupantes del predio que hayan superado la fase de verificacion dentro  del marco del Decreto 457 de 2017. LOCALIDAD: KENNEDY; BARRIO: VEREDITAS; ID: 2018-8-15298</v>
          </cell>
          <cell r="R2331">
            <v>54686940</v>
          </cell>
          <cell r="S2331">
            <v>0</v>
          </cell>
          <cell r="T2331">
            <v>0</v>
          </cell>
          <cell r="U2331">
            <v>54686940</v>
          </cell>
          <cell r="V2331">
            <v>54686940</v>
          </cell>
        </row>
        <row r="2332">
          <cell r="J2332">
            <v>1824</v>
          </cell>
          <cell r="K2332">
            <v>43210</v>
          </cell>
          <cell r="L2332" t="str">
            <v>FERNANDO  REYES LOZANO</v>
          </cell>
          <cell r="M2332">
            <v>31</v>
          </cell>
          <cell r="N2332" t="str">
            <v>RESOLUCION</v>
          </cell>
          <cell r="O2332">
            <v>1878</v>
          </cell>
          <cell r="P2332">
            <v>43210</v>
          </cell>
          <cell r="Q2332" t="str">
            <v>Asignacion del instrumento financiero a las familias ocupantes del predio que hayan superado la fase de verificacion dentro  del marco del Decreto 457 de 2017. LOCALIDAD: KENNEDY; BARRIO: VEREDITAS; ID: 2017-8-383678</v>
          </cell>
          <cell r="R2332">
            <v>54686940</v>
          </cell>
          <cell r="S2332">
            <v>0</v>
          </cell>
          <cell r="T2332">
            <v>0</v>
          </cell>
          <cell r="U2332">
            <v>54686940</v>
          </cell>
          <cell r="V2332">
            <v>54686940</v>
          </cell>
        </row>
        <row r="2333">
          <cell r="J2333">
            <v>1825</v>
          </cell>
          <cell r="K2333">
            <v>43210</v>
          </cell>
          <cell r="L2333" t="str">
            <v>AMANDA  ROMERO ESPAÑA</v>
          </cell>
          <cell r="M2333">
            <v>31</v>
          </cell>
          <cell r="N2333" t="str">
            <v>RESOLUCION</v>
          </cell>
          <cell r="O2333">
            <v>1879</v>
          </cell>
          <cell r="P2333">
            <v>43210</v>
          </cell>
          <cell r="Q2333" t="str">
            <v>Adquisición predial Dto. 511 de 2010. LOCALIDAD: SAN CRISTOBAL; BARRIO:SAN ISIDRO II SECTOR;ID: ID: 2011-4-13158</v>
          </cell>
          <cell r="R2333">
            <v>8832000</v>
          </cell>
          <cell r="S2333">
            <v>0</v>
          </cell>
          <cell r="T2333">
            <v>0</v>
          </cell>
          <cell r="U2333">
            <v>8832000</v>
          </cell>
          <cell r="V2333">
            <v>0</v>
          </cell>
        </row>
        <row r="2334">
          <cell r="J2334">
            <v>1826</v>
          </cell>
          <cell r="K2334">
            <v>43210</v>
          </cell>
          <cell r="L2334" t="str">
            <v>ANGELICA ANDREA CORTES</v>
          </cell>
          <cell r="M2334">
            <v>31</v>
          </cell>
          <cell r="N2334" t="str">
            <v>RESOLUCION</v>
          </cell>
          <cell r="O2334">
            <v>1876</v>
          </cell>
          <cell r="P2334">
            <v>43210</v>
          </cell>
          <cell r="Q2334" t="str">
            <v>Asignacion del instrumento financiero a las familias ocupantes del predio que hayan superado la fase de verificacion dentro  del marco del Decreto 457 de 2017. LOCALIDAD: KENNEDY; BARRIO: VEREDITAS; ID: 2018-08-384354</v>
          </cell>
          <cell r="R2334">
            <v>54686940</v>
          </cell>
          <cell r="S2334">
            <v>0</v>
          </cell>
          <cell r="T2334">
            <v>0</v>
          </cell>
          <cell r="U2334">
            <v>54686940</v>
          </cell>
          <cell r="V2334">
            <v>54686940</v>
          </cell>
        </row>
        <row r="2335">
          <cell r="J2335">
            <v>1827</v>
          </cell>
          <cell r="K2335">
            <v>43210</v>
          </cell>
          <cell r="L2335" t="str">
            <v>YOLANDA  TOLEDO GONZALEZ</v>
          </cell>
          <cell r="M2335">
            <v>31</v>
          </cell>
          <cell r="N2335" t="str">
            <v>RESOLUCION</v>
          </cell>
          <cell r="O2335">
            <v>1881</v>
          </cell>
          <cell r="P2335">
            <v>43210</v>
          </cell>
          <cell r="Q2335" t="str">
            <v>adquisición predial Dto. 511 de 2010. LOCALIDAD: CIUDAD BOLIVAR; BARRIO:VILLAS DE DIAMANTE;ID: 2016-19-14924</v>
          </cell>
          <cell r="R2335">
            <v>39873100</v>
          </cell>
          <cell r="S2335">
            <v>0</v>
          </cell>
          <cell r="T2335">
            <v>0</v>
          </cell>
          <cell r="U2335">
            <v>39873100</v>
          </cell>
          <cell r="V2335">
            <v>11961930</v>
          </cell>
        </row>
        <row r="2336">
          <cell r="J2336">
            <v>1828</v>
          </cell>
          <cell r="K2336">
            <v>43210</v>
          </cell>
          <cell r="L2336" t="str">
            <v>NESTOR FABIO CASTAÑO GALVIS</v>
          </cell>
          <cell r="M2336">
            <v>31</v>
          </cell>
          <cell r="N2336" t="str">
            <v>RESOLUCION</v>
          </cell>
          <cell r="O2336">
            <v>1893</v>
          </cell>
          <cell r="P2336">
            <v>43210</v>
          </cell>
          <cell r="Q2336" t="str">
            <v>Asignacion del instrumento financiero a las familias ocupantes del predio que hayan superado la fase de verificacion dentro  del marco del Decreto 457 de 2017. LOCALIDAD: KENNEDY; BARRIO: VEREDITAS; ID: 2018-8-384293</v>
          </cell>
          <cell r="R2336">
            <v>54686940</v>
          </cell>
          <cell r="S2336">
            <v>0</v>
          </cell>
          <cell r="T2336">
            <v>0</v>
          </cell>
          <cell r="U2336">
            <v>54686940</v>
          </cell>
          <cell r="V2336">
            <v>54686940</v>
          </cell>
        </row>
        <row r="2337">
          <cell r="J2337">
            <v>1829</v>
          </cell>
          <cell r="K2337">
            <v>43210</v>
          </cell>
          <cell r="L2337" t="str">
            <v>JORGE REINEL LESMES</v>
          </cell>
          <cell r="M2337">
            <v>31</v>
          </cell>
          <cell r="N2337" t="str">
            <v>RESOLUCION</v>
          </cell>
          <cell r="O2337">
            <v>1877</v>
          </cell>
          <cell r="P2337">
            <v>43210</v>
          </cell>
          <cell r="Q2337" t="str">
            <v>Asignacion del instrumento financiero a las familias ocupantes del predio que hayan superado la fase de verificacion dentro  del marco del Decreto 457 de 2017. LOCALIDAD: KENNEDY; BARRIO: VEREDITAS; ID: 2017-8-383790</v>
          </cell>
          <cell r="R2337">
            <v>54686940</v>
          </cell>
          <cell r="S2337">
            <v>0</v>
          </cell>
          <cell r="T2337">
            <v>0</v>
          </cell>
          <cell r="U2337">
            <v>54686940</v>
          </cell>
          <cell r="V2337">
            <v>54686940</v>
          </cell>
        </row>
        <row r="2338">
          <cell r="J2338">
            <v>1843</v>
          </cell>
          <cell r="K2338">
            <v>43215</v>
          </cell>
          <cell r="L2338" t="str">
            <v>JHON FREDY PINZON GOMEZ</v>
          </cell>
          <cell r="M2338">
            <v>31</v>
          </cell>
          <cell r="N2338" t="str">
            <v>RESOLUCION</v>
          </cell>
          <cell r="O2338">
            <v>1931</v>
          </cell>
          <cell r="P2338">
            <v>43215</v>
          </cell>
          <cell r="Q2338" t="str">
            <v>Asignacion del instrumento financiero a las familias ocupantes del predio que hayan superado la fase de verificacion dentro  del marco del Decreto 457 de 2017. LOCALIDAD: KENNEDY; BARRIO: VEREDITAS; ID: 2018-08-384315</v>
          </cell>
          <cell r="R2338">
            <v>54686940</v>
          </cell>
          <cell r="S2338">
            <v>0</v>
          </cell>
          <cell r="T2338">
            <v>0</v>
          </cell>
          <cell r="U2338">
            <v>54686940</v>
          </cell>
          <cell r="V2338">
            <v>54686940</v>
          </cell>
        </row>
        <row r="2339">
          <cell r="J2339">
            <v>1844</v>
          </cell>
          <cell r="K2339">
            <v>43216</v>
          </cell>
          <cell r="L2339" t="str">
            <v>MIGUEL AUGUSTO BOBADILLA</v>
          </cell>
          <cell r="M2339">
            <v>31</v>
          </cell>
          <cell r="N2339" t="str">
            <v>RESOLUCION</v>
          </cell>
          <cell r="O2339">
            <v>1934</v>
          </cell>
          <cell r="P2339">
            <v>43216</v>
          </cell>
          <cell r="Q2339" t="str">
            <v>VUR de la actual vigencia.Dto 255 de 2013. LOCALIDAD:SAN CRISTOBAL; BARRIO:LOS LIBERTADORES; ID:2017-04-14979.</v>
          </cell>
          <cell r="R2339">
            <v>39062100</v>
          </cell>
          <cell r="S2339">
            <v>0</v>
          </cell>
          <cell r="T2339">
            <v>0</v>
          </cell>
          <cell r="U2339">
            <v>39062100</v>
          </cell>
          <cell r="V2339">
            <v>0</v>
          </cell>
        </row>
        <row r="2340">
          <cell r="J2340">
            <v>1845</v>
          </cell>
          <cell r="K2340">
            <v>43216</v>
          </cell>
          <cell r="L2340" t="str">
            <v>LUZ ENITH OSORIO GUTIERREZ</v>
          </cell>
          <cell r="M2340">
            <v>31</v>
          </cell>
          <cell r="N2340" t="str">
            <v>RESOLUCION</v>
          </cell>
          <cell r="O2340">
            <v>1901</v>
          </cell>
          <cell r="P2340">
            <v>43216</v>
          </cell>
          <cell r="Q2340" t="str">
            <v>Adquisición de mejoras Dto. 511 de 2010. LOCALIDAD: CIUDAD BOLIVAR; BARRIO:SANTA VIVIANA;ID: 2003-19-5088</v>
          </cell>
          <cell r="R2340">
            <v>6163200</v>
          </cell>
          <cell r="S2340">
            <v>0</v>
          </cell>
          <cell r="T2340">
            <v>0</v>
          </cell>
          <cell r="U2340">
            <v>6163200</v>
          </cell>
          <cell r="V2340">
            <v>0</v>
          </cell>
        </row>
        <row r="2341">
          <cell r="J2341">
            <v>1846</v>
          </cell>
          <cell r="K2341">
            <v>43216</v>
          </cell>
          <cell r="L2341" t="str">
            <v>HERNAN  PULIDO GALINDO</v>
          </cell>
          <cell r="M2341">
            <v>31</v>
          </cell>
          <cell r="N2341" t="str">
            <v>RESOLUCION</v>
          </cell>
          <cell r="O2341">
            <v>1933</v>
          </cell>
          <cell r="P2341">
            <v>43216</v>
          </cell>
          <cell r="Q2341" t="str">
            <v>VUR de la actual vigencia.Dto 255 de 2013. LOCALIDAD:CIUDAD BOLIVAR; BARRIO:BELLA FLOR SUR; ID:2015-Q03-03337</v>
          </cell>
          <cell r="R2341">
            <v>39062100</v>
          </cell>
          <cell r="S2341">
            <v>0</v>
          </cell>
          <cell r="T2341">
            <v>0</v>
          </cell>
          <cell r="U2341">
            <v>39062100</v>
          </cell>
          <cell r="V2341">
            <v>0</v>
          </cell>
        </row>
        <row r="2342">
          <cell r="J2342">
            <v>1850</v>
          </cell>
          <cell r="K2342">
            <v>43222</v>
          </cell>
          <cell r="L2342" t="str">
            <v>CELENIA  GARCIA JULIO</v>
          </cell>
          <cell r="M2342">
            <v>31</v>
          </cell>
          <cell r="N2342" t="str">
            <v>RESOLUCION</v>
          </cell>
          <cell r="O2342">
            <v>1962</v>
          </cell>
          <cell r="P2342">
            <v>43222</v>
          </cell>
          <cell r="Q2342" t="str">
            <v>Asignación del instrumento financiero a las familias ocupantes del predio que hayan superado la fase de verificacion dentro  del marco del Decreto 457 de 2017. LOCALIDAD: KENNEDY; BARRIO: VEREDITAS; ID: 2018-8-384361</v>
          </cell>
          <cell r="R2342">
            <v>54686940</v>
          </cell>
          <cell r="S2342">
            <v>0</v>
          </cell>
          <cell r="T2342">
            <v>0</v>
          </cell>
          <cell r="U2342">
            <v>54686940</v>
          </cell>
          <cell r="V2342">
            <v>54686940</v>
          </cell>
        </row>
        <row r="2343">
          <cell r="J2343">
            <v>1851</v>
          </cell>
          <cell r="K2343">
            <v>43222</v>
          </cell>
          <cell r="L2343" t="str">
            <v>NUBIA YADIRA GARZON VELASQUEZ</v>
          </cell>
          <cell r="M2343">
            <v>31</v>
          </cell>
          <cell r="N2343" t="str">
            <v>RESOLUCION</v>
          </cell>
          <cell r="O2343">
            <v>1961</v>
          </cell>
          <cell r="P2343">
            <v>43222</v>
          </cell>
          <cell r="Q2343" t="str">
            <v>Asignacion del instrumento financiero a las familias ocupantes del predio que hayan superado la fase de verificacion dentro  del marco del Decreto 457 de 2017. LOCALIDAD: KENNEDY; BARRIO: VEREDITAS; ID: 2017-8-383744</v>
          </cell>
          <cell r="R2343">
            <v>54686940</v>
          </cell>
          <cell r="S2343">
            <v>0</v>
          </cell>
          <cell r="T2343">
            <v>0</v>
          </cell>
          <cell r="U2343">
            <v>54686940</v>
          </cell>
          <cell r="V2343">
            <v>54686940</v>
          </cell>
        </row>
        <row r="2344">
          <cell r="J2344">
            <v>1852</v>
          </cell>
          <cell r="K2344">
            <v>43223</v>
          </cell>
          <cell r="L2344" t="str">
            <v>JORGE  LOMBANA MOTTA</v>
          </cell>
          <cell r="M2344">
            <v>31</v>
          </cell>
          <cell r="N2344" t="str">
            <v>RESOLUCION</v>
          </cell>
          <cell r="O2344">
            <v>1960</v>
          </cell>
          <cell r="P2344">
            <v>43223</v>
          </cell>
          <cell r="Q2344" t="str">
            <v>Asignacion del instrumento financiero a las familias ocupantes del predio que hayan superado la fase de verificacion dentro  del marco del Decreto 457 de 2017. LOCALIDAD: KENNEDY; BARRIO: VEREDITAS; ID: 2017-8-383781</v>
          </cell>
          <cell r="R2344">
            <v>54686940</v>
          </cell>
          <cell r="S2344">
            <v>0</v>
          </cell>
          <cell r="T2344">
            <v>0</v>
          </cell>
          <cell r="U2344">
            <v>54686940</v>
          </cell>
          <cell r="V2344">
            <v>54686940</v>
          </cell>
        </row>
        <row r="2345">
          <cell r="J2345">
            <v>1853</v>
          </cell>
          <cell r="K2345">
            <v>43223</v>
          </cell>
          <cell r="L2345" t="str">
            <v>EDGAR NAYID BELLO NAVARRETE</v>
          </cell>
          <cell r="M2345">
            <v>31</v>
          </cell>
          <cell r="N2345" t="str">
            <v>RESOLUCION</v>
          </cell>
          <cell r="O2345">
            <v>1965</v>
          </cell>
          <cell r="P2345">
            <v>43223</v>
          </cell>
          <cell r="Q2345" t="str">
            <v>Asignacion del instrumento financiero a las familias ocupantes del predio que hayan superado la fase de verificacion dentro  del marco del Decreto 457 de 2017. LOCALIDAD: KENNEDY; BARRIO: VEREDITAS; ID: 2017-8-383680</v>
          </cell>
          <cell r="R2345">
            <v>54686940</v>
          </cell>
          <cell r="S2345">
            <v>0</v>
          </cell>
          <cell r="T2345">
            <v>0</v>
          </cell>
          <cell r="U2345">
            <v>54686940</v>
          </cell>
          <cell r="V2345">
            <v>54686940</v>
          </cell>
        </row>
        <row r="2346">
          <cell r="J2346">
            <v>1854</v>
          </cell>
          <cell r="K2346">
            <v>43223</v>
          </cell>
          <cell r="L2346" t="str">
            <v>CLAUDIA PATRICIA BLANCO GARCIA</v>
          </cell>
          <cell r="M2346">
            <v>31</v>
          </cell>
          <cell r="N2346" t="str">
            <v>RESOLUCION</v>
          </cell>
          <cell r="O2346">
            <v>1964</v>
          </cell>
          <cell r="P2346">
            <v>43223</v>
          </cell>
          <cell r="Q2346" t="str">
            <v>Asignacion del instrumento financiero a las familias ocupantes del predio que hayan superado la fase de verificacion dentro  del marco del Decreto 457 de 2017. LOCALIDAD: KENNEDY; BARRIO: VEREDITAS; ID: 2018-8-384360</v>
          </cell>
          <cell r="R2346">
            <v>54686940</v>
          </cell>
          <cell r="S2346">
            <v>0</v>
          </cell>
          <cell r="T2346">
            <v>0</v>
          </cell>
          <cell r="U2346">
            <v>54686940</v>
          </cell>
          <cell r="V2346">
            <v>54686940</v>
          </cell>
        </row>
        <row r="2347">
          <cell r="J2347">
            <v>1855</v>
          </cell>
          <cell r="K2347">
            <v>43224</v>
          </cell>
          <cell r="L2347" t="str">
            <v>FRANCELINA  DIAZ RINCON</v>
          </cell>
          <cell r="M2347">
            <v>31</v>
          </cell>
          <cell r="N2347" t="str">
            <v>RESOLUCION</v>
          </cell>
          <cell r="O2347">
            <v>1969</v>
          </cell>
          <cell r="P2347">
            <v>43224</v>
          </cell>
          <cell r="Q2347" t="str">
            <v>VUR DE LA ACTUAL VIGENCIA.DTO 255 DE 2013. LOCALIDAD:CIUDAD BOLIVAR; BARRIO:EL MOCHUELO II NORTE; ID:2015-Q09-03262</v>
          </cell>
          <cell r="R2347">
            <v>39062100</v>
          </cell>
          <cell r="S2347">
            <v>0</v>
          </cell>
          <cell r="T2347">
            <v>0</v>
          </cell>
          <cell r="U2347">
            <v>39062100</v>
          </cell>
          <cell r="V2347">
            <v>0</v>
          </cell>
        </row>
        <row r="2348">
          <cell r="J2348">
            <v>1857</v>
          </cell>
          <cell r="K2348">
            <v>43227</v>
          </cell>
          <cell r="L2348" t="str">
            <v>JAIRO  BARRERO DIAZ</v>
          </cell>
          <cell r="M2348">
            <v>31</v>
          </cell>
          <cell r="N2348" t="str">
            <v>RESOLUCION</v>
          </cell>
          <cell r="O2348">
            <v>2008</v>
          </cell>
          <cell r="P2348">
            <v>43227</v>
          </cell>
          <cell r="Q2348" t="str">
            <v>adquisición de mejoras por Dto. 511 de 2010. LOCALIDAD:CIUDAD BOLIVAR ; BARRIO:LOS TRES REYES I ETAPA;ID:2003-19-4556</v>
          </cell>
          <cell r="R2348">
            <v>7392000</v>
          </cell>
          <cell r="S2348">
            <v>0</v>
          </cell>
          <cell r="T2348">
            <v>0</v>
          </cell>
          <cell r="U2348">
            <v>7392000</v>
          </cell>
          <cell r="V2348">
            <v>0</v>
          </cell>
        </row>
        <row r="2349">
          <cell r="J2349">
            <v>1858</v>
          </cell>
          <cell r="K2349">
            <v>43227</v>
          </cell>
          <cell r="L2349" t="str">
            <v>JENNY CATALINA PINZON ZEA</v>
          </cell>
          <cell r="M2349">
            <v>31</v>
          </cell>
          <cell r="N2349" t="str">
            <v>RESOLUCION</v>
          </cell>
          <cell r="O2349">
            <v>1963</v>
          </cell>
          <cell r="P2349">
            <v>43227</v>
          </cell>
          <cell r="Q2349" t="str">
            <v>Asignacion del instrumento financiero a las familias ocupantes del predio que hayan superado la fase de verificacion dentro  del marco del Decreto 457 de 2017. LOCALIDAD: KENNEDY; BARRIO: VEREDITAS; ID: 2018-08-384319</v>
          </cell>
          <cell r="R2349">
            <v>54686940</v>
          </cell>
          <cell r="S2349">
            <v>0</v>
          </cell>
          <cell r="T2349">
            <v>0</v>
          </cell>
          <cell r="U2349">
            <v>54686940</v>
          </cell>
          <cell r="V2349">
            <v>54686940</v>
          </cell>
        </row>
        <row r="2350">
          <cell r="J2350">
            <v>1859</v>
          </cell>
          <cell r="K2350">
            <v>43227</v>
          </cell>
          <cell r="L2350" t="str">
            <v>MARIA FANNY PERDOMO AMAYA</v>
          </cell>
          <cell r="M2350">
            <v>31</v>
          </cell>
          <cell r="N2350" t="str">
            <v>RESOLUCION</v>
          </cell>
          <cell r="O2350">
            <v>2010</v>
          </cell>
          <cell r="P2350">
            <v>43227</v>
          </cell>
          <cell r="Q2350" t="str">
            <v>adquisición de mejoras por Dto. 511 de 2010. LOCALIDAD:CIUDAD BOLIVAR; BARRIO:PARAISO QUIBA; ID:2015-Q04-03691.</v>
          </cell>
          <cell r="R2350">
            <v>65920800</v>
          </cell>
          <cell r="S2350">
            <v>0</v>
          </cell>
          <cell r="T2350">
            <v>0</v>
          </cell>
          <cell r="U2350">
            <v>65920800</v>
          </cell>
          <cell r="V2350">
            <v>0</v>
          </cell>
        </row>
        <row r="2351">
          <cell r="J2351">
            <v>1860</v>
          </cell>
          <cell r="K2351">
            <v>43227</v>
          </cell>
          <cell r="L2351" t="str">
            <v>OVIDIO  MORALES MONSALVE</v>
          </cell>
          <cell r="M2351">
            <v>31</v>
          </cell>
          <cell r="N2351" t="str">
            <v>RESOLUCION</v>
          </cell>
          <cell r="O2351">
            <v>2005</v>
          </cell>
          <cell r="P2351">
            <v>43227</v>
          </cell>
          <cell r="Q2351" t="str">
            <v>Adquisición predial por Dto. 511 de 2010. LOCALIDAD:SAN CRISTOBAL; BARRIO:VILLA DEL CERRO; ID: 2015-Q20-01356</v>
          </cell>
          <cell r="R2351">
            <v>95276430</v>
          </cell>
          <cell r="S2351">
            <v>0</v>
          </cell>
          <cell r="T2351">
            <v>0</v>
          </cell>
          <cell r="U2351">
            <v>95276430</v>
          </cell>
          <cell r="V2351">
            <v>28582929</v>
          </cell>
        </row>
        <row r="2352">
          <cell r="J2352">
            <v>1861</v>
          </cell>
          <cell r="K2352">
            <v>43227</v>
          </cell>
          <cell r="L2352" t="str">
            <v>GONZALO  MUÑOZ GORDILLO</v>
          </cell>
          <cell r="M2352">
            <v>31</v>
          </cell>
          <cell r="N2352" t="str">
            <v>RESOLUCION</v>
          </cell>
          <cell r="O2352">
            <v>2009</v>
          </cell>
          <cell r="P2352">
            <v>43227</v>
          </cell>
          <cell r="Q2352" t="str">
            <v>Adquisición de mejoras por Dto. 511 de 2010. LOCALIDAD:CIUDAD BOLIVAR; BARRIO:ESPINO III; ID: 2012-ALES-198</v>
          </cell>
          <cell r="R2352">
            <v>4536000</v>
          </cell>
          <cell r="S2352">
            <v>0</v>
          </cell>
          <cell r="T2352">
            <v>0</v>
          </cell>
          <cell r="U2352">
            <v>4536000</v>
          </cell>
          <cell r="V2352">
            <v>0</v>
          </cell>
        </row>
        <row r="2353">
          <cell r="J2353">
            <v>1862</v>
          </cell>
          <cell r="K2353">
            <v>43227</v>
          </cell>
          <cell r="L2353" t="str">
            <v>BERNARDO  PALOMINO</v>
          </cell>
          <cell r="M2353">
            <v>31</v>
          </cell>
          <cell r="N2353" t="str">
            <v>RESOLUCION</v>
          </cell>
          <cell r="O2353">
            <v>2004</v>
          </cell>
          <cell r="P2353">
            <v>43227</v>
          </cell>
          <cell r="Q2353" t="str">
            <v>VUR de la actual vigencia.Dto 255 de 2013. LOCALIDAD:USME; BARRIO:ARRAYANES V; ID:2016-Q05-00003</v>
          </cell>
          <cell r="R2353">
            <v>39062100</v>
          </cell>
          <cell r="S2353">
            <v>0</v>
          </cell>
          <cell r="T2353">
            <v>0</v>
          </cell>
          <cell r="U2353">
            <v>39062100</v>
          </cell>
          <cell r="V2353">
            <v>0</v>
          </cell>
        </row>
        <row r="2354">
          <cell r="J2354">
            <v>1864</v>
          </cell>
          <cell r="K2354">
            <v>43227</v>
          </cell>
          <cell r="L2354" t="str">
            <v>SANTIAGO ELIAS CARDONA LOMDOÑO</v>
          </cell>
          <cell r="M2354">
            <v>31</v>
          </cell>
          <cell r="N2354" t="str">
            <v>RESOLUCION</v>
          </cell>
          <cell r="O2354">
            <v>2007</v>
          </cell>
          <cell r="P2354">
            <v>43227</v>
          </cell>
          <cell r="Q2354" t="str">
            <v>adquisición predial por Dto. 511 de 2010. LOCALIDAD:CIUDAD BOLIVAR; BARRIO:PARAISO QUIBA; ID:2013-Q04-00540.</v>
          </cell>
          <cell r="R2354">
            <v>30953090</v>
          </cell>
          <cell r="S2354">
            <v>0</v>
          </cell>
          <cell r="T2354">
            <v>0</v>
          </cell>
          <cell r="U2354">
            <v>30953090</v>
          </cell>
          <cell r="V2354">
            <v>0</v>
          </cell>
        </row>
        <row r="2355">
          <cell r="J2355">
            <v>1865</v>
          </cell>
          <cell r="K2355">
            <v>43228</v>
          </cell>
          <cell r="L2355" t="str">
            <v>TAILOR  MOYA OPUA</v>
          </cell>
          <cell r="M2355">
            <v>31</v>
          </cell>
          <cell r="N2355" t="str">
            <v>RESOLUCION</v>
          </cell>
          <cell r="O2355">
            <v>1943</v>
          </cell>
          <cell r="P2355">
            <v>43228</v>
          </cell>
          <cell r="Q2355" t="str">
            <v>AYUDA TEMPORAL A LAS FAMILIAS DE VARIAS LOCALIDADES, PARA LA RELOCALIZACIÓN DE HOGARES LOCALIZADOS EN ZONAS DE ALTO RIESGO NO MITIGABLE ID:2015-W166-302, LOCALIDAD:19 CIUDAD BOLÍVAR, UPZ:67 LUCERO, SECTOR:WOUNAAN</v>
          </cell>
          <cell r="R2355">
            <v>4574630</v>
          </cell>
          <cell r="S2355">
            <v>0</v>
          </cell>
          <cell r="T2355">
            <v>0</v>
          </cell>
          <cell r="U2355">
            <v>4574630</v>
          </cell>
          <cell r="V2355">
            <v>1829852</v>
          </cell>
        </row>
        <row r="2356">
          <cell r="J2356">
            <v>1866</v>
          </cell>
          <cell r="K2356">
            <v>43228</v>
          </cell>
          <cell r="L2356" t="str">
            <v>CIRO ALBERTO OVALLE SAAVEDRA</v>
          </cell>
          <cell r="M2356">
            <v>31</v>
          </cell>
          <cell r="N2356" t="str">
            <v>RESOLUCION</v>
          </cell>
          <cell r="O2356">
            <v>1953</v>
          </cell>
          <cell r="P2356">
            <v>43228</v>
          </cell>
          <cell r="Q2356" t="str">
            <v>AYUDA TEMPORAL A LAS FAMILIAS DE VARIAS LOCALIDADES, PARA LA RELOCALIZACIÓN DE HOGARES LOCALIZADOS EN ZONAS DE ALTO RIESGO NO MITIGABLE ID:2010-1-11304, LOCALIDAD:01 USAQUÉN, UPZ:11 SAN CRISTÓBAL NORTE, SECTOR:OLA INVERNAL 2010 FOPAE</v>
          </cell>
          <cell r="R2356">
            <v>3874960</v>
          </cell>
          <cell r="S2356">
            <v>0</v>
          </cell>
          <cell r="T2356">
            <v>0</v>
          </cell>
          <cell r="U2356">
            <v>3874960</v>
          </cell>
          <cell r="V2356">
            <v>1937480</v>
          </cell>
        </row>
        <row r="2357">
          <cell r="J2357">
            <v>1867</v>
          </cell>
          <cell r="K2357">
            <v>43228</v>
          </cell>
          <cell r="L2357" t="str">
            <v>MARCO TULIO AVILA GARCIA</v>
          </cell>
          <cell r="M2357">
            <v>31</v>
          </cell>
          <cell r="N2357" t="str">
            <v>RESOLUCION</v>
          </cell>
          <cell r="O2357">
            <v>1954</v>
          </cell>
          <cell r="P2357">
            <v>43228</v>
          </cell>
          <cell r="Q2357" t="str">
            <v>AYUDA TEMPORAL A LAS FAMILIAS DE VARIAS LOCALIDADES, PARA LA RELOCALIZACIÓN DE HOGARES LOCALIZADOS EN ZONAS DE ALTO RIESGO NO MITIGABLE ID:2012-19-13889, LOCALIDAD:19 CIUDAD BOLÍVAR, UPZ:67 LUCERO, SECTOR:</v>
          </cell>
          <cell r="R2357">
            <v>3124968</v>
          </cell>
          <cell r="S2357">
            <v>0</v>
          </cell>
          <cell r="T2357">
            <v>0</v>
          </cell>
          <cell r="U2357">
            <v>3124968</v>
          </cell>
          <cell r="V2357">
            <v>1562484</v>
          </cell>
        </row>
        <row r="2358">
          <cell r="J2358">
            <v>1868</v>
          </cell>
          <cell r="K2358">
            <v>43228</v>
          </cell>
          <cell r="L2358" t="str">
            <v>CINDY PAOLA MARTINEZ ECHEVERRY</v>
          </cell>
          <cell r="M2358">
            <v>31</v>
          </cell>
          <cell r="N2358" t="str">
            <v>RESOLUCION</v>
          </cell>
          <cell r="O2358">
            <v>1980</v>
          </cell>
          <cell r="P2358">
            <v>43228</v>
          </cell>
          <cell r="Q2358" t="str">
            <v>AYUDA TEMPORAL A LAS FAMILIAS DE VARIAS LOCALIDADES, PARA LA RELOCALIZACIÓN DE HOGARES LOCALIZADOS EN ZONAS DE ALTO RIESGO NO MITIGABLE ID:2016-08-14805, LOCALIDAD:08 KENNEDY, UPZ:82 PATIO BONITO, SECTOR:PALMITAS</v>
          </cell>
          <cell r="R2358">
            <v>1829540</v>
          </cell>
          <cell r="S2358">
            <v>0</v>
          </cell>
          <cell r="T2358">
            <v>0</v>
          </cell>
          <cell r="U2358">
            <v>1829540</v>
          </cell>
          <cell r="V2358">
            <v>1372155</v>
          </cell>
        </row>
        <row r="2359">
          <cell r="J2359">
            <v>1869</v>
          </cell>
          <cell r="K2359">
            <v>43228</v>
          </cell>
          <cell r="L2359" t="str">
            <v>MARIA NUBIA CALERO CORRALES</v>
          </cell>
          <cell r="M2359">
            <v>31</v>
          </cell>
          <cell r="N2359" t="str">
            <v>RESOLUCION</v>
          </cell>
          <cell r="O2359">
            <v>1481</v>
          </cell>
          <cell r="P2359">
            <v>43228</v>
          </cell>
          <cell r="Q2359" t="str">
            <v>AYUDA TEMPORAL A LAS FAMILIAS DE VARIAS LOCALIDADES, PARA RELOCALIZACIÓN DE HOGARES LOCALIZADOS EN ZONAS DE ALTO RIESGO NO MITIGABLE ID:2011-19-12582, LOCALIDAD:19 CIUDAD BOLÍVAR, UPZ:67 LUCERO, SECTOR:LIMAS</v>
          </cell>
          <cell r="R2359">
            <v>3383254</v>
          </cell>
          <cell r="S2359">
            <v>0</v>
          </cell>
          <cell r="T2359">
            <v>0</v>
          </cell>
          <cell r="U2359">
            <v>3383254</v>
          </cell>
          <cell r="V2359">
            <v>966644</v>
          </cell>
        </row>
        <row r="2360">
          <cell r="J2360">
            <v>1870</v>
          </cell>
          <cell r="K2360">
            <v>43228</v>
          </cell>
          <cell r="L2360" t="str">
            <v>JOSE MIGUEL SANABRIA ZAPATA</v>
          </cell>
          <cell r="M2360">
            <v>31</v>
          </cell>
          <cell r="N2360" t="str">
            <v>RESOLUCION</v>
          </cell>
          <cell r="O2360">
            <v>1984</v>
          </cell>
          <cell r="P2360">
            <v>43228</v>
          </cell>
          <cell r="Q2360" t="str">
            <v>AYUDA TEMPORAL A LAS FAMILIAS DE VARIAS LOCALIDADES, PARA LA RELOCALIZACIÓN DE HOGARES LOCALIZADOS EN ZONAS DE ALTO RIESGO NO MITIGABLE ID:2014-OTR-00960, LOCALIDAD:19 CIUDAD BOLÍVAR, UPZ:67 LUCERO, SECTOR:TABOR ALTALOMA</v>
          </cell>
          <cell r="R2360">
            <v>4562456</v>
          </cell>
          <cell r="S2360">
            <v>0</v>
          </cell>
          <cell r="T2360">
            <v>0</v>
          </cell>
          <cell r="U2360">
            <v>4562456</v>
          </cell>
          <cell r="V2360">
            <v>2281228</v>
          </cell>
        </row>
        <row r="2361">
          <cell r="J2361">
            <v>1871</v>
          </cell>
          <cell r="K2361">
            <v>43228</v>
          </cell>
          <cell r="L2361" t="str">
            <v>MARLEN  RUBIO AYA</v>
          </cell>
          <cell r="M2361">
            <v>31</v>
          </cell>
          <cell r="N2361" t="str">
            <v>RESOLUCION</v>
          </cell>
          <cell r="O2361">
            <v>1910</v>
          </cell>
          <cell r="P2361">
            <v>43228</v>
          </cell>
          <cell r="Q2361" t="str">
            <v>AYUDA TEMPORAL A LAS FAMILIAS DE VARIAS LOCALIDADES, PARA LA RELOCALIZACIÓN DE HOGARES LOCALIZADOS EN ZONAS DE ALTO RIESGO NO MITIGABLE ID:2012-4-14335, LOCALIDAD:04 SAN CRISTÓBAL, UPZ:50 LA GLORIA.</v>
          </cell>
          <cell r="R2361">
            <v>3659080</v>
          </cell>
          <cell r="S2361">
            <v>0</v>
          </cell>
          <cell r="T2361">
            <v>0</v>
          </cell>
          <cell r="U2361">
            <v>3659080</v>
          </cell>
          <cell r="V2361">
            <v>1829540</v>
          </cell>
        </row>
        <row r="2362">
          <cell r="J2362">
            <v>1872</v>
          </cell>
          <cell r="K2362">
            <v>43228</v>
          </cell>
          <cell r="L2362" t="str">
            <v>HENRY  ALVAREZ</v>
          </cell>
          <cell r="M2362">
            <v>31</v>
          </cell>
          <cell r="N2362" t="str">
            <v>RESOLUCION</v>
          </cell>
          <cell r="O2362">
            <v>1911</v>
          </cell>
          <cell r="P2362">
            <v>43228</v>
          </cell>
          <cell r="Q2362" t="str">
            <v>AYUDA TEMPORAL A LAS FAMILIAS DE VARIAS LOCALIDADES, PARA LA RELOCALIZACIÓN DE HOGARES LOCALIZADOS EN ZONAS DE ALTO RIESGO NO MITIGABLE ID:2015-D227-00060, LOCALIDAD:04 SAN CRISTÓBAL, UPZ:51 LOS LIBERTADORES, SECTOR:SANTA TERESITA</v>
          </cell>
          <cell r="R2362">
            <v>2213148</v>
          </cell>
          <cell r="S2362">
            <v>0</v>
          </cell>
          <cell r="T2362">
            <v>0</v>
          </cell>
          <cell r="U2362">
            <v>2213148</v>
          </cell>
          <cell r="V2362">
            <v>1475432</v>
          </cell>
        </row>
        <row r="2363">
          <cell r="J2363">
            <v>1873</v>
          </cell>
          <cell r="K2363">
            <v>43228</v>
          </cell>
          <cell r="L2363" t="str">
            <v>ADRIAN MARCELO ESPITIA SAGANOME</v>
          </cell>
          <cell r="M2363">
            <v>31</v>
          </cell>
          <cell r="N2363" t="str">
            <v>RESOLUCION</v>
          </cell>
          <cell r="O2363">
            <v>2015</v>
          </cell>
          <cell r="P2363">
            <v>43228</v>
          </cell>
          <cell r="Q2363" t="str">
            <v>AYUDA TEMPORAL A LAS FAMILIAS DE VARIAS LOCALIDADES, PARA LA RELOCALIZACIÓN DE HOGARES LOCALIZADOS EN ZONAS DE ALTO RIESGO NO MITIGABLE ID:2014-OTR-01256, LOCALIDAD:11 SUBA, UPZ:71 TIBABUYES, SECTOR:GAVILANES</v>
          </cell>
          <cell r="R2363">
            <v>3143912</v>
          </cell>
          <cell r="S2363">
            <v>0</v>
          </cell>
          <cell r="T2363">
            <v>0</v>
          </cell>
          <cell r="U2363">
            <v>3143912</v>
          </cell>
          <cell r="V2363">
            <v>1571956</v>
          </cell>
        </row>
        <row r="2364">
          <cell r="J2364">
            <v>1874</v>
          </cell>
          <cell r="K2364">
            <v>43228</v>
          </cell>
          <cell r="L2364" t="str">
            <v>RUTH ZAFIR ROJAS CASTILLO</v>
          </cell>
          <cell r="M2364">
            <v>31</v>
          </cell>
          <cell r="N2364" t="str">
            <v>RESOLUCION</v>
          </cell>
          <cell r="O2364">
            <v>2016</v>
          </cell>
          <cell r="P2364">
            <v>43228</v>
          </cell>
          <cell r="Q2364" t="str">
            <v>AYUDA TEMPORAL A LAS FAMILIAS DE VARIAS LOCALIDADES, PARA LA RELOCALIZACIÓN DE HOGARES LOCALIZADOS EN ZONAS DE ALTO RIESGO NO MITIGABLE ID:2015-Q20-01326, LOCALIDAD:04 SAN CRISTÓBAL, UPZ:50 LA GLORIA, SECTOR:LA CHIGUAZA</v>
          </cell>
          <cell r="R2364">
            <v>4499952</v>
          </cell>
          <cell r="S2364">
            <v>0</v>
          </cell>
          <cell r="T2364">
            <v>0</v>
          </cell>
          <cell r="U2364">
            <v>4499952</v>
          </cell>
          <cell r="V2364">
            <v>2249976</v>
          </cell>
        </row>
        <row r="2365">
          <cell r="J2365">
            <v>1875</v>
          </cell>
          <cell r="K2365">
            <v>43228</v>
          </cell>
          <cell r="L2365" t="str">
            <v>CLAUDIA CATALINA CASTILLO</v>
          </cell>
          <cell r="M2365">
            <v>31</v>
          </cell>
          <cell r="N2365" t="str">
            <v>RESOLUCION</v>
          </cell>
          <cell r="O2365">
            <v>1913</v>
          </cell>
          <cell r="P2365">
            <v>43228</v>
          </cell>
          <cell r="Q2365" t="str">
            <v>AYUDA TEMPORAL A LAS FAMILIAS DE VARIAS LOCALIDADES, PARA LA RELOCALIZACIÓN DE HOGARES LOCALIZADOS EN ZONAS DE ALTO RIESGO NO MITIGABLE ID:2013-Q21-00594, LOCALIDAD: 19 CIUDAD BOLIVAR, UPZ: 67 LUCERO, SECTOR: BRAZO DERECHO DE LIMAS</v>
          </cell>
          <cell r="R2365">
            <v>2744310</v>
          </cell>
          <cell r="S2365">
            <v>0</v>
          </cell>
          <cell r="T2365">
            <v>0</v>
          </cell>
          <cell r="U2365">
            <v>2744310</v>
          </cell>
          <cell r="V2365">
            <v>1372155</v>
          </cell>
        </row>
        <row r="2366">
          <cell r="J2366">
            <v>1876</v>
          </cell>
          <cell r="K2366">
            <v>43228</v>
          </cell>
          <cell r="L2366" t="str">
            <v>JESUS MARIO MERCAZA CHAMAPURO</v>
          </cell>
          <cell r="M2366">
            <v>31</v>
          </cell>
          <cell r="N2366" t="str">
            <v>RESOLUCION</v>
          </cell>
          <cell r="O2366">
            <v>1914</v>
          </cell>
          <cell r="P2366">
            <v>43228</v>
          </cell>
          <cell r="Q2366" t="str">
            <v>AYUDA TEMPORAL A LAS FAMILIAS DE VARIAS LOCALIDADES, PARA LA RELOCALIZACIÓN DE HOGARES LOCALIZADOS EN ZONAS DE ALTO RIESGO NO MITIGABLE ID:2015-W166-422, LOCALIDAD:19 CIUDAD BOLÍVAR, UPZ:67 LUCERO, SECTOR:WOUNAAN</v>
          </cell>
          <cell r="R2366">
            <v>1082528</v>
          </cell>
          <cell r="S2366">
            <v>541264</v>
          </cell>
          <cell r="T2366">
            <v>0</v>
          </cell>
          <cell r="U2366">
            <v>541264</v>
          </cell>
          <cell r="V2366">
            <v>541264</v>
          </cell>
        </row>
        <row r="2367">
          <cell r="J2367">
            <v>1877</v>
          </cell>
          <cell r="K2367">
            <v>43228</v>
          </cell>
          <cell r="L2367" t="str">
            <v>YEIMMY AIDEE MOYANO ESPINOSA</v>
          </cell>
          <cell r="M2367">
            <v>31</v>
          </cell>
          <cell r="N2367" t="str">
            <v>RESOLUCION</v>
          </cell>
          <cell r="O2367">
            <v>2017</v>
          </cell>
          <cell r="P2367">
            <v>43228</v>
          </cell>
          <cell r="Q2367" t="str">
            <v>AYUDA TEMPORAL A LAS FAMILIAS DE VARIAS LOCALIDADES, PARA LA RELOCALIZACIÓN DE HOGARES LOCALIZADOS EN ZONAS DE ALTO RIESGO NO MITIGABLE ID:2011-4-13626, LOCALIDAD:04 SAN CRISTÓBAL, UPZ:32 SAN BLAS,</v>
          </cell>
          <cell r="R2367">
            <v>3515589</v>
          </cell>
          <cell r="S2367">
            <v>0</v>
          </cell>
          <cell r="T2367">
            <v>0</v>
          </cell>
          <cell r="U2367">
            <v>3515589</v>
          </cell>
          <cell r="V2367">
            <v>1562484</v>
          </cell>
        </row>
        <row r="2368">
          <cell r="J2368">
            <v>1878</v>
          </cell>
          <cell r="K2368">
            <v>43228</v>
          </cell>
          <cell r="L2368" t="str">
            <v>DOSITEO  MORENO</v>
          </cell>
          <cell r="M2368">
            <v>31</v>
          </cell>
          <cell r="N2368" t="str">
            <v>RESOLUCION</v>
          </cell>
          <cell r="O2368">
            <v>1915</v>
          </cell>
          <cell r="P2368">
            <v>43228</v>
          </cell>
          <cell r="Q2368" t="str">
            <v>AYUDA TEMPORAL A LAS FAMILIAS DE VARIAS LOCALIDADES, PARA LA RELOCALIZACIÓN DE HOGARES LOCALIZADOS EN ZONAS DE ALTO RIESGO NO MITIGABLE ID:2013000131, LOCALIDAD:04 SAN CRISTÓBAL, UPZ:51 LOS LIBERTADORES, SECTOR:QUEBRADA VEREJONES</v>
          </cell>
          <cell r="R2368">
            <v>4429638</v>
          </cell>
          <cell r="S2368">
            <v>0</v>
          </cell>
          <cell r="T2368">
            <v>0</v>
          </cell>
          <cell r="U2368">
            <v>4429638</v>
          </cell>
          <cell r="V2368">
            <v>1968728</v>
          </cell>
        </row>
        <row r="2369">
          <cell r="J2369">
            <v>1879</v>
          </cell>
          <cell r="K2369">
            <v>43228</v>
          </cell>
          <cell r="L2369" t="str">
            <v>JAVIER  CORTES SANCHEZ</v>
          </cell>
          <cell r="M2369">
            <v>31</v>
          </cell>
          <cell r="N2369" t="str">
            <v>RESOLUCION</v>
          </cell>
          <cell r="O2369">
            <v>1916</v>
          </cell>
          <cell r="P2369">
            <v>43228</v>
          </cell>
          <cell r="Q2369" t="str">
            <v>AYUDA TEMPORAL A LAS FAMILIAS DE VARIAS LOCALIDADES, PARA LA RELOCALIZACIÓN DE HOGARES LOCALIZADOS EN ZONAS DE ALTO RIESGO NO MITIGABLE ID:2011-18-13403, LOCALIDAD:18 RAFAEL URIBE URIBE, UPZ:55 DIANA TURBAY</v>
          </cell>
          <cell r="R2369">
            <v>4001913</v>
          </cell>
          <cell r="S2369">
            <v>0</v>
          </cell>
          <cell r="T2369">
            <v>0</v>
          </cell>
          <cell r="U2369">
            <v>4001913</v>
          </cell>
          <cell r="V2369">
            <v>2223285</v>
          </cell>
        </row>
        <row r="2370">
          <cell r="J2370">
            <v>1880</v>
          </cell>
          <cell r="K2370">
            <v>43229</v>
          </cell>
          <cell r="L2370" t="str">
            <v>JENNY MARITZA JAJOY JANSASOY</v>
          </cell>
          <cell r="M2370">
            <v>31</v>
          </cell>
          <cell r="N2370" t="str">
            <v>RESOLUCION</v>
          </cell>
          <cell r="O2370">
            <v>1917</v>
          </cell>
          <cell r="P2370">
            <v>43229</v>
          </cell>
          <cell r="Q2370" t="str">
            <v>AYUDA TEMPORAL A LAS FAMILIAS DE VARIAS LOCALIDADES, PARA LA RELOCALIZACIÓN DE HOGARES LOCALIZADOS EN ZONAS DE ALTO RIESGO NO MITIGABLE ID:2014-C01-00689, LOCALIDAD:19 CIUDAD BOLÍVAR, UPZ:68 EL TESORO, SECTOR:</v>
          </cell>
          <cell r="R2370">
            <v>4324509</v>
          </cell>
          <cell r="S2370">
            <v>0</v>
          </cell>
          <cell r="T2370">
            <v>0</v>
          </cell>
          <cell r="U2370">
            <v>4324509</v>
          </cell>
          <cell r="V2370">
            <v>1922004</v>
          </cell>
        </row>
        <row r="2371">
          <cell r="J2371">
            <v>1881</v>
          </cell>
          <cell r="K2371">
            <v>43229</v>
          </cell>
          <cell r="L2371" t="str">
            <v>SARA MABEL CASTILLO NUÑEZ</v>
          </cell>
          <cell r="M2371">
            <v>31</v>
          </cell>
          <cell r="N2371" t="str">
            <v>RESOLUCION</v>
          </cell>
          <cell r="O2371">
            <v>1918</v>
          </cell>
          <cell r="P2371">
            <v>43229</v>
          </cell>
          <cell r="Q2371" t="str">
            <v>AYUDA TEMPORAL A LAS FAMILIAS DE VARIAS LOCALIDADES, PARA LA RELOCALIZACIÓN DE HOGARES LOCALIZADOS EN ZONAS DE ALTO RIESGO NO MITIGABLE ID:2016-08-14885, LOCALIDAD:08 KENNEDY, UPZ:82 PATIO BONITO, SECTOR:PALMITAS</v>
          </cell>
          <cell r="R2371">
            <v>3836128</v>
          </cell>
          <cell r="S2371">
            <v>0</v>
          </cell>
          <cell r="T2371">
            <v>0</v>
          </cell>
          <cell r="U2371">
            <v>3836128</v>
          </cell>
          <cell r="V2371">
            <v>1918064</v>
          </cell>
        </row>
        <row r="2372">
          <cell r="J2372">
            <v>1882</v>
          </cell>
          <cell r="K2372">
            <v>43229</v>
          </cell>
          <cell r="L2372" t="str">
            <v>MAGOLA  VALENCIA ARIAS</v>
          </cell>
          <cell r="M2372">
            <v>31</v>
          </cell>
          <cell r="N2372" t="str">
            <v>RESOLUCION</v>
          </cell>
          <cell r="O2372">
            <v>1919</v>
          </cell>
          <cell r="P2372">
            <v>43229</v>
          </cell>
          <cell r="Q2372" t="str">
            <v>AYUDA TEMPORAL A LAS FAMILIAS DE VARIAS LOCALIDADES, PARA LA RELOCALIZACIÓN DE HOGARES LOCALIZADOS EN ZONAS DE ALTO RIESGO NO MITIGABLE ID:2011-18-13455, LOCALIDAD:18 RAFAEL URIBE URIBE, UPZ:55 DIANA TURBAY, SECTOR:</v>
          </cell>
          <cell r="R2372">
            <v>3124968</v>
          </cell>
          <cell r="S2372">
            <v>0</v>
          </cell>
          <cell r="T2372">
            <v>0</v>
          </cell>
          <cell r="U2372">
            <v>3124968</v>
          </cell>
          <cell r="V2372">
            <v>1562484</v>
          </cell>
        </row>
        <row r="2373">
          <cell r="J2373">
            <v>1883</v>
          </cell>
          <cell r="K2373">
            <v>43229</v>
          </cell>
          <cell r="L2373" t="str">
            <v>SANDRA PATRICIA MENDEZ VELANDIA</v>
          </cell>
          <cell r="M2373">
            <v>31</v>
          </cell>
          <cell r="N2373" t="str">
            <v>RESOLUCION</v>
          </cell>
          <cell r="O2373">
            <v>1920</v>
          </cell>
          <cell r="P2373">
            <v>43229</v>
          </cell>
          <cell r="Q2373" t="str">
            <v>AYUDA TEMPORAL A LAS FAMILIAS DE VARIAS LOCALIDADES, PARA LA RELOCALIZACIÓN DE HOGARES LOCALIZADOS EN ZONAS DE ALTO RIESGO NO MITIGABLE ID:2011-4-12650, LOCALIDAD:04 SAN CRISTÓBAL, UPZ:32 SAN BLAS, SECTOR:</v>
          </cell>
          <cell r="R2373">
            <v>3659080</v>
          </cell>
          <cell r="S2373">
            <v>0</v>
          </cell>
          <cell r="T2373">
            <v>0</v>
          </cell>
          <cell r="U2373">
            <v>3659080</v>
          </cell>
          <cell r="V2373">
            <v>1829540</v>
          </cell>
        </row>
        <row r="2374">
          <cell r="J2374">
            <v>1884</v>
          </cell>
          <cell r="K2374">
            <v>43229</v>
          </cell>
          <cell r="L2374" t="str">
            <v>MARIA RITA ESPEJO DIAZ</v>
          </cell>
          <cell r="M2374">
            <v>31</v>
          </cell>
          <cell r="N2374" t="str">
            <v>RESOLUCION</v>
          </cell>
          <cell r="O2374">
            <v>1936</v>
          </cell>
          <cell r="P2374">
            <v>43229</v>
          </cell>
          <cell r="Q2374" t="str">
            <v>AYUDA TEMPORAL A LAS FAMILIAS DE VARIAS LOCALIDADES, PARA LA RELOCALIZACIÓN DE HOGARES LOCALIZADOS EN ZONAS DE ALTO RIESGO NO MITIGABLE ID:2013-Q21-00663, LOCALIDAD:19 CIUDAD BOLÍVAR, UPZ:67 LUCERO, SECTOR:BRAZO DERECHO DE LIMAS</v>
          </cell>
          <cell r="R2374">
            <v>3374968</v>
          </cell>
          <cell r="S2374">
            <v>0</v>
          </cell>
          <cell r="T2374">
            <v>0</v>
          </cell>
          <cell r="U2374">
            <v>3374968</v>
          </cell>
          <cell r="V2374">
            <v>1687484</v>
          </cell>
        </row>
        <row r="2375">
          <cell r="J2375">
            <v>1885</v>
          </cell>
          <cell r="K2375">
            <v>43229</v>
          </cell>
          <cell r="L2375" t="str">
            <v>KENDRY ROBERT MIRANDA</v>
          </cell>
          <cell r="M2375">
            <v>31</v>
          </cell>
          <cell r="N2375" t="str">
            <v>RESOLUCION</v>
          </cell>
          <cell r="O2375">
            <v>1937</v>
          </cell>
          <cell r="P2375">
            <v>43229</v>
          </cell>
          <cell r="Q2375" t="str">
            <v>AYUDA TEMPORAL A LAS FAMILIAS DE VARIAS LOCALIDADES, PARA LA RELOCALIZACIÓN DE HOGARES LOCALIZADOS EN ZONAS DE ALTO RIESGO NO MITIGABLE ID:2014-OTR-01100, LOCALIDAD:19 CIUDAD BOLÍVAR, UPZ:67 LUCERO, SECTOR:TABOR ALTALOMA</v>
          </cell>
          <cell r="R2375">
            <v>2734347</v>
          </cell>
          <cell r="S2375">
            <v>0</v>
          </cell>
          <cell r="T2375">
            <v>0</v>
          </cell>
          <cell r="U2375">
            <v>2734347</v>
          </cell>
          <cell r="V2375">
            <v>1562484</v>
          </cell>
        </row>
        <row r="2376">
          <cell r="J2376">
            <v>1886</v>
          </cell>
          <cell r="K2376">
            <v>43229</v>
          </cell>
          <cell r="L2376" t="str">
            <v>WILLIAM GERMAN ROJAS RUIZ</v>
          </cell>
          <cell r="M2376">
            <v>31</v>
          </cell>
          <cell r="N2376" t="str">
            <v>RESOLUCION</v>
          </cell>
          <cell r="O2376">
            <v>1938</v>
          </cell>
          <cell r="P2376">
            <v>43229</v>
          </cell>
          <cell r="Q2376" t="str">
            <v>AYUDA TEMPORAL A LAS FAMILIAS DE VARIAS LOCALIDADES, PARA LA RELOCALIZACIÓN DE HOGARES LOCALIZADOS EN ZONAS DE ALTO RIESGO NO MITIGABLE ID:2013-Q17-00041, LOCALIDAD:19 CIUDAD BOLÍVAR, UPZ:67 LUCERO, SECTOR:QUEBRADA EL INFIERNO</v>
          </cell>
          <cell r="R2376">
            <v>3448000</v>
          </cell>
          <cell r="S2376">
            <v>0</v>
          </cell>
          <cell r="T2376">
            <v>0</v>
          </cell>
          <cell r="U2376">
            <v>3448000</v>
          </cell>
          <cell r="V2376">
            <v>1724000</v>
          </cell>
        </row>
        <row r="2377">
          <cell r="J2377">
            <v>1887</v>
          </cell>
          <cell r="K2377">
            <v>43229</v>
          </cell>
          <cell r="L2377" t="str">
            <v>MARIA GLADYS MONTERO LEON</v>
          </cell>
          <cell r="M2377">
            <v>31</v>
          </cell>
          <cell r="N2377" t="str">
            <v>RESOLUCION</v>
          </cell>
          <cell r="O2377">
            <v>1939</v>
          </cell>
          <cell r="P2377">
            <v>43229</v>
          </cell>
          <cell r="Q2377" t="str">
            <v>AYUDA TEMPORAL A LAS FAMILIAS DE VARIAS LOCALIDADES, PARA LA RELOCALIZACIÓN DE HOGARES LOCALIZADOS EN ZONAS DE ALTO RIESGO NO MITIGABLE ID:2012-5-14015, LOCALIDAD:05 USME, UPZ:56 DANUBIO, SECTOR:</v>
          </cell>
          <cell r="R2377">
            <v>3342144</v>
          </cell>
          <cell r="S2377">
            <v>0</v>
          </cell>
          <cell r="T2377">
            <v>0</v>
          </cell>
          <cell r="U2377">
            <v>3342144</v>
          </cell>
          <cell r="V2377">
            <v>1671072</v>
          </cell>
        </row>
        <row r="2378">
          <cell r="J2378">
            <v>1888</v>
          </cell>
          <cell r="K2378">
            <v>43229</v>
          </cell>
          <cell r="L2378" t="str">
            <v>LUIS CARLOS RESTREPO TORRES</v>
          </cell>
          <cell r="M2378">
            <v>31</v>
          </cell>
          <cell r="N2378" t="str">
            <v>RESOLUCION</v>
          </cell>
          <cell r="O2378">
            <v>1940</v>
          </cell>
          <cell r="P2378">
            <v>43229</v>
          </cell>
          <cell r="Q2378" t="str">
            <v>AYUDA TEMPORAL A LAS FAMILIAS DE VARIAS LOCALIDADES, PARA LA RELOCALIZACIÓN DE HOGARES LOCALIZADOS EN ZONAS DE ALTO RIESGO NO MITIGABLE ID:2011-19-13702, LOCALIDAD:19 CIUDAD BOLÍVAR, UPZ:67 LUCERO, SECTOR:</v>
          </cell>
          <cell r="R2378">
            <v>3557256</v>
          </cell>
          <cell r="S2378">
            <v>0</v>
          </cell>
          <cell r="T2378">
            <v>0</v>
          </cell>
          <cell r="U2378">
            <v>3557256</v>
          </cell>
          <cell r="V2378">
            <v>1778628</v>
          </cell>
        </row>
        <row r="2379">
          <cell r="J2379">
            <v>1890</v>
          </cell>
          <cell r="K2379">
            <v>43229</v>
          </cell>
          <cell r="L2379" t="str">
            <v>TELMO  ISMARE PIRAZA</v>
          </cell>
          <cell r="M2379">
            <v>31</v>
          </cell>
          <cell r="N2379" t="str">
            <v>RESOLUCION</v>
          </cell>
          <cell r="O2379">
            <v>2027</v>
          </cell>
          <cell r="P2379">
            <v>43229</v>
          </cell>
          <cell r="Q2379" t="str">
            <v>AYUDA TEMPORAL A LAS FAMILIAS DE VARIAS LOCALIDADES, PARA LA RELOCALIZACIÓN DE HOGARES LOCALIZADOS EN ZONAS DE ALTO RIESGO NO MITIGABLE ID:2014-W166-093, LOCALIDAD:19 CIUDAD BOLÍVAR, UPZ:68 EL TESORO, SECTOR:WOUNAAN</v>
          </cell>
          <cell r="R2379">
            <v>5754190</v>
          </cell>
          <cell r="S2379">
            <v>0</v>
          </cell>
          <cell r="T2379">
            <v>0</v>
          </cell>
          <cell r="U2379">
            <v>5754190</v>
          </cell>
          <cell r="V2379">
            <v>2877095</v>
          </cell>
        </row>
        <row r="2380">
          <cell r="J2380">
            <v>1891</v>
          </cell>
          <cell r="K2380">
            <v>43230</v>
          </cell>
          <cell r="L2380" t="str">
            <v>SANDRA YANET PARRA RODRIGUEZ</v>
          </cell>
          <cell r="M2380">
            <v>31</v>
          </cell>
          <cell r="N2380" t="str">
            <v>RESOLUCION</v>
          </cell>
          <cell r="O2380">
            <v>1968</v>
          </cell>
          <cell r="P2380">
            <v>43230</v>
          </cell>
          <cell r="Q2380" t="str">
            <v>VUR de la actual vigencia (Asignacion primera vez).Dto 255 de 2013. LOCALIDAD:CIUDAD BOLIVAR; BARRIO:PARAISO QUIBA; ID:2014-Q21-00711</v>
          </cell>
          <cell r="R2380">
            <v>39062100</v>
          </cell>
          <cell r="S2380">
            <v>0</v>
          </cell>
          <cell r="T2380">
            <v>0</v>
          </cell>
          <cell r="U2380">
            <v>39062100</v>
          </cell>
          <cell r="V2380">
            <v>0</v>
          </cell>
        </row>
        <row r="2381">
          <cell r="J2381">
            <v>1892</v>
          </cell>
          <cell r="K2381">
            <v>43230</v>
          </cell>
          <cell r="L2381" t="str">
            <v>MARIA ISABEL MORENO GARZON</v>
          </cell>
          <cell r="M2381">
            <v>31</v>
          </cell>
          <cell r="N2381" t="str">
            <v>RESOLUCION</v>
          </cell>
          <cell r="O2381">
            <v>2032</v>
          </cell>
          <cell r="P2381">
            <v>43230</v>
          </cell>
          <cell r="Q2381" t="str">
            <v>AYUDA TEMPORAL A LAS FAMILIAS DE VARIAS LOCALIDADES, PARA LA RELOCALIZACIÓN DE HOGARES LOCALIZADOS EN ZONAS DE ALTO RIESGO NO MITIGABLE ID:2013-Q06-00011, LOCALIDAD:19 CIUDAD BOLÍVAR, UPZ:67 LUCERO, SECTOR:QUEBRADA CAÑO BAÚL</v>
          </cell>
          <cell r="R2381">
            <v>3448000</v>
          </cell>
          <cell r="S2381">
            <v>0</v>
          </cell>
          <cell r="T2381">
            <v>0</v>
          </cell>
          <cell r="U2381">
            <v>3448000</v>
          </cell>
          <cell r="V2381">
            <v>1724000</v>
          </cell>
        </row>
        <row r="2382">
          <cell r="J2382">
            <v>1893</v>
          </cell>
          <cell r="K2382">
            <v>43230</v>
          </cell>
          <cell r="L2382" t="str">
            <v>SANDRA YANETH CASANOVA LOPEZ</v>
          </cell>
          <cell r="M2382">
            <v>31</v>
          </cell>
          <cell r="N2382" t="str">
            <v>RESOLUCION</v>
          </cell>
          <cell r="O2382">
            <v>1853</v>
          </cell>
          <cell r="P2382">
            <v>43230</v>
          </cell>
          <cell r="Q2382" t="str">
            <v>AYUDA TEMPORAL A LAS FAMILIAS DE VARIAS LOCALIDADES, PARA LA RELOCALIZACIÓN DE HOGARES LOCALIZADOS EN ZONAS DE ALTO RIESGO NO MITIGABLE ID:2011-4-12681, LOCALIDAD:04 SAN CRISTÓBAL, UPZ:32 SAN BLAS</v>
          </cell>
          <cell r="R2382">
            <v>4679092</v>
          </cell>
          <cell r="S2382">
            <v>0</v>
          </cell>
          <cell r="T2382">
            <v>0</v>
          </cell>
          <cell r="U2382">
            <v>4679092</v>
          </cell>
          <cell r="V2382">
            <v>1276116</v>
          </cell>
        </row>
        <row r="2383">
          <cell r="J2383">
            <v>1894</v>
          </cell>
          <cell r="K2383">
            <v>43230</v>
          </cell>
          <cell r="L2383" t="str">
            <v>JULY JOHANNA USMA USMA</v>
          </cell>
          <cell r="M2383">
            <v>31</v>
          </cell>
          <cell r="N2383" t="str">
            <v>RESOLUCION</v>
          </cell>
          <cell r="O2383">
            <v>1912</v>
          </cell>
          <cell r="P2383">
            <v>43230</v>
          </cell>
          <cell r="Q2383" t="str">
            <v>AYUDA TEMPORAL A LAS FAMILIAS DE VARIAS LOCALIDADES, PARA LA RELOCALIZACIÓN DE HOGARES LOCALIZADOS EN ZONAS DE ALTO RIESGO NO MITIGABLE ID:2017-04-14980, LOCALIDAD:04 SAN CRISTÓBAL, UPZ:32 SAN BLAS</v>
          </cell>
          <cell r="R2383">
            <v>5468690</v>
          </cell>
          <cell r="S2383">
            <v>0</v>
          </cell>
          <cell r="T2383">
            <v>0</v>
          </cell>
          <cell r="U2383">
            <v>5468690</v>
          </cell>
          <cell r="V2383">
            <v>2187476</v>
          </cell>
        </row>
        <row r="2384">
          <cell r="J2384">
            <v>1908</v>
          </cell>
          <cell r="K2384">
            <v>43235</v>
          </cell>
          <cell r="L2384" t="str">
            <v>DIOMILA  SUAREZ MUINANE</v>
          </cell>
          <cell r="M2384">
            <v>31</v>
          </cell>
          <cell r="N2384" t="str">
            <v>RESOLUCION</v>
          </cell>
          <cell r="O2384">
            <v>2035</v>
          </cell>
          <cell r="P2384">
            <v>43235</v>
          </cell>
          <cell r="Q2384" t="str">
            <v>AYUDA TEMPORAL A LAS FAMILIAS DE VARIAS LOCALIDADES, PARA LA RELOCALIZACIÓN DE HOGARES LOCALIZADOS EN ZONAS DE ALTO RIESGO NO MITIGABLE ID:2015-W166-506, LOCALIDAD:03 SANTA FE, UPZ:92 LA MACARENA, SECTOR:UITOTO</v>
          </cell>
          <cell r="R2384">
            <v>5283690</v>
          </cell>
          <cell r="S2384">
            <v>0</v>
          </cell>
          <cell r="T2384">
            <v>0</v>
          </cell>
          <cell r="U2384">
            <v>5283690</v>
          </cell>
          <cell r="V2384">
            <v>2113476</v>
          </cell>
        </row>
        <row r="2385">
          <cell r="J2385">
            <v>1909</v>
          </cell>
          <cell r="K2385">
            <v>43235</v>
          </cell>
          <cell r="L2385" t="str">
            <v>ANA FLOR MARIN MEDELLIN</v>
          </cell>
          <cell r="M2385">
            <v>31</v>
          </cell>
          <cell r="N2385" t="str">
            <v>RESOLUCION</v>
          </cell>
          <cell r="O2385">
            <v>2034</v>
          </cell>
          <cell r="P2385">
            <v>43235</v>
          </cell>
          <cell r="Q2385" t="str">
            <v>AYUDA TEMPORAL A LAS FAMILIAS DE VARIAS LOCALIDADES, PARA LA RELOCALIZACIÓN DE HOGARES LOCALIZADOS EN ZONAS DE ALTO RIESGO NO MITIGABLE ID:2013-Q10-00425, LOCALIDAD:04 SAN CRISTÓBAL, UPZ:51 LOS LIBERTADORES, SECTOR:QUEBRADA VEREJONES</v>
          </cell>
          <cell r="R2385">
            <v>3249968</v>
          </cell>
          <cell r="S2385">
            <v>0</v>
          </cell>
          <cell r="T2385">
            <v>0</v>
          </cell>
          <cell r="U2385">
            <v>3249968</v>
          </cell>
          <cell r="V2385">
            <v>1624984</v>
          </cell>
        </row>
        <row r="2386">
          <cell r="J2386">
            <v>1913</v>
          </cell>
          <cell r="K2386">
            <v>43237</v>
          </cell>
          <cell r="L2386" t="str">
            <v>OSCAR MAURICIO MEDINA VARGAS</v>
          </cell>
          <cell r="M2386">
            <v>31</v>
          </cell>
          <cell r="N2386" t="str">
            <v>RESOLUCION</v>
          </cell>
          <cell r="O2386">
            <v>2072</v>
          </cell>
          <cell r="P2386">
            <v>43237</v>
          </cell>
          <cell r="Q2386" t="str">
            <v>Vur conforme al avalúo comercial.Dto 255 de 2013 . LOCALIDAD:USAQUEN; BARRIO:TIBABITA RURAL; ID: 2006-1-7963</v>
          </cell>
          <cell r="R2386">
            <v>8741700</v>
          </cell>
          <cell r="S2386">
            <v>0</v>
          </cell>
          <cell r="T2386">
            <v>0</v>
          </cell>
          <cell r="U2386">
            <v>8741700</v>
          </cell>
          <cell r="V2386">
            <v>0</v>
          </cell>
        </row>
        <row r="2387">
          <cell r="J2387">
            <v>1914</v>
          </cell>
          <cell r="K2387">
            <v>43237</v>
          </cell>
          <cell r="L2387" t="str">
            <v>ISABEL CRISTINA VARGAS CRISTANCHO</v>
          </cell>
          <cell r="M2387">
            <v>31</v>
          </cell>
          <cell r="N2387" t="str">
            <v>RESOLUCION</v>
          </cell>
          <cell r="O2387">
            <v>2070</v>
          </cell>
          <cell r="P2387">
            <v>43237</v>
          </cell>
          <cell r="Q2387" t="str">
            <v>adquisición predial por Dto. 511 de 2010. LOCALIDAD:SAN CRISTOBAL; BARRIO:MONTEBELLO; ID:2010-4-11874</v>
          </cell>
          <cell r="R2387">
            <v>240679600</v>
          </cell>
          <cell r="S2387">
            <v>0</v>
          </cell>
          <cell r="T2387">
            <v>0</v>
          </cell>
          <cell r="U2387">
            <v>240679600</v>
          </cell>
          <cell r="V2387">
            <v>72203880</v>
          </cell>
        </row>
        <row r="2388">
          <cell r="J2388">
            <v>1915</v>
          </cell>
          <cell r="K2388">
            <v>43237</v>
          </cell>
          <cell r="L2388" t="str">
            <v>DIOSELINA  ARIAS DE TOVAR</v>
          </cell>
          <cell r="M2388">
            <v>31</v>
          </cell>
          <cell r="N2388" t="str">
            <v>RESOLUCION</v>
          </cell>
          <cell r="O2388">
            <v>2069</v>
          </cell>
          <cell r="P2388">
            <v>43237</v>
          </cell>
          <cell r="Q2388" t="str">
            <v>VUR de la actual vigencia.Dto 255 de 2013. LOCALIDAD:USAQUEN; BARRIO:EL CODITO; ID: 2007-1-10589</v>
          </cell>
          <cell r="R2388">
            <v>39062100</v>
          </cell>
          <cell r="S2388">
            <v>0</v>
          </cell>
          <cell r="T2388">
            <v>0</v>
          </cell>
          <cell r="U2388">
            <v>39062100</v>
          </cell>
          <cell r="V2388">
            <v>0</v>
          </cell>
        </row>
        <row r="2389">
          <cell r="J2389">
            <v>1916</v>
          </cell>
          <cell r="K2389">
            <v>43237</v>
          </cell>
          <cell r="L2389" t="str">
            <v>MIGUEL JOSE DELGADO</v>
          </cell>
          <cell r="M2389">
            <v>31</v>
          </cell>
          <cell r="N2389" t="str">
            <v>RESOLUCION</v>
          </cell>
          <cell r="O2389">
            <v>2065</v>
          </cell>
          <cell r="P2389">
            <v>43237</v>
          </cell>
          <cell r="Q2389" t="str">
            <v>Asignacion del instrumento financiero a las familias ocupantes del predio que hayan superado la fase de verificacion dentro  del marco del Decreto 457 de 2017. LOCALIDAD: KENNEDY; BARRIO: VEREDITAS; ID: 2017-8-383649</v>
          </cell>
          <cell r="R2389">
            <v>54686940</v>
          </cell>
          <cell r="S2389">
            <v>0</v>
          </cell>
          <cell r="T2389">
            <v>0</v>
          </cell>
          <cell r="U2389">
            <v>54686940</v>
          </cell>
          <cell r="V2389">
            <v>54686940</v>
          </cell>
        </row>
        <row r="2390">
          <cell r="J2390">
            <v>1932</v>
          </cell>
          <cell r="K2390">
            <v>43242</v>
          </cell>
          <cell r="L2390" t="str">
            <v>LUIS ALBERTO ZAMBRANO LOPEZ</v>
          </cell>
          <cell r="M2390">
            <v>31</v>
          </cell>
          <cell r="N2390" t="str">
            <v>RESOLUCION</v>
          </cell>
          <cell r="O2390">
            <v>2079</v>
          </cell>
          <cell r="P2390">
            <v>43242</v>
          </cell>
          <cell r="Q2390" t="str">
            <v>Adquisicion predial por Dto. 511 de 2010. LOCALIDAD:USME; BARRIO:ARRAYANES V; ID: 2015-Q01-04328.</v>
          </cell>
          <cell r="R2390">
            <v>22194000</v>
          </cell>
          <cell r="S2390">
            <v>0</v>
          </cell>
          <cell r="T2390">
            <v>0</v>
          </cell>
          <cell r="U2390">
            <v>22194000</v>
          </cell>
          <cell r="V2390">
            <v>0</v>
          </cell>
        </row>
        <row r="2391">
          <cell r="J2391">
            <v>1933</v>
          </cell>
          <cell r="K2391">
            <v>43242</v>
          </cell>
          <cell r="L2391" t="str">
            <v>LEONOR  CHAUTA DE BOHORQUEZ</v>
          </cell>
          <cell r="M2391">
            <v>31</v>
          </cell>
          <cell r="N2391" t="str">
            <v>RESOLUCION</v>
          </cell>
          <cell r="O2391">
            <v>2082</v>
          </cell>
          <cell r="P2391">
            <v>43242</v>
          </cell>
          <cell r="Q2391" t="str">
            <v>Vur conforme al avalúo comercial.Dto 255 de 2013 . LOCALIDAD:CIUDAD BOLIVAR: BARRIO:RINCON DEL PORVENIR; ID: 2005-19-7498</v>
          </cell>
          <cell r="R2391">
            <v>480610</v>
          </cell>
          <cell r="S2391">
            <v>0</v>
          </cell>
          <cell r="T2391">
            <v>0</v>
          </cell>
          <cell r="U2391">
            <v>480610</v>
          </cell>
          <cell r="V2391">
            <v>0</v>
          </cell>
        </row>
        <row r="2392">
          <cell r="J2392">
            <v>1935</v>
          </cell>
          <cell r="K2392">
            <v>43242</v>
          </cell>
          <cell r="L2392" t="str">
            <v>GUSTAVO  LOBATON VARGAS</v>
          </cell>
          <cell r="M2392">
            <v>31</v>
          </cell>
          <cell r="N2392" t="str">
            <v>RESOLUCION</v>
          </cell>
          <cell r="O2392">
            <v>2083</v>
          </cell>
          <cell r="P2392">
            <v>43242</v>
          </cell>
          <cell r="Q2392" t="str">
            <v>VUR conforme a avalúo comercial.Dto 255 de 2013. LOCALIDAD:USAQUEN; BARRIO:SANTA CECILA BAJA; ID: 2005-1-7523</v>
          </cell>
          <cell r="R2392">
            <v>62779330</v>
          </cell>
          <cell r="S2392">
            <v>0</v>
          </cell>
          <cell r="T2392">
            <v>0</v>
          </cell>
          <cell r="U2392">
            <v>62779330</v>
          </cell>
          <cell r="V2392">
            <v>62779330</v>
          </cell>
        </row>
        <row r="2393">
          <cell r="J2393">
            <v>1937</v>
          </cell>
          <cell r="K2393">
            <v>43242</v>
          </cell>
          <cell r="L2393" t="str">
            <v>LUIS PABLO GARZON RAMIREZ</v>
          </cell>
          <cell r="M2393">
            <v>31</v>
          </cell>
          <cell r="N2393" t="str">
            <v>RESOLUCION</v>
          </cell>
          <cell r="O2393">
            <v>2080</v>
          </cell>
          <cell r="P2393">
            <v>43242</v>
          </cell>
          <cell r="Q2393" t="str">
            <v>Adquisición de mejoras por Dto. 511 de 2010. LOCALIDAD:SANTA FE; BARRIO:SAN FRANCISCO RURAL;ID: 2015-Q24-01531</v>
          </cell>
          <cell r="R2393">
            <v>7733250</v>
          </cell>
          <cell r="S2393">
            <v>0</v>
          </cell>
          <cell r="T2393">
            <v>0</v>
          </cell>
          <cell r="U2393">
            <v>7733250</v>
          </cell>
          <cell r="V2393">
            <v>7733250</v>
          </cell>
        </row>
        <row r="2394">
          <cell r="J2394">
            <v>1942</v>
          </cell>
          <cell r="K2394">
            <v>43243</v>
          </cell>
          <cell r="L2394" t="str">
            <v>LUIS ALFONSO PARRA BENAVIDES</v>
          </cell>
          <cell r="M2394">
            <v>31</v>
          </cell>
          <cell r="N2394" t="str">
            <v>RESOLUCION</v>
          </cell>
          <cell r="O2394">
            <v>2077</v>
          </cell>
          <cell r="P2394">
            <v>43243</v>
          </cell>
          <cell r="Q2394" t="str">
            <v>VUR de conformidad con el avalúo comercial (Asignación Primera Vez).Dto 255 de 2013. LOCALIDAD:RAFAEL URIBE URIBE; BARRIO:GRANJAS DE SAN PABLO; ID:2006-18-8886</v>
          </cell>
          <cell r="R2394">
            <v>138036400</v>
          </cell>
          <cell r="S2394">
            <v>0</v>
          </cell>
          <cell r="T2394">
            <v>0</v>
          </cell>
          <cell r="U2394">
            <v>138036400</v>
          </cell>
          <cell r="V2394">
            <v>0</v>
          </cell>
        </row>
        <row r="2395">
          <cell r="J2395">
            <v>1956</v>
          </cell>
          <cell r="K2395">
            <v>43245</v>
          </cell>
          <cell r="L2395" t="str">
            <v>JESUS ENRIQUE BERGAÑO MARTINEZ</v>
          </cell>
          <cell r="M2395">
            <v>31</v>
          </cell>
          <cell r="N2395" t="str">
            <v>RESOLUCION</v>
          </cell>
          <cell r="O2395">
            <v>2098</v>
          </cell>
          <cell r="P2395">
            <v>43245</v>
          </cell>
          <cell r="Q2395" t="str">
            <v>Asignacion del instrumento financiero a las familias ocupantes del predio que hayan superado la fase de verificacion dentro  del marco del Decreto 457 de 2017. LOCALIDAD: KENNEDY; BARRIO: VEREDITAS; ID: 2018-8-384292</v>
          </cell>
          <cell r="R2395">
            <v>54686940</v>
          </cell>
          <cell r="S2395">
            <v>0</v>
          </cell>
          <cell r="T2395">
            <v>0</v>
          </cell>
          <cell r="U2395">
            <v>54686940</v>
          </cell>
          <cell r="V2395">
            <v>54686940</v>
          </cell>
        </row>
        <row r="2396">
          <cell r="J2396">
            <v>1957</v>
          </cell>
          <cell r="K2396">
            <v>43245</v>
          </cell>
          <cell r="L2396" t="str">
            <v>ARMANDO  LOPERA SANCHEZ</v>
          </cell>
          <cell r="M2396">
            <v>31</v>
          </cell>
          <cell r="N2396" t="str">
            <v>RESOLUCION</v>
          </cell>
          <cell r="O2396">
            <v>2119</v>
          </cell>
          <cell r="P2396">
            <v>43245</v>
          </cell>
          <cell r="Q2396" t="str">
            <v>adquisición predial Dto. 511 de 2010. LOCALIDAD: CIUDAD BOLIVAR; BARRIO:BUENOS AIRES;ID: 2014-Q06-00865</v>
          </cell>
          <cell r="R2396">
            <v>64571600</v>
          </cell>
          <cell r="S2396">
            <v>0</v>
          </cell>
          <cell r="T2396">
            <v>0</v>
          </cell>
          <cell r="U2396">
            <v>64571600</v>
          </cell>
          <cell r="V2396">
            <v>0</v>
          </cell>
        </row>
        <row r="2397">
          <cell r="J2397">
            <v>1963</v>
          </cell>
          <cell r="K2397">
            <v>43252</v>
          </cell>
          <cell r="L2397" t="str">
            <v>YURY BRADY TORRES CARVAJAL</v>
          </cell>
          <cell r="M2397">
            <v>31</v>
          </cell>
          <cell r="N2397" t="str">
            <v>RESOLUCION</v>
          </cell>
          <cell r="O2397">
            <v>2148</v>
          </cell>
          <cell r="P2397">
            <v>43252</v>
          </cell>
          <cell r="Q2397" t="str">
            <v>AYUDA TEMPORAL A LAS FAMILIAS DE VARIAS LOCALIDADES, PARA LA RELOCALIZACIÓN DE HOGARES LOCALIZADOS EN ZONAS DE ALTO RIESGO NO MITIGABLE ID:2002-4-2648, LOCALIDAD:04 SAN CRISTÓBAL, UPZ:32 SAN BLAS</v>
          </cell>
          <cell r="R2397">
            <v>3749960</v>
          </cell>
          <cell r="S2397">
            <v>0</v>
          </cell>
          <cell r="T2397">
            <v>0</v>
          </cell>
          <cell r="U2397">
            <v>3749960</v>
          </cell>
          <cell r="V2397">
            <v>1406235</v>
          </cell>
        </row>
        <row r="2398">
          <cell r="J2398">
            <v>1964</v>
          </cell>
          <cell r="K2398">
            <v>43252</v>
          </cell>
          <cell r="L2398" t="str">
            <v>JORGE ELIECER AGUILAR CUTIVA</v>
          </cell>
          <cell r="M2398">
            <v>31</v>
          </cell>
          <cell r="N2398" t="str">
            <v>RESOLUCION</v>
          </cell>
          <cell r="O2398">
            <v>2149</v>
          </cell>
          <cell r="P2398">
            <v>43252</v>
          </cell>
          <cell r="Q2398" t="str">
            <v>AYUDA TEMPORAL A LAS FAMILIAS DE VARIAS LOCALIDADES, PARA LA RELOCALIZACIÓN DE HOGARES LOCALIZADOS EN ZONAS DE ALTO RIESGO NO MITIGABLE ID:2018-Q03-15047, LOCALIDAD:19 CIUDAD BOLÍVAR, UPZ:66 SAN FRANCISCO, SECTOR:LIMAS</v>
          </cell>
          <cell r="R2398">
            <v>3999960</v>
          </cell>
          <cell r="S2398">
            <v>0</v>
          </cell>
          <cell r="T2398">
            <v>0</v>
          </cell>
          <cell r="U2398">
            <v>3999960</v>
          </cell>
          <cell r="V2398">
            <v>1499985</v>
          </cell>
        </row>
        <row r="2399">
          <cell r="J2399">
            <v>1965</v>
          </cell>
          <cell r="K2399">
            <v>43252</v>
          </cell>
          <cell r="L2399" t="str">
            <v>EVELYN  MOLINA MAHECHA</v>
          </cell>
          <cell r="M2399">
            <v>31</v>
          </cell>
          <cell r="N2399" t="str">
            <v>RESOLUCION</v>
          </cell>
          <cell r="O2399">
            <v>2150</v>
          </cell>
          <cell r="P2399">
            <v>43252</v>
          </cell>
          <cell r="Q2399" t="str">
            <v>AYUDA TEMPORAL A LAS FAMILIAS DE VARIAS LOCALIDADES, PARA LA RELOCALIZACIÓN DE HOGARES LOCALIZADOS EN ZONAS DE ALTO RIESGO NO MITIGABLE ID:2012-19-14244, LOCALIDAD:19 CIUDAD BOLÍVAR, UPZ:67 LUCERO</v>
          </cell>
          <cell r="R2399">
            <v>3374968</v>
          </cell>
          <cell r="S2399">
            <v>0</v>
          </cell>
          <cell r="T2399">
            <v>0</v>
          </cell>
          <cell r="U2399">
            <v>3374968</v>
          </cell>
          <cell r="V2399">
            <v>1265613</v>
          </cell>
        </row>
        <row r="2400">
          <cell r="J2400">
            <v>1966</v>
          </cell>
          <cell r="K2400">
            <v>43252</v>
          </cell>
          <cell r="L2400" t="str">
            <v>MARIA NANCY GAITAN GALAN</v>
          </cell>
          <cell r="M2400">
            <v>31</v>
          </cell>
          <cell r="N2400" t="str">
            <v>RESOLUCION</v>
          </cell>
          <cell r="O2400">
            <v>2151</v>
          </cell>
          <cell r="P2400">
            <v>43252</v>
          </cell>
          <cell r="Q2400" t="str">
            <v>AYUDA TEMPORAL A LAS FAMILIAS DE VARIAS LOCALIDADES, PARA LA RELOCALIZACIÓN DE HOGARES LOCALIZADOS EN ZONAS DE ALTO RIESGO NO MITIGABLE ID:2013000189, LOCALIDAD:19 CIUDAD BOLÍVAR, UPZ:67 LUCERO, SECTOR:QUEBRADA TROMPETA</v>
          </cell>
          <cell r="R2400">
            <v>3124968</v>
          </cell>
          <cell r="S2400">
            <v>0</v>
          </cell>
          <cell r="T2400">
            <v>0</v>
          </cell>
          <cell r="U2400">
            <v>3124968</v>
          </cell>
          <cell r="V2400">
            <v>1171863</v>
          </cell>
        </row>
        <row r="2401">
          <cell r="J2401">
            <v>1967</v>
          </cell>
          <cell r="K2401">
            <v>43252</v>
          </cell>
          <cell r="L2401" t="str">
            <v>MARIA NELCY SASTOQUE VARGAS</v>
          </cell>
          <cell r="M2401">
            <v>31</v>
          </cell>
          <cell r="N2401" t="str">
            <v>RESOLUCION</v>
          </cell>
          <cell r="O2401">
            <v>2153</v>
          </cell>
          <cell r="P2401">
            <v>43252</v>
          </cell>
          <cell r="Q2401" t="str">
            <v>AYUDA TEMPORAL A LAS FAMILIAS DE VARIAS LOCALIDADES, PARA LA RELOCALIZACIÓN DE HOGARES LOCALIZADOS EN ZONAS DE ALTO RIESGO NO MITIGABLE ID:2015-Q03-03557, LOCALIDAD:19 CIUDAD BOLÍVAR, UPZ:66 SAN FRANCISCO, SECTOR:LIMAS</v>
          </cell>
          <cell r="R2401">
            <v>3374968</v>
          </cell>
          <cell r="S2401">
            <v>0</v>
          </cell>
          <cell r="T2401">
            <v>0</v>
          </cell>
          <cell r="U2401">
            <v>3374968</v>
          </cell>
          <cell r="V2401">
            <v>1265613</v>
          </cell>
        </row>
        <row r="2402">
          <cell r="J2402">
            <v>1968</v>
          </cell>
          <cell r="K2402">
            <v>43252</v>
          </cell>
          <cell r="L2402" t="str">
            <v>EMIR  CARPIO LUVIEZA</v>
          </cell>
          <cell r="M2402">
            <v>31</v>
          </cell>
          <cell r="N2402" t="str">
            <v>RESOLUCION</v>
          </cell>
          <cell r="O2402">
            <v>2156</v>
          </cell>
          <cell r="P2402">
            <v>43252</v>
          </cell>
          <cell r="Q2402" t="str">
            <v>AYUDA TEMPORAL A LAS FAMILIAS DE VARIAS LOCALIDADES, PARA LA RELOCALIZACIÓN DE HOGARES LOCALIZADOS EN ZONAS DE ALTO RIESGO NO MITIGABLE ID:2014-W166-038, LOCALIDAD:19 CIUDAD BOLÍVAR, UPZ:68 EL TESORO, SECTOR:WOUNAAN</v>
          </cell>
          <cell r="R2402">
            <v>2878200</v>
          </cell>
          <cell r="S2402">
            <v>0</v>
          </cell>
          <cell r="T2402">
            <v>0</v>
          </cell>
          <cell r="U2402">
            <v>2878200</v>
          </cell>
          <cell r="V2402">
            <v>1439100</v>
          </cell>
        </row>
        <row r="2403">
          <cell r="J2403">
            <v>1969</v>
          </cell>
          <cell r="K2403">
            <v>43252</v>
          </cell>
          <cell r="L2403" t="str">
            <v>JUAN DAVID LOPEZ</v>
          </cell>
          <cell r="M2403">
            <v>31</v>
          </cell>
          <cell r="N2403" t="str">
            <v>RESOLUCION</v>
          </cell>
          <cell r="O2403">
            <v>2157</v>
          </cell>
          <cell r="P2403">
            <v>43252</v>
          </cell>
          <cell r="Q2403" t="str">
            <v>AYUDA TEMPORAL A LAS FAMILIAS DE VARIAS LOCALIDADES, PARA LA RELOCALIZACIÓN DE HOGARES LOCALIZADOS EN ZONAS DE ALTO RIESGO NO MITIGABLE ID:2012-19-13786, LOCALIDAD:19 CIUDAD BOLÍVAR, UPZ:67 LUCERO</v>
          </cell>
          <cell r="R2403">
            <v>2924376</v>
          </cell>
          <cell r="S2403">
            <v>0</v>
          </cell>
          <cell r="T2403">
            <v>0</v>
          </cell>
          <cell r="U2403">
            <v>2924376</v>
          </cell>
          <cell r="V2403">
            <v>835536</v>
          </cell>
        </row>
        <row r="2404">
          <cell r="J2404">
            <v>1970</v>
          </cell>
          <cell r="K2404">
            <v>43252</v>
          </cell>
          <cell r="L2404" t="str">
            <v>BLANCA CECILIA FERNANDEZ ULLOA</v>
          </cell>
          <cell r="M2404">
            <v>31</v>
          </cell>
          <cell r="N2404" t="str">
            <v>RESOLUCION</v>
          </cell>
          <cell r="O2404">
            <v>2159</v>
          </cell>
          <cell r="P2404">
            <v>43252</v>
          </cell>
          <cell r="Q2404" t="str">
            <v>AYUDA TEMPORAL A LAS FAMILIAS DE VARIAS LOCALIDADES, PARA LA RELOCALIZACIÓN DE HOGARES LOCALIZADOS EN ZONAS DE ALTO RIESGO NO MITIGABLE ID:2013-Q09-00469, LOCALIDAD:19 CIUDAD BOLÍVAR, UPZ:67 LUCERO, SECTOR:QUEBRADA TROMPETA</v>
          </cell>
          <cell r="R2404">
            <v>4812448</v>
          </cell>
          <cell r="S2404">
            <v>0</v>
          </cell>
          <cell r="T2404">
            <v>0</v>
          </cell>
          <cell r="U2404">
            <v>4812448</v>
          </cell>
          <cell r="V2404">
            <v>601556</v>
          </cell>
        </row>
        <row r="2405">
          <cell r="J2405">
            <v>1971</v>
          </cell>
          <cell r="K2405">
            <v>43252</v>
          </cell>
          <cell r="L2405" t="str">
            <v>ELVIRA  VANEGAS MONTAÑO</v>
          </cell>
          <cell r="M2405">
            <v>31</v>
          </cell>
          <cell r="N2405" t="str">
            <v>RESOLUCION</v>
          </cell>
          <cell r="O2405">
            <v>2160</v>
          </cell>
          <cell r="P2405">
            <v>43252</v>
          </cell>
          <cell r="Q2405" t="str">
            <v>AYUDA TEMPORAL A LAS FAMILIAS DE VARIAS LOCALIDADES, PARA LA RELOCALIZACIÓN DE HOGARES LOCALIZADOS EN ZONAS DE ALTO RIESGO NO MITIGABLE ID:2011-4-12629, LOCALIDAD:04 SAN CRISTÓBAL, UPZ:32 SAN BLAS</v>
          </cell>
          <cell r="R2405">
            <v>4226944</v>
          </cell>
          <cell r="S2405">
            <v>0</v>
          </cell>
          <cell r="T2405">
            <v>0</v>
          </cell>
          <cell r="U2405">
            <v>4226944</v>
          </cell>
          <cell r="V2405">
            <v>1585104</v>
          </cell>
        </row>
        <row r="2406">
          <cell r="J2406">
            <v>1972</v>
          </cell>
          <cell r="K2406">
            <v>43252</v>
          </cell>
          <cell r="L2406" t="str">
            <v>ABRAHAM  CABEZON MERCAZA</v>
          </cell>
          <cell r="M2406">
            <v>31</v>
          </cell>
          <cell r="N2406" t="str">
            <v>RESOLUCION</v>
          </cell>
          <cell r="O2406">
            <v>2177</v>
          </cell>
          <cell r="P2406">
            <v>43252</v>
          </cell>
          <cell r="Q2406" t="str">
            <v>AYUDA TEMPORAL A LAS FAMILIAS DE VARIAS LOCALIDADES, PARA LA RELOCALIZACIÓN DE HOGARES LOCALIZADOS EN ZONAS DE ALTO RIESGO NO MITIGABLE ID:2014-W166-014, LOCALIDAD:19 CIUDAD BOLÍVAR, UPZ:68 EL TESORO, SECTOR:WOUNAAN</v>
          </cell>
          <cell r="R2406">
            <v>4059510</v>
          </cell>
          <cell r="S2406">
            <v>0</v>
          </cell>
          <cell r="T2406">
            <v>0</v>
          </cell>
          <cell r="U2406">
            <v>4059510</v>
          </cell>
          <cell r="V2406">
            <v>1739790</v>
          </cell>
        </row>
        <row r="2407">
          <cell r="J2407">
            <v>1973</v>
          </cell>
          <cell r="K2407">
            <v>43252</v>
          </cell>
          <cell r="L2407" t="str">
            <v>OFELIA  TIQUE OYOLA</v>
          </cell>
          <cell r="M2407">
            <v>31</v>
          </cell>
          <cell r="N2407" t="str">
            <v>RESOLUCION</v>
          </cell>
          <cell r="O2407">
            <v>2178</v>
          </cell>
          <cell r="P2407">
            <v>43252</v>
          </cell>
          <cell r="Q2407" t="str">
            <v>AYUDA TEMPORAL A LAS FAMILIAS DE VARIAS LOCALIDADES, PARA LA RELOCALIZACIÓN DE HOGARES LOCALIZADOS EN ZONAS DE ALTO RIESGO NO MITIGABLE ID:2012-ALES-436, LOCALIDAD:19 CIUDAD BOLÍVAR, UPZ:69 ISMAEL PERDOMO, SECTOR:ALTOS DE LA ESTANCIA</v>
          </cell>
          <cell r="R2407">
            <v>5863585</v>
          </cell>
          <cell r="S2407">
            <v>0</v>
          </cell>
          <cell r="T2407">
            <v>0</v>
          </cell>
          <cell r="U2407">
            <v>5863585</v>
          </cell>
          <cell r="V2407">
            <v>1353135</v>
          </cell>
        </row>
        <row r="2408">
          <cell r="J2408">
            <v>1974</v>
          </cell>
          <cell r="K2408">
            <v>43252</v>
          </cell>
          <cell r="L2408" t="str">
            <v>JOHAN STIVEN DIAZ POSADA</v>
          </cell>
          <cell r="M2408">
            <v>31</v>
          </cell>
          <cell r="N2408" t="str">
            <v>RESOLUCION</v>
          </cell>
          <cell r="O2408">
            <v>2179</v>
          </cell>
          <cell r="P2408">
            <v>43252</v>
          </cell>
          <cell r="Q2408" t="str">
            <v>AYUDA TEMPORAL A LAS FAMILIAS DE VARIAS LOCALIDADES, PARA LA RELOCALIZACIÓN DE HOGARES LOCALIZADOS EN ZONAS DE ALTO RIESGO NO MITIGABLE ID:2012-18-14525, LOCALIDAD:18 RAFAEL URIBE URIBE, UPZ:55 DIANA TURBAY</v>
          </cell>
          <cell r="R2408">
            <v>3022327</v>
          </cell>
          <cell r="S2408">
            <v>0</v>
          </cell>
          <cell r="T2408">
            <v>0</v>
          </cell>
          <cell r="U2408">
            <v>3022327</v>
          </cell>
          <cell r="V2408">
            <v>863522</v>
          </cell>
        </row>
        <row r="2409">
          <cell r="J2409">
            <v>1975</v>
          </cell>
          <cell r="K2409">
            <v>43252</v>
          </cell>
          <cell r="L2409" t="str">
            <v>EMMA  NUNEZ DE DURAN</v>
          </cell>
          <cell r="M2409">
            <v>31</v>
          </cell>
          <cell r="N2409" t="str">
            <v>RESOLUCION</v>
          </cell>
          <cell r="O2409">
            <v>2180</v>
          </cell>
          <cell r="P2409">
            <v>43252</v>
          </cell>
          <cell r="Q2409" t="str">
            <v>AYUDA TEMPORAL A LAS FAMILIAS DE VARIAS LOCALIDADES, PARA LA RELOCALIZACIÓN DE HOGARES LOCALIZADOS EN ZONAS DE ALTO RIESGO NO MITIGABLE ID:2009-3-11228, LOCALIDAD:03 SANTA FE, UPZ:96 LOURDES</v>
          </cell>
          <cell r="R2409">
            <v>4812448</v>
          </cell>
          <cell r="S2409">
            <v>0</v>
          </cell>
          <cell r="T2409">
            <v>0</v>
          </cell>
          <cell r="U2409">
            <v>4812448</v>
          </cell>
          <cell r="V2409">
            <v>1804668</v>
          </cell>
        </row>
        <row r="2410">
          <cell r="J2410">
            <v>1976</v>
          </cell>
          <cell r="K2410">
            <v>43252</v>
          </cell>
          <cell r="L2410" t="str">
            <v>LUIS ANTONIO CELIS SANCHEZ</v>
          </cell>
          <cell r="M2410">
            <v>31</v>
          </cell>
          <cell r="N2410" t="str">
            <v>RESOLUCION</v>
          </cell>
          <cell r="O2410">
            <v>2181</v>
          </cell>
          <cell r="P2410">
            <v>43252</v>
          </cell>
          <cell r="Q2410" t="str">
            <v>AYUDA TEMPORAL A LAS FAMILIAS DE VARIAS LOCALIDADES, PARA LA RELOCALIZACIÓN DE HOGARES LOCALIZADOS EN ZONAS DE ALTO RIESGO NO MITIGABLE ID:2012-ALES-312, LOCALIDAD:19 CIUDAD BOLÍVAR, UPZ:69 ISMAEL PERDOMO</v>
          </cell>
          <cell r="R2410">
            <v>3448000</v>
          </cell>
          <cell r="S2410">
            <v>0</v>
          </cell>
          <cell r="T2410">
            <v>0</v>
          </cell>
          <cell r="U2410">
            <v>3448000</v>
          </cell>
          <cell r="V2410">
            <v>1724000</v>
          </cell>
        </row>
        <row r="2411">
          <cell r="J2411">
            <v>1980</v>
          </cell>
          <cell r="K2411">
            <v>43252</v>
          </cell>
          <cell r="L2411" t="str">
            <v>MARTHA INES ZIPACON ROSAS</v>
          </cell>
          <cell r="M2411">
            <v>31</v>
          </cell>
          <cell r="N2411" t="str">
            <v>RESOLUCION</v>
          </cell>
          <cell r="O2411">
            <v>2154</v>
          </cell>
          <cell r="P2411">
            <v>43252</v>
          </cell>
          <cell r="Q2411" t="str">
            <v>AYUDA TEMPORAL A LAS FAMILIAS DE VARIAS LOCALIDADES, PARA LA RELOCALIZACIÓN DE HOGARES LOCALIZADOS EN ZONAS DE ALTO RIESGO NO MITIGABLE ID:2010-5-11626, LOCALIDAD:05 USME, UPZ:57 GRAN YOMASA, SECTOR:OLA INVERNAL 2010 FOPAE</v>
          </cell>
          <cell r="R2411">
            <v>3992149</v>
          </cell>
          <cell r="S2411">
            <v>0</v>
          </cell>
          <cell r="T2411">
            <v>0</v>
          </cell>
          <cell r="U2411">
            <v>3992149</v>
          </cell>
          <cell r="V2411">
            <v>1710921</v>
          </cell>
        </row>
        <row r="2412">
          <cell r="J2412">
            <v>1982</v>
          </cell>
          <cell r="K2412">
            <v>43252</v>
          </cell>
          <cell r="L2412" t="str">
            <v>STEVENS  CASTAÑEDA MORENO</v>
          </cell>
          <cell r="M2412">
            <v>31</v>
          </cell>
          <cell r="N2412" t="str">
            <v>RESOLUCION</v>
          </cell>
          <cell r="O2412">
            <v>2155</v>
          </cell>
          <cell r="P2412">
            <v>43252</v>
          </cell>
          <cell r="Q2412" t="str">
            <v>AYUDA TEMPORAL A LAS FAMILIAS DE VARIAS LOCALIDADES, PARA LA RELOCALIZACIÓN DE HOGARES LOCALIZADOS EN ZONAS DE ALTO RIESGO NO MITIGABLE ID:2015-D227-00055, LOCALIDAD:04 SAN CRISTÓBAL, UPZ:51 LOS LIBERTADORES, SECTOR:SANTA TERESITA</v>
          </cell>
          <cell r="R2412">
            <v>2886919</v>
          </cell>
          <cell r="S2412">
            <v>0</v>
          </cell>
          <cell r="T2412">
            <v>0</v>
          </cell>
          <cell r="U2412">
            <v>2886919</v>
          </cell>
          <cell r="V2412">
            <v>1237251</v>
          </cell>
        </row>
        <row r="2413">
          <cell r="J2413">
            <v>1984</v>
          </cell>
          <cell r="K2413">
            <v>43252</v>
          </cell>
          <cell r="L2413" t="str">
            <v>SEGUNDO MIGUEL DE LA CRUZ MONCAYO</v>
          </cell>
          <cell r="M2413">
            <v>31</v>
          </cell>
          <cell r="N2413" t="str">
            <v>RESOLUCION</v>
          </cell>
          <cell r="O2413">
            <v>2139</v>
          </cell>
          <cell r="P2413">
            <v>43252</v>
          </cell>
          <cell r="Q2413" t="str">
            <v>AYUDA TEMPORAL A LAS FAMILIAS DE VARIAS LOCALIDADES, PARA LA RELOCALIZACIÓN DE HOGARES LOCALIZADOS EN ZONAS DE ALTO RIESGO NO MITIGABLE ID:2015-D227-00036, LOCALIDAD:04 SAN CRISTÓBAL, UPZ:51 LOS LIBERTADORES, SECTOR:SANTA TERESITA</v>
          </cell>
          <cell r="R2413">
            <v>3098410</v>
          </cell>
          <cell r="S2413">
            <v>0</v>
          </cell>
          <cell r="T2413">
            <v>0</v>
          </cell>
          <cell r="U2413">
            <v>3098410</v>
          </cell>
          <cell r="V2413">
            <v>1327890</v>
          </cell>
        </row>
        <row r="2414">
          <cell r="J2414">
            <v>1986</v>
          </cell>
          <cell r="K2414">
            <v>43252</v>
          </cell>
          <cell r="L2414" t="str">
            <v>MARIBEL  PARRADO CABEZAS</v>
          </cell>
          <cell r="M2414">
            <v>31</v>
          </cell>
          <cell r="N2414" t="str">
            <v>RESOLUCION</v>
          </cell>
          <cell r="O2414">
            <v>2142</v>
          </cell>
          <cell r="P2414">
            <v>43252</v>
          </cell>
          <cell r="Q2414" t="str">
            <v>AYUDA TEMPORAL A LAS FAMILIAS DE VARIAS LOCALIDADES, PARA LA RELOCALIZACIÓN DE HOGARES LOCALIZADOS EN ZONAS DE ALTO RIESGO NO MITIGABLE ID:2011-19-13515, LOCALIDAD:19 CIUDAD BOLÍVAR, UPZ:68 EL TESORO</v>
          </cell>
          <cell r="R2414">
            <v>2439360</v>
          </cell>
          <cell r="S2414">
            <v>0</v>
          </cell>
          <cell r="T2414">
            <v>0</v>
          </cell>
          <cell r="U2414">
            <v>2439360</v>
          </cell>
          <cell r="V2414">
            <v>1219680</v>
          </cell>
        </row>
        <row r="2415">
          <cell r="J2415">
            <v>1987</v>
          </cell>
          <cell r="K2415">
            <v>43252</v>
          </cell>
          <cell r="L2415" t="str">
            <v>HECTOR  CIFUENTES</v>
          </cell>
          <cell r="M2415">
            <v>31</v>
          </cell>
          <cell r="N2415" t="str">
            <v>RESOLUCION</v>
          </cell>
          <cell r="O2415">
            <v>2144</v>
          </cell>
          <cell r="P2415">
            <v>43252</v>
          </cell>
          <cell r="Q2415" t="str">
            <v>AYUDA TEMPORAL A LAS FAMILIAS DE VARIAS LOCALIDADES, PARA LA RELOCALIZACIÓN DE HOGARES LOCALIZADOS EN ZONAS DE ALTO RIESGO NO MITIGABLE ID:2012-19-13865, LOCALIDAD:19 CIUDAD BOLÍVAR, UPZ:67 LUCERO</v>
          </cell>
          <cell r="R2415">
            <v>2849392</v>
          </cell>
          <cell r="S2415">
            <v>0</v>
          </cell>
          <cell r="T2415">
            <v>0</v>
          </cell>
          <cell r="U2415">
            <v>2849392</v>
          </cell>
          <cell r="V2415">
            <v>1221168</v>
          </cell>
        </row>
        <row r="2416">
          <cell r="J2416">
            <v>1989</v>
          </cell>
          <cell r="K2416">
            <v>43252</v>
          </cell>
          <cell r="L2416" t="str">
            <v>JOSE SIGIFREDO CASTELLANOS MONTILLA</v>
          </cell>
          <cell r="M2416">
            <v>31</v>
          </cell>
          <cell r="N2416" t="str">
            <v>RESOLUCION</v>
          </cell>
          <cell r="O2416">
            <v>2146</v>
          </cell>
          <cell r="P2416">
            <v>43252</v>
          </cell>
          <cell r="Q2416" t="str">
            <v>AYUDA TEMPORAL A LAS FAMILIAS DE VARIAS LOCALIDADES, PARA LA RELOCALIZACIÓN DE HOGARES LOCALIZADOS EN ZONAS DE ALTO RIESGO NO MITIGABLE ID:2010-19-11685, LOCALIDAD:19 CIUDAD BOLÍVAR, UPZ:69 ISMAEL PERDOMO, SECTOR:OLA INVERNAL 2010 FOPAE</v>
          </cell>
          <cell r="R2416">
            <v>3098410</v>
          </cell>
          <cell r="S2416">
            <v>0</v>
          </cell>
          <cell r="T2416">
            <v>0</v>
          </cell>
          <cell r="U2416">
            <v>3098410</v>
          </cell>
          <cell r="V2416">
            <v>885260</v>
          </cell>
        </row>
        <row r="2417">
          <cell r="J2417">
            <v>1992</v>
          </cell>
          <cell r="K2417">
            <v>43256</v>
          </cell>
          <cell r="L2417" t="str">
            <v>LUZ KATHERINE TAMAYO HERNANDEZ</v>
          </cell>
          <cell r="M2417">
            <v>31</v>
          </cell>
          <cell r="N2417" t="str">
            <v>RESOLUCION</v>
          </cell>
          <cell r="O2417">
            <v>2196</v>
          </cell>
          <cell r="P2417">
            <v>43256</v>
          </cell>
          <cell r="Q2417" t="str">
            <v>Asignacion del instrumento financiero a las familias ocupantes del predio que hayan superado la fase de verificacion dentro  del marco del Decreto 457 de 2017. LOCALIDAD: KENNEDY; BARRIO: VEREDITAS; ID: 2018-08-384308</v>
          </cell>
          <cell r="R2417">
            <v>54686940</v>
          </cell>
          <cell r="S2417">
            <v>0</v>
          </cell>
          <cell r="T2417">
            <v>0</v>
          </cell>
          <cell r="U2417">
            <v>54686940</v>
          </cell>
          <cell r="V2417">
            <v>54686940</v>
          </cell>
        </row>
        <row r="2418">
          <cell r="J2418">
            <v>1993</v>
          </cell>
          <cell r="K2418">
            <v>43256</v>
          </cell>
          <cell r="L2418" t="str">
            <v>EDNA MARGARITA JIMENEZ VEGA</v>
          </cell>
          <cell r="M2418">
            <v>31</v>
          </cell>
          <cell r="N2418" t="str">
            <v>RESOLUCION</v>
          </cell>
          <cell r="O2418">
            <v>2191</v>
          </cell>
          <cell r="P2418">
            <v>43256</v>
          </cell>
          <cell r="Q2418" t="str">
            <v>adquisición predial Dto. 511 de 2010. LOCALIDAD: USME; BARRIO: EL MOCHUELO;ID: 2013-Q09-00437</v>
          </cell>
          <cell r="R2418">
            <v>59034400</v>
          </cell>
          <cell r="S2418">
            <v>0</v>
          </cell>
          <cell r="T2418">
            <v>0</v>
          </cell>
          <cell r="U2418">
            <v>59034400</v>
          </cell>
          <cell r="V2418">
            <v>59034400</v>
          </cell>
        </row>
        <row r="2419">
          <cell r="J2419">
            <v>1996</v>
          </cell>
          <cell r="K2419">
            <v>43257</v>
          </cell>
          <cell r="L2419" t="str">
            <v>YENNY PAOLA ROJAS PARRA</v>
          </cell>
          <cell r="M2419">
            <v>31</v>
          </cell>
          <cell r="N2419" t="str">
            <v>RESOLUCION</v>
          </cell>
          <cell r="O2419">
            <v>2145</v>
          </cell>
          <cell r="P2419">
            <v>43257</v>
          </cell>
          <cell r="Q2419" t="str">
            <v>AYUDA TEMPORAL A LAS FAMILIAS DE VARIAS LOCALIDADES, PARA LA RELOCALIZACIÓN DE HOGARES LOCALIZADOS EN ZONAS DE ALTO RIESGO NO MITIGABLE ID:2016-Q04-00016, LOCALIDAD:19 CIUDAD BOLÍVAR, UPZ:67 LUCERO, SECTOR:PEÑA COLORADA</v>
          </cell>
          <cell r="R2419">
            <v>4374952</v>
          </cell>
          <cell r="S2419">
            <v>0</v>
          </cell>
          <cell r="T2419">
            <v>0</v>
          </cell>
          <cell r="U2419">
            <v>4374952</v>
          </cell>
          <cell r="V2419">
            <v>1640607</v>
          </cell>
        </row>
        <row r="2420">
          <cell r="J2420">
            <v>1997</v>
          </cell>
          <cell r="K2420">
            <v>43257</v>
          </cell>
          <cell r="L2420" t="str">
            <v>WILLIAM ALEXANDER GONZALEZ SASTOQUE</v>
          </cell>
          <cell r="M2420">
            <v>31</v>
          </cell>
          <cell r="N2420" t="str">
            <v>RESOLUCION</v>
          </cell>
          <cell r="O2420">
            <v>2143</v>
          </cell>
          <cell r="P2420">
            <v>43257</v>
          </cell>
          <cell r="Q2420" t="str">
            <v>AYUDA TEMPORAL A LAS FAMILIAS DE VARIAS LOCALIDADES, PARA LA RELOCALIZACIÓN DE HOGARES LOCALIZADOS EN ZONAS DE ALTO RIESGO NO MITIGABLE ID:2018-Q03-15552, LOCALIDAD:19 CIUDAD BOLÍVAR, UPZ: 66 SAN FRANCISCO, SECTOR:LIMAS</v>
          </cell>
          <cell r="R2420">
            <v>3874960</v>
          </cell>
          <cell r="S2420">
            <v>0</v>
          </cell>
          <cell r="T2420">
            <v>0</v>
          </cell>
          <cell r="U2420">
            <v>3874960</v>
          </cell>
          <cell r="V2420">
            <v>1453110</v>
          </cell>
        </row>
        <row r="2421">
          <cell r="J2421">
            <v>1998</v>
          </cell>
          <cell r="K2421">
            <v>43257</v>
          </cell>
          <cell r="L2421" t="str">
            <v>BLANCA EMMA SANTANA CIFUENTES</v>
          </cell>
          <cell r="M2421">
            <v>31</v>
          </cell>
          <cell r="N2421" t="str">
            <v>RESOLUCION</v>
          </cell>
          <cell r="O2421">
            <v>2147</v>
          </cell>
          <cell r="P2421">
            <v>43257</v>
          </cell>
          <cell r="Q2421" t="str">
            <v>AYUDA TEMPORAL A LAS FAMILIAS DE VARIAS LOCALIDADES, PARA LA RELOCALIZACIÓN DE HOGARES LOCALIZADOS EN ZONAS DE ALTO RIESGO NO MITIGABLE ID:2016-20-00008, LOCALIDAD:20 SUMAPAZ, SECTOR:NAZARETH</v>
          </cell>
          <cell r="R2421">
            <v>4999952</v>
          </cell>
          <cell r="S2421">
            <v>0</v>
          </cell>
          <cell r="T2421">
            <v>0</v>
          </cell>
          <cell r="U2421">
            <v>4999952</v>
          </cell>
          <cell r="V2421">
            <v>1874982</v>
          </cell>
        </row>
        <row r="2422">
          <cell r="J2422">
            <v>1999</v>
          </cell>
          <cell r="K2422">
            <v>43257</v>
          </cell>
          <cell r="L2422" t="str">
            <v>SEGUNDO  PARRA VARGAS</v>
          </cell>
          <cell r="M2422">
            <v>31</v>
          </cell>
          <cell r="N2422" t="str">
            <v>RESOLUCION</v>
          </cell>
          <cell r="O2422">
            <v>2141</v>
          </cell>
          <cell r="P2422">
            <v>43257</v>
          </cell>
          <cell r="Q2422" t="str">
            <v>AYUDA TEMPORAL A LAS FAMILIAS DE VARIAS LOCALIDADES, PARA LA RELOCALIZACIÓN DE HOGARES LOCALIZADOS EN ZONAS DE ALTO RIESGO NO MITIGABLE ID:2013000241, LOCALIDAD:04 SAN CRISTÓBAL, UPZ:51 LOS LIBERTADORES, SECTOR:QUEBRADA VEREJONES</v>
          </cell>
          <cell r="R2422">
            <v>4499952</v>
          </cell>
          <cell r="S2422">
            <v>0</v>
          </cell>
          <cell r="T2422">
            <v>0</v>
          </cell>
          <cell r="U2422">
            <v>4499952</v>
          </cell>
          <cell r="V2422">
            <v>1687482</v>
          </cell>
        </row>
        <row r="2423">
          <cell r="J2423">
            <v>2000</v>
          </cell>
          <cell r="K2423">
            <v>43257</v>
          </cell>
          <cell r="L2423" t="str">
            <v>CARLOS JOSE VELASQUEZ ROJAS</v>
          </cell>
          <cell r="M2423">
            <v>31</v>
          </cell>
          <cell r="N2423" t="str">
            <v>RESOLUCION</v>
          </cell>
          <cell r="O2423">
            <v>2201</v>
          </cell>
          <cell r="P2423">
            <v>43257</v>
          </cell>
          <cell r="Q2423" t="str">
            <v>AYUDA TEMPORAL A LAS FAMILIAS DE VARIAS LOCALIDADES, PARA LA RELOCALIZACIÓN DE HOGARES LOCALIZADOS EN ZONAS DE ALTO RIESGO NO MITIGABLE ID:2015-Q03-01394, LOCALIDAD:19 CIUDAD BOLÍVAR, UPZ:66 SAN FRANCISCO, SECTOR:LIMAS</v>
          </cell>
          <cell r="R2423">
            <v>2734347</v>
          </cell>
          <cell r="S2423">
            <v>0</v>
          </cell>
          <cell r="T2423">
            <v>0</v>
          </cell>
          <cell r="U2423">
            <v>2734347</v>
          </cell>
          <cell r="V2423">
            <v>1171863</v>
          </cell>
        </row>
        <row r="2424">
          <cell r="J2424">
            <v>2001</v>
          </cell>
          <cell r="K2424">
            <v>43257</v>
          </cell>
          <cell r="L2424" t="str">
            <v>LUZ CELLY DIAZ GALLEGO</v>
          </cell>
          <cell r="M2424">
            <v>31</v>
          </cell>
          <cell r="N2424" t="str">
            <v>RESOLUCION</v>
          </cell>
          <cell r="O2424">
            <v>2200</v>
          </cell>
          <cell r="P2424">
            <v>43257</v>
          </cell>
          <cell r="Q2424" t="str">
            <v>AYUDA TEMPORAL A LAS FAMILIAS DE VARIAS LOCALIDADES, PARA LA RELOCALIZACIÓN DE HOGARES LOCALIZADOS EN ZONAS DE ALTO RIESGO NO MITIGABLE ID:2006-3-8369, LOCALIDAD:03 SANTA FE, UPZ:96 LOURDES</v>
          </cell>
          <cell r="R2424">
            <v>3718092</v>
          </cell>
          <cell r="S2424">
            <v>0</v>
          </cell>
          <cell r="T2424">
            <v>0</v>
          </cell>
          <cell r="U2424">
            <v>3718092</v>
          </cell>
          <cell r="V2424">
            <v>1593468</v>
          </cell>
        </row>
        <row r="2425">
          <cell r="J2425">
            <v>2002</v>
          </cell>
          <cell r="K2425">
            <v>43257</v>
          </cell>
          <cell r="L2425" t="str">
            <v>MIGUEL ANGEL CANTILLO GUTIERREZ</v>
          </cell>
          <cell r="M2425">
            <v>31</v>
          </cell>
          <cell r="N2425" t="str">
            <v>RESOLUCION</v>
          </cell>
          <cell r="O2425">
            <v>2199</v>
          </cell>
          <cell r="P2425">
            <v>43257</v>
          </cell>
          <cell r="Q2425" t="str">
            <v>AYUDA TEMPORAL A LAS FAMILIAS DE VARIAS LOCALIDADES, PARA LA RELOCALIZACIÓN DE HOGARES LOCALIZADOS EN ZONAS DE ALTO RIESGO NO MITIGABLE ID:2012-ALES-409, LOCALIDAD:19 CIUDAD BOLÍVAR, UPZ:69 ISMAEL PERDOMO, SECTOR:ALTOS DE LA ESTANCIA</v>
          </cell>
          <cell r="R2425">
            <v>3017000</v>
          </cell>
          <cell r="S2425">
            <v>0</v>
          </cell>
          <cell r="T2425">
            <v>0</v>
          </cell>
          <cell r="U2425">
            <v>3017000</v>
          </cell>
          <cell r="V2425">
            <v>1293000</v>
          </cell>
        </row>
        <row r="2426">
          <cell r="J2426">
            <v>2003</v>
          </cell>
          <cell r="K2426">
            <v>43257</v>
          </cell>
          <cell r="L2426" t="str">
            <v>ANGIE MARCELA GONZALEZ SASTOQUE</v>
          </cell>
          <cell r="M2426">
            <v>31</v>
          </cell>
          <cell r="N2426" t="str">
            <v>RESOLUCION</v>
          </cell>
          <cell r="O2426">
            <v>2152</v>
          </cell>
          <cell r="P2426">
            <v>43257</v>
          </cell>
          <cell r="Q2426" t="str">
            <v>AYUDA TEMPORAL A LAS FAMILIAS DE VARIAS LOCALIDADES, PARA LA RELOCALIZACIÓN DE HOGARES LOCALIZADOS EN ZONAS DE ALTO RIESGO NO MITIGABLE ID:2018-Q03-15550, LOCALIDAD:19 CIUDAD BOLÍVAR, UPZ: 66 SAN FRANCISCO, SECTOR:LIMAS</v>
          </cell>
          <cell r="R2426">
            <v>4101524</v>
          </cell>
          <cell r="S2426">
            <v>0</v>
          </cell>
          <cell r="T2426">
            <v>0</v>
          </cell>
          <cell r="U2426">
            <v>4101524</v>
          </cell>
          <cell r="V2426">
            <v>1757796</v>
          </cell>
        </row>
        <row r="2427">
          <cell r="J2427">
            <v>2004</v>
          </cell>
          <cell r="K2427">
            <v>43257</v>
          </cell>
          <cell r="L2427" t="str">
            <v>ROSA ELENA GUEVARA MORENO</v>
          </cell>
          <cell r="M2427">
            <v>31</v>
          </cell>
          <cell r="N2427" t="str">
            <v>RESOLUCION</v>
          </cell>
          <cell r="O2427">
            <v>2158</v>
          </cell>
          <cell r="P2427">
            <v>43257</v>
          </cell>
          <cell r="Q2427" t="str">
            <v>AYUDA TEMPORAL A LAS FAMILIAS DE VARIAS LOCALIDADES, PARA LA RELOCALIZACIÓN DE HOGARES LOCALIZADOS EN ZONAS DE ALTO RIESGO NO MITIGABLE ID:2013-Q10-00497, LOCALIDAD:04 SAN CRISTÓBAL, UPZ:51 LOS LIBERTADORES, SECTOR:QUEBRADA VEREJONES</v>
          </cell>
          <cell r="R2427">
            <v>4874952</v>
          </cell>
          <cell r="S2427">
            <v>0</v>
          </cell>
          <cell r="T2427">
            <v>0</v>
          </cell>
          <cell r="U2427">
            <v>4874952</v>
          </cell>
          <cell r="V2427">
            <v>1828107</v>
          </cell>
        </row>
        <row r="2428">
          <cell r="J2428">
            <v>2009</v>
          </cell>
          <cell r="K2428">
            <v>43263</v>
          </cell>
          <cell r="L2428" t="str">
            <v>YENIFER GABRIELA ORJUELA PACHECO</v>
          </cell>
          <cell r="M2428">
            <v>31</v>
          </cell>
          <cell r="N2428" t="str">
            <v>RESOLUCION</v>
          </cell>
          <cell r="O2428">
            <v>2221</v>
          </cell>
          <cell r="P2428">
            <v>43263</v>
          </cell>
          <cell r="Q2428" t="str">
            <v>asignacion de recursos equivalentes a 70 salarios minimos mensuales legales vigentes, conforme a lo estipulado en el decreto 227 de 2015. LOCALIDAD: KENEDY; BARRIO: LAS PALMITAS; ID: 2016-08-14912.</v>
          </cell>
          <cell r="R2428">
            <v>54686940</v>
          </cell>
          <cell r="S2428">
            <v>0</v>
          </cell>
          <cell r="T2428">
            <v>0</v>
          </cell>
          <cell r="U2428">
            <v>54686940</v>
          </cell>
          <cell r="V2428">
            <v>54686940</v>
          </cell>
        </row>
        <row r="2429">
          <cell r="J2429">
            <v>2010</v>
          </cell>
          <cell r="K2429">
            <v>43263</v>
          </cell>
          <cell r="L2429" t="str">
            <v>LEONOR  LEON DE GALINDO</v>
          </cell>
          <cell r="M2429">
            <v>31</v>
          </cell>
          <cell r="N2429" t="str">
            <v>RESOLUCION</v>
          </cell>
          <cell r="O2429">
            <v>2204</v>
          </cell>
          <cell r="P2429">
            <v>43263</v>
          </cell>
          <cell r="Q2429" t="str">
            <v>VUR de la actual vigencia Dto. 255 de 2013. LOCALIDAD: SUBA; BARRIO:SAN PEDRO DE TIBABUYES; ID:2018-11-15274</v>
          </cell>
          <cell r="R2429">
            <v>34911092</v>
          </cell>
          <cell r="S2429">
            <v>0</v>
          </cell>
          <cell r="T2429">
            <v>0</v>
          </cell>
          <cell r="U2429">
            <v>34911092</v>
          </cell>
          <cell r="V2429">
            <v>0</v>
          </cell>
        </row>
        <row r="2430">
          <cell r="J2430">
            <v>2011</v>
          </cell>
          <cell r="K2430">
            <v>43263</v>
          </cell>
          <cell r="L2430" t="str">
            <v>LEONOR  LEON DE GALINDO</v>
          </cell>
          <cell r="M2430">
            <v>31</v>
          </cell>
          <cell r="N2430" t="str">
            <v>RESOLUCION</v>
          </cell>
          <cell r="O2430">
            <v>2204</v>
          </cell>
          <cell r="P2430">
            <v>43263</v>
          </cell>
          <cell r="Q2430" t="str">
            <v>VUR de la actual vigencia Dto. 255 de 2013. LOCALIDAD: SUBA; BARRIO:SAN PEDRO DE TIBABUYES; ID:2018-11-15274</v>
          </cell>
          <cell r="R2430">
            <v>4151008</v>
          </cell>
          <cell r="S2430">
            <v>0</v>
          </cell>
          <cell r="T2430">
            <v>0</v>
          </cell>
          <cell r="U2430">
            <v>4151008</v>
          </cell>
          <cell r="V2430">
            <v>0</v>
          </cell>
        </row>
        <row r="2431">
          <cell r="J2431">
            <v>2012</v>
          </cell>
          <cell r="K2431">
            <v>43263</v>
          </cell>
          <cell r="L2431" t="str">
            <v>EDUIN ALBERTO HERNANDEZ SANCHEZ</v>
          </cell>
          <cell r="M2431">
            <v>31</v>
          </cell>
          <cell r="N2431" t="str">
            <v>RESOLUCION</v>
          </cell>
          <cell r="O2431">
            <v>2222</v>
          </cell>
          <cell r="P2431">
            <v>43263</v>
          </cell>
          <cell r="Q2431" t="str">
            <v>Asignacion de recursos equivalentes a 70 salarios minimos mensuales legales vigentes, conforme a lo estipulado en el decreto 227 de 2015. LOCALIDAD: KENEDY; BARRIO: LAS PALMITAS; ID: 2016-08-14844</v>
          </cell>
          <cell r="R2431">
            <v>54686940</v>
          </cell>
          <cell r="S2431">
            <v>0</v>
          </cell>
          <cell r="T2431">
            <v>0</v>
          </cell>
          <cell r="U2431">
            <v>54686940</v>
          </cell>
          <cell r="V2431">
            <v>54686940</v>
          </cell>
        </row>
        <row r="2432">
          <cell r="J2432">
            <v>2013</v>
          </cell>
          <cell r="K2432">
            <v>43263</v>
          </cell>
          <cell r="L2432" t="str">
            <v>JUAN CARLOS GARCIA</v>
          </cell>
          <cell r="M2432">
            <v>31</v>
          </cell>
          <cell r="N2432" t="str">
            <v>RESOLUCION</v>
          </cell>
          <cell r="O2432">
            <v>2223</v>
          </cell>
          <cell r="P2432">
            <v>43263</v>
          </cell>
          <cell r="Q2432" t="str">
            <v>Asignacion de recursos equivalentes a 70 salarios minimos mensuales legales vigentes, conforme a lo estipulado en el decreto 227 de 2015. LOCALIDAD: KENEDY; BARRIO: LAS PALMITAS; ID: 2017-08-14939</v>
          </cell>
          <cell r="R2432">
            <v>54686940</v>
          </cell>
          <cell r="S2432">
            <v>0</v>
          </cell>
          <cell r="T2432">
            <v>0</v>
          </cell>
          <cell r="U2432">
            <v>54686940</v>
          </cell>
          <cell r="V2432">
            <v>54686940</v>
          </cell>
        </row>
        <row r="2433">
          <cell r="J2433">
            <v>2024</v>
          </cell>
          <cell r="K2433">
            <v>43266</v>
          </cell>
          <cell r="L2433" t="str">
            <v>ARQUIMEDES  RODRIGUEZ OVIEDO</v>
          </cell>
          <cell r="M2433">
            <v>31</v>
          </cell>
          <cell r="N2433" t="str">
            <v>RESOLUCION</v>
          </cell>
          <cell r="O2433">
            <v>2220</v>
          </cell>
          <cell r="P2433">
            <v>43266</v>
          </cell>
          <cell r="Q2433" t="str">
            <v>adquisicón predial por Dto. 511 de 2010. LOCALIDAD:SAN CRISTOBAL; BARRIO:LA BELLEZA; ID:2013-Q10-00424</v>
          </cell>
          <cell r="R2433">
            <v>52944200</v>
          </cell>
          <cell r="S2433">
            <v>0</v>
          </cell>
          <cell r="T2433">
            <v>0</v>
          </cell>
          <cell r="U2433">
            <v>52944200</v>
          </cell>
          <cell r="V2433">
            <v>0</v>
          </cell>
        </row>
        <row r="2434">
          <cell r="J2434">
            <v>2026</v>
          </cell>
          <cell r="K2434">
            <v>43269</v>
          </cell>
          <cell r="L2434" t="str">
            <v>VICTOR MANUEL TORRES AMAYA</v>
          </cell>
          <cell r="M2434">
            <v>31</v>
          </cell>
          <cell r="N2434" t="str">
            <v>RESOLUCION</v>
          </cell>
          <cell r="O2434">
            <v>2279</v>
          </cell>
          <cell r="P2434">
            <v>43269</v>
          </cell>
          <cell r="Q2434" t="str">
            <v>AYUDA TEMPORAL A LAS FAMILIAS DE VARIAS LOCALIDADES, PARA LA RELOCALIZACIÓN DE HOGARES LOCALIZADOS EN ZONAS DE ALTO RIESGO NO MITIGABLE ID:2011-19-12561, LOCALIDAD:19 CIUDAD BOLÍVAR, UPZ:69 ISMAEL PERDOMO, SECTOR:OLA INVERNAL 2010 FOPAE</v>
          </cell>
          <cell r="R2434">
            <v>3490872</v>
          </cell>
          <cell r="S2434">
            <v>0</v>
          </cell>
          <cell r="T2434">
            <v>0</v>
          </cell>
          <cell r="U2434">
            <v>3490872</v>
          </cell>
          <cell r="V2434">
            <v>997392</v>
          </cell>
        </row>
        <row r="2435">
          <cell r="J2435">
            <v>2027</v>
          </cell>
          <cell r="K2435">
            <v>43269</v>
          </cell>
          <cell r="L2435" t="str">
            <v>MARTHA LUCIA AREVALO SALINAS</v>
          </cell>
          <cell r="M2435">
            <v>31</v>
          </cell>
          <cell r="N2435" t="str">
            <v>RESOLUCION</v>
          </cell>
          <cell r="O2435">
            <v>2280</v>
          </cell>
          <cell r="P2435">
            <v>43269</v>
          </cell>
          <cell r="Q2435" t="str">
            <v>AYUDA TEMPORAL A LAS FAMILIAS DE VARIAS LOCALIDADES, PARA LA RELOCALIZACIÓN DE HOGARES LOCALIZADOS EN ZONAS DE ALTO RIESGO NO MITIGABLE ID:2012-4-14199, LOCALIDAD:04 SAN CRISTÓBAL, UPZ:32 SAN BLAS</v>
          </cell>
          <cell r="R2435">
            <v>3515589</v>
          </cell>
          <cell r="S2435">
            <v>0</v>
          </cell>
          <cell r="T2435">
            <v>0</v>
          </cell>
          <cell r="U2435">
            <v>3515589</v>
          </cell>
          <cell r="V2435">
            <v>781242</v>
          </cell>
        </row>
        <row r="2436">
          <cell r="J2436">
            <v>2028</v>
          </cell>
          <cell r="K2436">
            <v>43269</v>
          </cell>
          <cell r="L2436" t="str">
            <v>RAFAEL  BEDOYA</v>
          </cell>
          <cell r="M2436">
            <v>31</v>
          </cell>
          <cell r="N2436" t="str">
            <v>RESOLUCION</v>
          </cell>
          <cell r="O2436">
            <v>2275</v>
          </cell>
          <cell r="P2436">
            <v>43269</v>
          </cell>
          <cell r="Q2436" t="str">
            <v>AYUDA TEMPORAL A LAS FAMILIAS DE VARIAS LOCALIDADES, PARA LA RELOCALIZACIÓN DE HOGARES LOCALIZADOS EN ZONAS DE ALTO RIESGO NO MITIGABLE ID:2012-18-14316, LOCALIDAD:18 RAFAEL URIBE URIBE, UPZ:55 DIANA TURBAY</v>
          </cell>
          <cell r="R2436">
            <v>3812464</v>
          </cell>
          <cell r="S2436">
            <v>0</v>
          </cell>
          <cell r="T2436">
            <v>0</v>
          </cell>
          <cell r="U2436">
            <v>3812464</v>
          </cell>
          <cell r="V2436">
            <v>953116</v>
          </cell>
        </row>
        <row r="2437">
          <cell r="J2437">
            <v>2029</v>
          </cell>
          <cell r="K2437">
            <v>43269</v>
          </cell>
          <cell r="L2437" t="str">
            <v>OLGA PATRICIA ZAMORA SALAMANCA</v>
          </cell>
          <cell r="M2437">
            <v>31</v>
          </cell>
          <cell r="N2437" t="str">
            <v>RESOLUCION</v>
          </cell>
          <cell r="O2437">
            <v>2276</v>
          </cell>
          <cell r="P2437">
            <v>43269</v>
          </cell>
          <cell r="Q2437" t="str">
            <v>AYUDA TEMPORAL A LAS FAMILIAS DE VARIAS LOCALIDADES, PARA LA RELOCALIZACIÓN DE HOGARES LOCALIZADOS EN ZONAS DE ALTO RIESGO NO MITIGABLE ID:2006-4-7956, LOCALIDAD:04 SAN CRISTÓBAL, UPZ:32 SAN BLAS</v>
          </cell>
          <cell r="R2437">
            <v>3124968</v>
          </cell>
          <cell r="S2437">
            <v>0</v>
          </cell>
          <cell r="T2437">
            <v>0</v>
          </cell>
          <cell r="U2437">
            <v>3124968</v>
          </cell>
          <cell r="V2437">
            <v>781242</v>
          </cell>
        </row>
        <row r="2438">
          <cell r="J2438">
            <v>2030</v>
          </cell>
          <cell r="K2438">
            <v>43269</v>
          </cell>
          <cell r="L2438" t="str">
            <v>JOSE ALFONSO BETANCUR MORA</v>
          </cell>
          <cell r="M2438">
            <v>31</v>
          </cell>
          <cell r="N2438" t="str">
            <v>RESOLUCION</v>
          </cell>
          <cell r="O2438">
            <v>2278</v>
          </cell>
          <cell r="P2438">
            <v>43269</v>
          </cell>
          <cell r="Q2438" t="str">
            <v>AYUDA TEMPORAL A LAS FAMILIAS DE VARIAS LOCALIDADES, PARA LA RELOCALIZACIÓN DE HOGARES LOCALIZADOS EN ZONAS DE ALTO RIESGO NO MITIGABLE ID:2013000228, LOCALIDAD:19 CIUDAD BOLÍVAR, UPZ:67 LUCERO, SECTOR:QUEBRADA TROMPETA</v>
          </cell>
          <cell r="R2438">
            <v>3608360</v>
          </cell>
          <cell r="S2438">
            <v>0</v>
          </cell>
          <cell r="T2438">
            <v>0</v>
          </cell>
          <cell r="U2438">
            <v>3608360</v>
          </cell>
          <cell r="V2438">
            <v>902090</v>
          </cell>
        </row>
        <row r="2439">
          <cell r="J2439">
            <v>2032</v>
          </cell>
          <cell r="K2439">
            <v>43270</v>
          </cell>
          <cell r="L2439" t="str">
            <v>JOSE MIGUEL CONTRERAS ROA</v>
          </cell>
          <cell r="M2439">
            <v>31</v>
          </cell>
          <cell r="N2439" t="str">
            <v>RESOLUCION</v>
          </cell>
          <cell r="O2439">
            <v>2274</v>
          </cell>
          <cell r="P2439">
            <v>43270</v>
          </cell>
          <cell r="Q2439" t="str">
            <v>AYUDA TEMPORAL A LAS FAMILIAS DE VARIAS LOCALIDADES, PARA LA RELOCALIZACIÓN DE HOGARES LOCALIZADOS EN ZONAS DE ALTO RIESGO NO MITIGABLE ID:2015-D227-00025, LOCALIDAD:04 SAN CRISTÓBAL, UPZ:51 LOS LIBERTADORES, SECTOR:SANTA TERESITA</v>
          </cell>
          <cell r="R2439">
            <v>3659080</v>
          </cell>
          <cell r="S2439">
            <v>0</v>
          </cell>
          <cell r="T2439">
            <v>0</v>
          </cell>
          <cell r="U2439">
            <v>3659080</v>
          </cell>
          <cell r="V2439">
            <v>914770</v>
          </cell>
        </row>
        <row r="2440">
          <cell r="J2440">
            <v>2033</v>
          </cell>
          <cell r="K2440">
            <v>43270</v>
          </cell>
          <cell r="L2440" t="str">
            <v>LUIS ALBERTO MIRANDA MORELO</v>
          </cell>
          <cell r="M2440">
            <v>31</v>
          </cell>
          <cell r="N2440" t="str">
            <v>RESOLUCION</v>
          </cell>
          <cell r="O2440">
            <v>2277</v>
          </cell>
          <cell r="P2440">
            <v>43270</v>
          </cell>
          <cell r="Q2440" t="str">
            <v>AYUDA TEMPORAL A LAS FAMILIAS DE VARIAS LOCALIDADES, PARA LA RELOCALIZACIÓN DE HOGARES LOCALIZADOS EN ZONAS DE ALTO RIESGO NO MITIGABLE ID:2012-T314-08, LOCALIDAD:04 SAN CRISTÓBAL, UPZ:50 LA GLORIA</v>
          </cell>
          <cell r="R2440">
            <v>3536208</v>
          </cell>
          <cell r="S2440">
            <v>0</v>
          </cell>
          <cell r="T2440">
            <v>0</v>
          </cell>
          <cell r="U2440">
            <v>3536208</v>
          </cell>
          <cell r="V2440">
            <v>884052</v>
          </cell>
        </row>
        <row r="2441">
          <cell r="J2441">
            <v>2034</v>
          </cell>
          <cell r="K2441">
            <v>43270</v>
          </cell>
          <cell r="L2441" t="str">
            <v>LUIS CARLOS RAMIREZ</v>
          </cell>
          <cell r="M2441">
            <v>31</v>
          </cell>
          <cell r="N2441" t="str">
            <v>RESOLUCION</v>
          </cell>
          <cell r="O2441">
            <v>2237</v>
          </cell>
          <cell r="P2441">
            <v>43270</v>
          </cell>
          <cell r="Q2441" t="str">
            <v>VUR DE LA ACTUAL VIGENCIA. LA ASIGNACIÓN SE REALIZA PARA DAR CUMPLIMIENTO AL FALLO DE ACCIÓN POPULAR 2002-00152- SUBA GAVILANES. DECRETO 255 DE 2013.LOCALIDAD: SUBA (GAVILANES); BARRIO: BILBAO; ID: 2018-11-15060</v>
          </cell>
          <cell r="R2441">
            <v>39062100</v>
          </cell>
          <cell r="S2441">
            <v>0</v>
          </cell>
          <cell r="T2441">
            <v>0</v>
          </cell>
          <cell r="U2441">
            <v>39062100</v>
          </cell>
          <cell r="V2441">
            <v>0</v>
          </cell>
        </row>
        <row r="2442">
          <cell r="J2442">
            <v>2035</v>
          </cell>
          <cell r="K2442">
            <v>43270</v>
          </cell>
          <cell r="L2442" t="str">
            <v>JHOAN ESNEIDER SAMACA ROSERO</v>
          </cell>
          <cell r="M2442">
            <v>31</v>
          </cell>
          <cell r="N2442" t="str">
            <v>RESOLUCION</v>
          </cell>
          <cell r="O2442">
            <v>2298</v>
          </cell>
          <cell r="P2442">
            <v>43270</v>
          </cell>
          <cell r="Q2442" t="str">
            <v>Asignacion del instrumento financiero a las familias ocupantes del predio que hayan superado la fase de verificacion dentro  del marco del Decreto 457 de 2017. LOCALIDAD: KENNEDY; BARRIO: VEREDITAS; ID: 2018-08-384584</v>
          </cell>
          <cell r="R2442">
            <v>54686940</v>
          </cell>
          <cell r="S2442">
            <v>0</v>
          </cell>
          <cell r="T2442">
            <v>0</v>
          </cell>
          <cell r="U2442">
            <v>54686940</v>
          </cell>
          <cell r="V2442">
            <v>54686940</v>
          </cell>
        </row>
        <row r="2443">
          <cell r="J2443">
            <v>2036</v>
          </cell>
          <cell r="K2443">
            <v>43270</v>
          </cell>
          <cell r="L2443" t="str">
            <v>CESAR ANDRES BARON LESMES</v>
          </cell>
          <cell r="M2443">
            <v>31</v>
          </cell>
          <cell r="N2443" t="str">
            <v>RESOLUCION</v>
          </cell>
          <cell r="O2443">
            <v>2299</v>
          </cell>
          <cell r="P2443">
            <v>43270</v>
          </cell>
          <cell r="Q2443" t="str">
            <v>Asignacion del instrumento financiero a las familias ocupantes del predio que hayan superado la fase de verificacion dentro  del marco del Decreto 457 de 2017. LOCALIDAD: KENNEDY; BARRIO: VEREDITAS; ID: 2018-8-384317</v>
          </cell>
          <cell r="R2443">
            <v>54686940</v>
          </cell>
          <cell r="S2443">
            <v>0</v>
          </cell>
          <cell r="T2443">
            <v>0</v>
          </cell>
          <cell r="U2443">
            <v>54686940</v>
          </cell>
          <cell r="V2443">
            <v>54686940</v>
          </cell>
        </row>
        <row r="2444">
          <cell r="J2444">
            <v>2040</v>
          </cell>
          <cell r="K2444">
            <v>43271</v>
          </cell>
          <cell r="L2444" t="str">
            <v>JOHN DIDIER TIRADO ROSERO</v>
          </cell>
          <cell r="M2444">
            <v>31</v>
          </cell>
          <cell r="N2444" t="str">
            <v>RESOLUCION</v>
          </cell>
          <cell r="O2444">
            <v>2296</v>
          </cell>
          <cell r="P2444">
            <v>43271</v>
          </cell>
          <cell r="Q2444" t="str">
            <v>Asignacion del instrumento financiero a las familias ocupantes del predio que hayan superado la fase de verificacion dentro  del marco del Decreto 457 de 2017. LOCALIDAD: KENNEDY; BARRIO: VEREDITAS; ID: 2017-8-383653</v>
          </cell>
          <cell r="R2444">
            <v>54686940</v>
          </cell>
          <cell r="S2444">
            <v>0</v>
          </cell>
          <cell r="T2444">
            <v>0</v>
          </cell>
          <cell r="U2444">
            <v>54686940</v>
          </cell>
          <cell r="V2444">
            <v>54686940</v>
          </cell>
        </row>
        <row r="2445">
          <cell r="J2445">
            <v>2041</v>
          </cell>
          <cell r="K2445">
            <v>43271</v>
          </cell>
          <cell r="L2445" t="str">
            <v>NIDIA BIBIANA LESMES SANCHEZ</v>
          </cell>
          <cell r="M2445">
            <v>31</v>
          </cell>
          <cell r="N2445" t="str">
            <v>RESOLUCION</v>
          </cell>
          <cell r="O2445">
            <v>2297</v>
          </cell>
          <cell r="P2445">
            <v>43271</v>
          </cell>
          <cell r="Q2445" t="str">
            <v>Asignacion del instrumento financiero a las familias ocupantes del predio que hayan superado la fase de verificacion dentro  del marco del Decreto 457 de 2017. LOCALIDAD: KENNEDY; BARRIO: VEREDITAS; ID: 2018-8-384318</v>
          </cell>
          <cell r="R2445">
            <v>54686940</v>
          </cell>
          <cell r="S2445">
            <v>0</v>
          </cell>
          <cell r="T2445">
            <v>0</v>
          </cell>
          <cell r="U2445">
            <v>54686940</v>
          </cell>
          <cell r="V2445">
            <v>54686940</v>
          </cell>
        </row>
        <row r="2446">
          <cell r="J2446">
            <v>2047</v>
          </cell>
          <cell r="K2446">
            <v>43271</v>
          </cell>
          <cell r="L2446" t="str">
            <v>BLANCA NORA MONTENEGRO</v>
          </cell>
          <cell r="M2446">
            <v>31</v>
          </cell>
          <cell r="N2446" t="str">
            <v>RESOLUCION</v>
          </cell>
          <cell r="O2446">
            <v>2236</v>
          </cell>
          <cell r="P2446">
            <v>43271</v>
          </cell>
          <cell r="Q2446" t="str">
            <v>VUR DE LA ACTUAL VIGENCIA. LA ASIGNACIÓN SE REALIZA PARA DAR CUMPLIMIENTO AL FALLO DE ACCIÓN POPULAR 2002-00152- SUBA GAVILANES. DECRETO 255 DE 2013.LOCALIDAD: SUBA (GAVILANES); BARRIO: SANTA CECILIA; ID: 2018-11-15214</v>
          </cell>
          <cell r="R2446">
            <v>39062100</v>
          </cell>
          <cell r="S2446">
            <v>0</v>
          </cell>
          <cell r="T2446">
            <v>0</v>
          </cell>
          <cell r="U2446">
            <v>39062100</v>
          </cell>
          <cell r="V2446">
            <v>0</v>
          </cell>
        </row>
        <row r="2447">
          <cell r="J2447">
            <v>2057</v>
          </cell>
          <cell r="K2447">
            <v>43273</v>
          </cell>
          <cell r="L2447" t="str">
            <v>FRANCISCO LUIS LOPEZ OROZCO</v>
          </cell>
          <cell r="M2447">
            <v>31</v>
          </cell>
          <cell r="N2447" t="str">
            <v>RESOLUCION</v>
          </cell>
          <cell r="O2447">
            <v>2387</v>
          </cell>
          <cell r="P2447">
            <v>43273</v>
          </cell>
          <cell r="Q2447" t="str">
            <v>AYUDA TEMPORAL A LAS FAMILIAS DE VARIAS LOCALIDADES, PARA LA RELOCALIZACIÓN DE HOGARES LOCALIZADOS EN ZONAS DE ALTO RIESGO NO MITIGABLE ID:2011-19-12882, LOCALIDAD:19 CIUDAD BOLÍVAR, UPZ:67 LUCERO</v>
          </cell>
          <cell r="R2447">
            <v>2788562</v>
          </cell>
          <cell r="S2447">
            <v>0</v>
          </cell>
          <cell r="T2447">
            <v>0</v>
          </cell>
          <cell r="U2447">
            <v>2788562</v>
          </cell>
          <cell r="V2447">
            <v>796732</v>
          </cell>
        </row>
        <row r="2448">
          <cell r="J2448">
            <v>2058</v>
          </cell>
          <cell r="K2448">
            <v>43273</v>
          </cell>
          <cell r="L2448" t="str">
            <v>LUIS ELIZARDO QUIROGA PEÑA</v>
          </cell>
          <cell r="M2448">
            <v>31</v>
          </cell>
          <cell r="N2448" t="str">
            <v>RESOLUCION</v>
          </cell>
          <cell r="O2448">
            <v>2386</v>
          </cell>
          <cell r="P2448">
            <v>43273</v>
          </cell>
          <cell r="Q2448" t="str">
            <v>AYUDA TEMPORAL A LAS FAMILIAS DE VARIAS LOCALIDADES, PARA LA RELOCALIZACIÓN DE HOGARES LOCALIZADOS EN ZONAS DE ALTO RIESGO NO MITIGABLE ID:2012-18-14355, LOCALIDAD:18 RAFAEL URIBE URIBE, UPZ:55 DIANA TURBAY</v>
          </cell>
          <cell r="R2448">
            <v>2618154</v>
          </cell>
          <cell r="S2448">
            <v>0</v>
          </cell>
          <cell r="T2448">
            <v>0</v>
          </cell>
          <cell r="U2448">
            <v>2618154</v>
          </cell>
          <cell r="V2448">
            <v>748044</v>
          </cell>
        </row>
        <row r="2449">
          <cell r="J2449">
            <v>2059</v>
          </cell>
          <cell r="K2449">
            <v>43273</v>
          </cell>
          <cell r="L2449" t="str">
            <v>MARIELA  CHARRY PINTO</v>
          </cell>
          <cell r="M2449">
            <v>31</v>
          </cell>
          <cell r="N2449" t="str">
            <v>RESOLUCION</v>
          </cell>
          <cell r="O2449">
            <v>2385</v>
          </cell>
          <cell r="P2449">
            <v>43273</v>
          </cell>
          <cell r="Q2449" t="str">
            <v>AYUDA TEMPORAL A LAS FAMILIAS DE VARIAS LOCALIDADES, PARA LA RELOCALIZACIÓN DE HOGARES LOCALIZADOS EN ZONAS DE ALTO RIESGO NO MITIGABLE ID:2012-18-14360, LOCALIDAD:18 RAFAEL URIBE URIBE, UPZ:55 DIANA TURBAY</v>
          </cell>
          <cell r="R2449">
            <v>3752413</v>
          </cell>
          <cell r="S2449">
            <v>0</v>
          </cell>
          <cell r="T2449">
            <v>0</v>
          </cell>
          <cell r="U2449">
            <v>3752413</v>
          </cell>
          <cell r="V2449">
            <v>1072118</v>
          </cell>
        </row>
        <row r="2450">
          <cell r="J2450">
            <v>2060</v>
          </cell>
          <cell r="K2450">
            <v>43273</v>
          </cell>
          <cell r="L2450" t="str">
            <v>MARIA HILDA PRIETO SALAMANCA</v>
          </cell>
          <cell r="M2450">
            <v>31</v>
          </cell>
          <cell r="N2450" t="str">
            <v>RESOLUCION</v>
          </cell>
          <cell r="O2450">
            <v>2384</v>
          </cell>
          <cell r="P2450">
            <v>43273</v>
          </cell>
          <cell r="Q2450" t="str">
            <v>AYUDA TEMPORAL A LAS FAMILIAS DE VARIAS LOCALIDADES, PARA LA RELOCALIZACIÓN DE HOGARES LOCALIZADOS EN ZONAS DE ALTO RIESGO NO MITIGABLE ID:2011-4-13355, LOCALIDAD:04 SAN CRISTÓBAL, UPZ:32 SAN BLAS</v>
          </cell>
          <cell r="R2450">
            <v>3363507</v>
          </cell>
          <cell r="S2450">
            <v>0</v>
          </cell>
          <cell r="T2450">
            <v>0</v>
          </cell>
          <cell r="U2450">
            <v>3363507</v>
          </cell>
          <cell r="V2450">
            <v>961002</v>
          </cell>
        </row>
        <row r="2451">
          <cell r="J2451">
            <v>2061</v>
          </cell>
          <cell r="K2451">
            <v>43273</v>
          </cell>
          <cell r="L2451" t="str">
            <v>MARIA ELVIRA TOVAR</v>
          </cell>
          <cell r="M2451">
            <v>31</v>
          </cell>
          <cell r="N2451" t="str">
            <v>RESOLUCION</v>
          </cell>
          <cell r="O2451">
            <v>2409</v>
          </cell>
          <cell r="P2451">
            <v>43273</v>
          </cell>
          <cell r="Q2451" t="str">
            <v>AYUDA TEMPORAL A LAS FAMILIAS DE VARIAS LOCALIDADES, PARA RELOCALIZACIÓN DE HOGARES LOCALIZADOS EN ZONAS DE ALTO RIESGO NO MITIGABLE ID:2013000328, LOCALIDAD:19 CIUDAD BOLÍVAR, UPZ:67 LUCERO, SECTOR:PEÑA COLORADA</v>
          </cell>
          <cell r="R2451">
            <v>3157315</v>
          </cell>
          <cell r="S2451">
            <v>0</v>
          </cell>
          <cell r="T2451">
            <v>0</v>
          </cell>
          <cell r="U2451">
            <v>3157315</v>
          </cell>
          <cell r="V2451">
            <v>902090</v>
          </cell>
        </row>
        <row r="2452">
          <cell r="J2452">
            <v>2062</v>
          </cell>
          <cell r="K2452">
            <v>43273</v>
          </cell>
          <cell r="L2452" t="str">
            <v>MARINELA  GAONA GONZALEZ</v>
          </cell>
          <cell r="M2452">
            <v>31</v>
          </cell>
          <cell r="N2452" t="str">
            <v>RESOLUCION</v>
          </cell>
          <cell r="O2452">
            <v>2383</v>
          </cell>
          <cell r="P2452">
            <v>43273</v>
          </cell>
          <cell r="Q2452" t="str">
            <v>AYUDA TEMPORAL A LAS FAMILIAS DE VARIAS LOCALIDADES, PARA LA RELOCALIZACIÓN DE HOGARES LOCALIZADOS EN ZONAS DE ALTO RIESGO NO MITIGABLE ID:2012-4-14293, LOCALIDAD:04 SAN CRISTÓBAL, UPZ:50 LA GLORIA</v>
          </cell>
          <cell r="R2452">
            <v>3017000</v>
          </cell>
          <cell r="S2452">
            <v>0</v>
          </cell>
          <cell r="T2452">
            <v>0</v>
          </cell>
          <cell r="U2452">
            <v>3017000</v>
          </cell>
          <cell r="V2452">
            <v>862000</v>
          </cell>
        </row>
        <row r="2453">
          <cell r="J2453">
            <v>2063</v>
          </cell>
          <cell r="K2453">
            <v>43273</v>
          </cell>
          <cell r="L2453" t="str">
            <v>YAMILE  MENDEZ</v>
          </cell>
          <cell r="M2453">
            <v>31</v>
          </cell>
          <cell r="N2453" t="str">
            <v>RESOLUCION</v>
          </cell>
          <cell r="O2453">
            <v>2382</v>
          </cell>
          <cell r="P2453">
            <v>43273</v>
          </cell>
          <cell r="Q2453" t="str">
            <v>AYUDA TEMPORAL A LAS FAMILIAS DE VARIAS LOCALIDADES, PARA LA RELOCALIZACIÓN DE HOGARES LOCALIZADOS EN ZONAS DE ALTO RIESGO NO MITIGABLE ID:2012-ALES-132, LOCALIDAD:19 CIUDAD BOLÍVAR, UPZ:69 ISMAEL PERDOMO, SECTOR:ALTOS DE LA ESTANCIA</v>
          </cell>
          <cell r="R2453">
            <v>3017000</v>
          </cell>
          <cell r="S2453">
            <v>0</v>
          </cell>
          <cell r="T2453">
            <v>0</v>
          </cell>
          <cell r="U2453">
            <v>3017000</v>
          </cell>
          <cell r="V2453">
            <v>862000</v>
          </cell>
        </row>
        <row r="2454">
          <cell r="J2454">
            <v>2064</v>
          </cell>
          <cell r="K2454">
            <v>43273</v>
          </cell>
          <cell r="L2454" t="str">
            <v>CONCEPCION  TOVAR MUÑOZ</v>
          </cell>
          <cell r="M2454">
            <v>31</v>
          </cell>
          <cell r="N2454" t="str">
            <v>RESOLUCION</v>
          </cell>
          <cell r="O2454">
            <v>2381</v>
          </cell>
          <cell r="P2454">
            <v>43273</v>
          </cell>
          <cell r="Q2454" t="str">
            <v>AYUDA TEMPORAL A LAS FAMILIAS DE VARIAS LOCALIDADES, PARA LA RELOCALIZACIÓN DE HOGARES LOCALIZADOS EN ZONAS DE ALTO RIESGO NO MITIGABLE ID:2011-5-12895, LOCALIDAD:05 USME, UPZ:61 CIUDAD DE USME</v>
          </cell>
          <cell r="R2454">
            <v>3374280</v>
          </cell>
          <cell r="S2454">
            <v>0</v>
          </cell>
          <cell r="T2454">
            <v>0</v>
          </cell>
          <cell r="U2454">
            <v>3374280</v>
          </cell>
          <cell r="V2454">
            <v>964080</v>
          </cell>
        </row>
        <row r="2455">
          <cell r="J2455">
            <v>2065</v>
          </cell>
          <cell r="K2455">
            <v>43273</v>
          </cell>
          <cell r="L2455" t="str">
            <v>ARAMINTA  PIÑEROS MARTIN</v>
          </cell>
          <cell r="M2455">
            <v>31</v>
          </cell>
          <cell r="N2455" t="str">
            <v>RESOLUCION</v>
          </cell>
          <cell r="O2455">
            <v>2380</v>
          </cell>
          <cell r="P2455">
            <v>43273</v>
          </cell>
          <cell r="Q2455" t="str">
            <v>AYUDA TEMPORAL A LAS FAMILIAS DE VARIAS LOCALIDADES, PARA LA RELOCALIZACIÓN DE HOGARES LOCALIZADOS EN ZONAS DE ALTO RIESGO NO MITIGABLE ID:2011-5-13039, LOCALIDAD:05 USME, UPZ:56 DANUBIO</v>
          </cell>
          <cell r="R2455">
            <v>3201695</v>
          </cell>
          <cell r="S2455">
            <v>0</v>
          </cell>
          <cell r="T2455">
            <v>0</v>
          </cell>
          <cell r="U2455">
            <v>3201695</v>
          </cell>
          <cell r="V2455">
            <v>914770</v>
          </cell>
        </row>
        <row r="2456">
          <cell r="J2456">
            <v>2066</v>
          </cell>
          <cell r="K2456">
            <v>43273</v>
          </cell>
          <cell r="L2456" t="str">
            <v>ANA ISABEL FORERO SOTO</v>
          </cell>
          <cell r="M2456">
            <v>31</v>
          </cell>
          <cell r="N2456" t="str">
            <v>RESOLUCION</v>
          </cell>
          <cell r="O2456">
            <v>2408</v>
          </cell>
          <cell r="P2456">
            <v>43273</v>
          </cell>
          <cell r="Q2456" t="str">
            <v>AYUDA TEMPORAL A LAS FAMILIAS DE VARIAS LOCALIDADES, PARA LA RELOCALIZACIÓN DE HOGARES LOCALIZADOS EN ZONAS DE ALTO RIESGO NO MITIGABLE ID:2014-OTR-00879, LOCALIDAD:03 SANTA FE, UPZ:96 LOURDES, SECTOR:CASA 2</v>
          </cell>
          <cell r="R2456">
            <v>3516527</v>
          </cell>
          <cell r="S2456">
            <v>0</v>
          </cell>
          <cell r="T2456">
            <v>0</v>
          </cell>
          <cell r="U2456">
            <v>3516527</v>
          </cell>
          <cell r="V2456">
            <v>1004722</v>
          </cell>
        </row>
        <row r="2457">
          <cell r="J2457">
            <v>2067</v>
          </cell>
          <cell r="K2457">
            <v>43273</v>
          </cell>
          <cell r="L2457" t="str">
            <v>MARIA DE LOS ANGELES LOPEZ RUIZ</v>
          </cell>
          <cell r="M2457">
            <v>31</v>
          </cell>
          <cell r="N2457" t="str">
            <v>RESOLUCION</v>
          </cell>
          <cell r="O2457">
            <v>2379</v>
          </cell>
          <cell r="P2457">
            <v>43273</v>
          </cell>
          <cell r="Q2457" t="str">
            <v>AYUDA TEMPORAL A LAS FAMILIAS DE VARIAS LOCALIDADES, PARA LA RELOCALIZACIÓN DE HOGARES LOCALIZADOS EN ZONAS DE ALTO RIESGO NO MITIGABLE ID:2012-ALES-131, LOCALIDAD:19 CIUDAD BOLÍVAR, UPZ:69 ISMAEL PERDOMO</v>
          </cell>
          <cell r="R2457">
            <v>3619000</v>
          </cell>
          <cell r="S2457">
            <v>0</v>
          </cell>
          <cell r="T2457">
            <v>0</v>
          </cell>
          <cell r="U2457">
            <v>3619000</v>
          </cell>
          <cell r="V2457">
            <v>1034000</v>
          </cell>
        </row>
        <row r="2458">
          <cell r="J2458">
            <v>2068</v>
          </cell>
          <cell r="K2458">
            <v>43273</v>
          </cell>
          <cell r="L2458" t="str">
            <v>GLORIA  NIÑO VILLALBA</v>
          </cell>
          <cell r="M2458">
            <v>31</v>
          </cell>
          <cell r="N2458" t="str">
            <v>RESOLUCION</v>
          </cell>
          <cell r="O2458">
            <v>2407</v>
          </cell>
          <cell r="P2458">
            <v>43273</v>
          </cell>
          <cell r="Q2458" t="str">
            <v>AYUDA TEMPORAL A LAS FAMILIAS DE VARIAS LOCALIDADES, PARA LA RELOCALIZACIÓN DE HOGARES LOCALIZADOS EN ZONAS DE ALTO RIESGO NO MITIGABLE ID:2014-OTR-00897, LOCALIDAD:03 SANTA FE, UPZ:96 LOURDES, SECTOR:CASA 3</v>
          </cell>
          <cell r="R2458">
            <v>2976771</v>
          </cell>
          <cell r="S2458">
            <v>0</v>
          </cell>
          <cell r="T2458">
            <v>0</v>
          </cell>
          <cell r="U2458">
            <v>2976771</v>
          </cell>
          <cell r="V2458">
            <v>850506</v>
          </cell>
        </row>
        <row r="2459">
          <cell r="J2459">
            <v>2069</v>
          </cell>
          <cell r="K2459">
            <v>43273</v>
          </cell>
          <cell r="L2459" t="str">
            <v>YUDI KATERINE RAMIREZ RODRIGUEZ</v>
          </cell>
          <cell r="M2459">
            <v>31</v>
          </cell>
          <cell r="N2459" t="str">
            <v>RESOLUCION</v>
          </cell>
          <cell r="O2459">
            <v>2406</v>
          </cell>
          <cell r="P2459">
            <v>43273</v>
          </cell>
          <cell r="Q2459" t="str">
            <v>AYUDA TEMPORAL A LAS FAMILIAS DE VARIAS LOCALIDADES, PARA LA RELOCALIZACIÓN DE HOGARES LOCALIZADOS EN ZONAS DE ALTO RIESGO NO MITIGABLE ID:2014-OTR-00882, LOCALIDAD:03 SANTA FE, UPZ:96 LOURDES, SECTOR:CASA 2</v>
          </cell>
          <cell r="R2459">
            <v>3518186</v>
          </cell>
          <cell r="S2459">
            <v>0</v>
          </cell>
          <cell r="T2459">
            <v>0</v>
          </cell>
          <cell r="U2459">
            <v>3518186</v>
          </cell>
          <cell r="V2459">
            <v>1005196</v>
          </cell>
        </row>
        <row r="2460">
          <cell r="J2460">
            <v>2070</v>
          </cell>
          <cell r="K2460">
            <v>43273</v>
          </cell>
          <cell r="L2460" t="str">
            <v>NELLY  SUA OJEDA</v>
          </cell>
          <cell r="M2460">
            <v>31</v>
          </cell>
          <cell r="N2460" t="str">
            <v>RESOLUCION</v>
          </cell>
          <cell r="O2460">
            <v>2377</v>
          </cell>
          <cell r="P2460">
            <v>43273</v>
          </cell>
          <cell r="Q2460" t="str">
            <v>AYUDA TEMPORAL A LAS FAMILIAS DE VARIAS LOCALIDADES, PARA LA RELOCALIZACIÓN DE HOGARES LOCALIZADOS EN ZONAS DE ALTO RIESGO NO MITIGABLE ID:2012-19-14068, LOCALIDAD:19 CIUDAD BOLÍVAR, UPZ:68 EL TESORO, SECTOR:QUEBRADA TROMPETA</v>
          </cell>
          <cell r="R2460">
            <v>3570210</v>
          </cell>
          <cell r="S2460">
            <v>0</v>
          </cell>
          <cell r="T2460">
            <v>0</v>
          </cell>
          <cell r="U2460">
            <v>3570210</v>
          </cell>
          <cell r="V2460">
            <v>1020060</v>
          </cell>
        </row>
        <row r="2461">
          <cell r="J2461">
            <v>2071</v>
          </cell>
          <cell r="K2461">
            <v>43273</v>
          </cell>
          <cell r="L2461" t="str">
            <v>EVANGELISTA  ARDILA QUIROGA</v>
          </cell>
          <cell r="M2461">
            <v>31</v>
          </cell>
          <cell r="N2461" t="str">
            <v>RESOLUCION</v>
          </cell>
          <cell r="O2461">
            <v>2376</v>
          </cell>
          <cell r="P2461">
            <v>43273</v>
          </cell>
          <cell r="Q2461" t="str">
            <v>AYUDA TEMPORAL A LAS FAMILIAS DE VARIAS LOCALIDADES, PARA LA RELOCALIZACIÓN DE HOGARES LOCALIZADOS EN ZONAS DE ALTO RIESGO NO MITIGABLE ID:2012-19-14220, LOCALIDAD:19 CIUDAD BOLÍVAR, UPZ:68 EL TESORO, SECTOR:QUEBRADA TROMPETA</v>
          </cell>
          <cell r="R2461">
            <v>2685291</v>
          </cell>
          <cell r="S2461">
            <v>0</v>
          </cell>
          <cell r="T2461">
            <v>0</v>
          </cell>
          <cell r="U2461">
            <v>2685291</v>
          </cell>
          <cell r="V2461">
            <v>767226</v>
          </cell>
        </row>
        <row r="2462">
          <cell r="J2462">
            <v>2072</v>
          </cell>
          <cell r="K2462">
            <v>43273</v>
          </cell>
          <cell r="L2462" t="str">
            <v>NATALI  RODRIGUEZ GONZALEZ</v>
          </cell>
          <cell r="M2462">
            <v>31</v>
          </cell>
          <cell r="N2462" t="str">
            <v>RESOLUCION</v>
          </cell>
          <cell r="O2462">
            <v>2405</v>
          </cell>
          <cell r="P2462">
            <v>43273</v>
          </cell>
          <cell r="Q2462" t="str">
            <v>AYUDA TEMPORAL A LAS FAMILIAS DE VARIAS LOCALIDADES, PARA LA RELOCALIZACIÓN DE HOGARES LOCALIZADOS EN ZONAS DE ALTO RIESGO NO MITIGABLE ID:2014-OTR-01001, LOCALIDAD:19 CIUDAD BOLÍVAR, UPZ:67 LUCERO, SECTOR:TABOR ALTALOMA</v>
          </cell>
          <cell r="R2462">
            <v>2582006</v>
          </cell>
          <cell r="S2462">
            <v>0</v>
          </cell>
          <cell r="T2462">
            <v>0</v>
          </cell>
          <cell r="U2462">
            <v>2582006</v>
          </cell>
          <cell r="V2462">
            <v>737716</v>
          </cell>
        </row>
        <row r="2463">
          <cell r="J2463">
            <v>2073</v>
          </cell>
          <cell r="K2463">
            <v>43273</v>
          </cell>
          <cell r="L2463" t="str">
            <v>ANDREA ESMERALDA FRANCO ALGECIRA</v>
          </cell>
          <cell r="M2463">
            <v>31</v>
          </cell>
          <cell r="N2463" t="str">
            <v>RESOLUCION</v>
          </cell>
          <cell r="O2463">
            <v>2375</v>
          </cell>
          <cell r="P2463">
            <v>43273</v>
          </cell>
          <cell r="Q2463" t="str">
            <v>AYUDA TEMPORAL A LAS FAMILIAS DE VARIAS LOCALIDADES, PARA LA RELOCALIZACIÓN DE HOGARES LOCALIZADOS EN ZONAS DE ALTO RIESGO NO MITIGABLE ID:2014-18-14706, LOCALIDAD:18 RAFAEL URIBE URIBE, UPZ:53 MARCO FIDEL SUÁREZ</v>
          </cell>
          <cell r="R2463">
            <v>2893681</v>
          </cell>
          <cell r="S2463">
            <v>0</v>
          </cell>
          <cell r="T2463">
            <v>0</v>
          </cell>
          <cell r="U2463">
            <v>2893681</v>
          </cell>
          <cell r="V2463">
            <v>826766</v>
          </cell>
        </row>
        <row r="2464">
          <cell r="J2464">
            <v>2074</v>
          </cell>
          <cell r="K2464">
            <v>43273</v>
          </cell>
          <cell r="L2464" t="str">
            <v>MORELIA  CANO</v>
          </cell>
          <cell r="M2464">
            <v>31</v>
          </cell>
          <cell r="N2464" t="str">
            <v>RESOLUCION</v>
          </cell>
          <cell r="O2464">
            <v>2374</v>
          </cell>
          <cell r="P2464">
            <v>43273</v>
          </cell>
          <cell r="Q2464" t="str">
            <v>AYUDA TEMPORAL A LAS FAMILIAS DE VARIAS LOCALIDADES, PARA LA RELOCALIZACIÓN DE HOGARES LOCALIZADOS EN ZONAS DE ALTO RIESGO NO MITIGABLE ID:2011-4-12639, LOCALIDAD:04 SAN CRISTÓBAL, UPZ:32 SAN BLAS</v>
          </cell>
          <cell r="R2464">
            <v>2582006</v>
          </cell>
          <cell r="S2464">
            <v>0</v>
          </cell>
          <cell r="T2464">
            <v>0</v>
          </cell>
          <cell r="U2464">
            <v>2582006</v>
          </cell>
          <cell r="V2464">
            <v>737716</v>
          </cell>
        </row>
        <row r="2465">
          <cell r="J2465">
            <v>2075</v>
          </cell>
          <cell r="K2465">
            <v>43273</v>
          </cell>
          <cell r="L2465" t="str">
            <v>DIANA MARCELA OSORIO MORALES</v>
          </cell>
          <cell r="M2465">
            <v>31</v>
          </cell>
          <cell r="N2465" t="str">
            <v>RESOLUCION</v>
          </cell>
          <cell r="O2465">
            <v>2404</v>
          </cell>
          <cell r="P2465">
            <v>43273</v>
          </cell>
          <cell r="Q2465" t="str">
            <v>AYUDA TEMPORAL A LAS FAMILIAS DE VARIAS LOCALIDADES, PARA LA RELOCALIZACIÓN DE HOGARES LOCALIZADOS EN ZONAS DE ALTO RIESGO NO MITIGABLE ID:2014-LC-00791, LOCALIDAD:19 CIUDAD BOLÍVAR, UPZ:69 ISMAEL PERDOMO</v>
          </cell>
          <cell r="R2465">
            <v>2845920</v>
          </cell>
          <cell r="S2465">
            <v>0</v>
          </cell>
          <cell r="T2465">
            <v>0</v>
          </cell>
          <cell r="U2465">
            <v>2845920</v>
          </cell>
          <cell r="V2465">
            <v>813120</v>
          </cell>
        </row>
        <row r="2466">
          <cell r="J2466">
            <v>2076</v>
          </cell>
          <cell r="K2466">
            <v>43273</v>
          </cell>
          <cell r="L2466" t="str">
            <v>VICTOR ANTONIO RIVERO SEVILLA</v>
          </cell>
          <cell r="M2466">
            <v>31</v>
          </cell>
          <cell r="N2466" t="str">
            <v>RESOLUCION</v>
          </cell>
          <cell r="O2466">
            <v>2373</v>
          </cell>
          <cell r="P2466">
            <v>43273</v>
          </cell>
          <cell r="Q2466" t="str">
            <v>AYUDA TEMPORAL A LAS FAMILIAS DE VARIAS LOCALIDADES, PARA LA RELOCALIZACIÓN DE HOGARES LOCALIZADOS EN ZONAS DE ALTO RIESGO NO MITIGABLE ID:2011-4-12657, LOCALIDAD:04 SAN CRISTÓBAL, UPZ:32 SAN BLAS</v>
          </cell>
          <cell r="R2466">
            <v>3367686</v>
          </cell>
          <cell r="S2466">
            <v>0</v>
          </cell>
          <cell r="T2466">
            <v>0</v>
          </cell>
          <cell r="U2466">
            <v>3367686</v>
          </cell>
          <cell r="V2466">
            <v>962196</v>
          </cell>
        </row>
        <row r="2467">
          <cell r="J2467">
            <v>2077</v>
          </cell>
          <cell r="K2467">
            <v>43273</v>
          </cell>
          <cell r="L2467" t="str">
            <v>DORYS MIREYA CAMARGO BUITRAGO</v>
          </cell>
          <cell r="M2467">
            <v>31</v>
          </cell>
          <cell r="N2467" t="str">
            <v>RESOLUCION</v>
          </cell>
          <cell r="O2467">
            <v>2372</v>
          </cell>
          <cell r="P2467">
            <v>43273</v>
          </cell>
          <cell r="Q2467" t="str">
            <v>AYUDA TEMPORAL A LAS FAMILIAS DE VARIAS LOCALIDADES, PARA LA RELOCALIZACIÓN DE HOGARES LOCALIZADOS EN ZONAS DE ALTO RIESGO NO MITIGABLE ID:2011-4-12630, LOCALIDAD:04 SAN CRISTÓBAL, UPZ:32 SAN BLAS</v>
          </cell>
          <cell r="R2467">
            <v>2582006</v>
          </cell>
          <cell r="S2467">
            <v>0</v>
          </cell>
          <cell r="T2467">
            <v>0</v>
          </cell>
          <cell r="U2467">
            <v>2582006</v>
          </cell>
          <cell r="V2467">
            <v>737716</v>
          </cell>
        </row>
        <row r="2468">
          <cell r="J2468">
            <v>2078</v>
          </cell>
          <cell r="K2468">
            <v>43273</v>
          </cell>
          <cell r="L2468" t="str">
            <v>RAMIRO  LEON PEREZ</v>
          </cell>
          <cell r="M2468">
            <v>31</v>
          </cell>
          <cell r="N2468" t="str">
            <v>RESOLUCION</v>
          </cell>
          <cell r="O2468">
            <v>2403</v>
          </cell>
          <cell r="P2468">
            <v>43273</v>
          </cell>
          <cell r="Q2468" t="str">
            <v>AYUDA TEMPORAL A LAS FAMILIAS DE VARIAS LOCALIDADES, PARA LA RELOCALIZACIÓN DE HOGARES LOCALIZADOS EN ZONAS DE ALTO RIESGO NO MITIGABLE ID:2011-4-12692, LOCALIDAD:04 SAN CRISTÓBAL, UPZ:32 SAN BLAS</v>
          </cell>
          <cell r="R2468">
            <v>2582006</v>
          </cell>
          <cell r="S2468">
            <v>0</v>
          </cell>
          <cell r="T2468">
            <v>0</v>
          </cell>
          <cell r="U2468">
            <v>2582006</v>
          </cell>
          <cell r="V2468">
            <v>737716</v>
          </cell>
        </row>
        <row r="2469">
          <cell r="J2469">
            <v>2079</v>
          </cell>
          <cell r="K2469">
            <v>43273</v>
          </cell>
          <cell r="L2469" t="str">
            <v>ANA LUCERO DIAZ DIAZ</v>
          </cell>
          <cell r="M2469">
            <v>31</v>
          </cell>
          <cell r="N2469" t="str">
            <v>RESOLUCION</v>
          </cell>
          <cell r="O2469">
            <v>2371</v>
          </cell>
          <cell r="P2469">
            <v>43273</v>
          </cell>
          <cell r="Q2469" t="str">
            <v>AYUDA TEMPORAL A LAS FAMILIAS DE VARIAS LOCALIDADES, PARA LA RELOCALIZACIÓN DE HOGARES LOCALIZADOS EN ZONAS DE ALTO RIESGO NO MITIGABLE ID:2010-5-11581, LOCALIDAD:05 USME, UPZ:57 GRAN YOMASA, SECTOR:OLA INVERNAL 2010 FOPAE</v>
          </cell>
          <cell r="R2469">
            <v>3299296</v>
          </cell>
          <cell r="S2469">
            <v>0</v>
          </cell>
          <cell r="T2469">
            <v>0</v>
          </cell>
          <cell r="U2469">
            <v>3299296</v>
          </cell>
          <cell r="V2469">
            <v>942656</v>
          </cell>
        </row>
        <row r="2470">
          <cell r="J2470">
            <v>2080</v>
          </cell>
          <cell r="K2470">
            <v>43273</v>
          </cell>
          <cell r="L2470" t="str">
            <v>SANDRA SUGEY BELTRAN</v>
          </cell>
          <cell r="M2470">
            <v>31</v>
          </cell>
          <cell r="N2470" t="str">
            <v>RESOLUCION</v>
          </cell>
          <cell r="O2470">
            <v>2370</v>
          </cell>
          <cell r="P2470">
            <v>43273</v>
          </cell>
          <cell r="Q2470" t="str">
            <v>AYUDA TEMPORAL A LAS FAMILIAS DE VARIAS LOCALIDADES, PARA LA RELOCALIZACIÓN DE HOGARES LOCALIZADOS EN ZONAS DE ALTO RIESGO NO MITIGABLE ID:2011-4-12653, LOCALIDAD:04 SAN CRISTÓBAL, UPZ:32 SAN BLAS</v>
          </cell>
          <cell r="R2470">
            <v>3112753</v>
          </cell>
          <cell r="S2470">
            <v>0</v>
          </cell>
          <cell r="T2470">
            <v>0</v>
          </cell>
          <cell r="U2470">
            <v>3112753</v>
          </cell>
          <cell r="V2470">
            <v>889358</v>
          </cell>
        </row>
        <row r="2471">
          <cell r="J2471">
            <v>2081</v>
          </cell>
          <cell r="K2471">
            <v>43273</v>
          </cell>
          <cell r="L2471" t="str">
            <v>JOSE GONZALO PINZON SOSA</v>
          </cell>
          <cell r="M2471">
            <v>31</v>
          </cell>
          <cell r="N2471" t="str">
            <v>RESOLUCION</v>
          </cell>
          <cell r="O2471">
            <v>2402</v>
          </cell>
          <cell r="P2471">
            <v>43273</v>
          </cell>
          <cell r="Q2471" t="str">
            <v>AYUDA TEMPORAL A LAS FAMILIAS DE VARIAS LOCALIDADES, PARA LA RELOCALIZACIÓN DE HOGARES LOCALIZADOS EN ZONAS DE ALTO RIESGO NO MITIGABLE ID:2011-4-12686, LOCALIDAD:04 SAN CRISTÓBAL, UPZ:32 SAN BLAS</v>
          </cell>
          <cell r="R2471">
            <v>3473267</v>
          </cell>
          <cell r="S2471">
            <v>0</v>
          </cell>
          <cell r="T2471">
            <v>0</v>
          </cell>
          <cell r="U2471">
            <v>3473267</v>
          </cell>
          <cell r="V2471">
            <v>992362</v>
          </cell>
        </row>
        <row r="2472">
          <cell r="J2472">
            <v>2082</v>
          </cell>
          <cell r="K2472">
            <v>43273</v>
          </cell>
          <cell r="L2472" t="str">
            <v>JOSE MODESTO HERNANDEZ MORENO</v>
          </cell>
          <cell r="M2472">
            <v>31</v>
          </cell>
          <cell r="N2472" t="str">
            <v>RESOLUCION</v>
          </cell>
          <cell r="O2472">
            <v>2369</v>
          </cell>
          <cell r="P2472">
            <v>43273</v>
          </cell>
          <cell r="Q2472" t="str">
            <v>AYUDA TEMPORAL A LAS FAMILIAS DE VARIAS LOCALIDADES, PARA LA RELOCALIZACIÓN DE HOGARES LOCALIZADOS EN ZONAS DE ALTO RIESGO NO MITIGABLE ID:2011-19-13514, LOCALIDAD:19 CIUDAD BOLÍVAR, UPZ:68 EL TESORO</v>
          </cell>
          <cell r="R2472">
            <v>2924376</v>
          </cell>
          <cell r="S2472">
            <v>0</v>
          </cell>
          <cell r="T2472">
            <v>0</v>
          </cell>
          <cell r="U2472">
            <v>2924376</v>
          </cell>
          <cell r="V2472">
            <v>835536</v>
          </cell>
        </row>
        <row r="2473">
          <cell r="J2473">
            <v>2083</v>
          </cell>
          <cell r="K2473">
            <v>43273</v>
          </cell>
          <cell r="L2473" t="str">
            <v>ALCIRA  VELASQUEZ CHIQUIZA</v>
          </cell>
          <cell r="M2473">
            <v>31</v>
          </cell>
          <cell r="N2473" t="str">
            <v>RESOLUCION</v>
          </cell>
          <cell r="O2473">
            <v>2368</v>
          </cell>
          <cell r="P2473">
            <v>43273</v>
          </cell>
          <cell r="Q2473" t="str">
            <v>AYUDA TEMPORAL A LAS FAMILIAS DE VARIAS LOCALIDADES, PARA LA RELOCALIZACIÓN DE HOGARES LOCALIZADOS EN ZONAS DE ALTO RIESGO NO MITIGABLE ID:2011-19-12536, LOCALIDAD:19 CIUDAD BOLÍVAR, UPZ:69 ISMAEL PERDOMO, SECTOR:OLA INVERNAL 2010 FOPAE</v>
          </cell>
          <cell r="R2473">
            <v>2845920</v>
          </cell>
          <cell r="S2473">
            <v>0</v>
          </cell>
          <cell r="T2473">
            <v>0</v>
          </cell>
          <cell r="U2473">
            <v>2845920</v>
          </cell>
          <cell r="V2473">
            <v>813120</v>
          </cell>
        </row>
        <row r="2474">
          <cell r="J2474">
            <v>2084</v>
          </cell>
          <cell r="K2474">
            <v>43273</v>
          </cell>
          <cell r="L2474" t="str">
            <v>ERIKA LILIANA LAGUNA CUELLAR</v>
          </cell>
          <cell r="M2474">
            <v>31</v>
          </cell>
          <cell r="N2474" t="str">
            <v>RESOLUCION</v>
          </cell>
          <cell r="O2474">
            <v>2401</v>
          </cell>
          <cell r="P2474">
            <v>43273</v>
          </cell>
          <cell r="Q2474" t="str">
            <v>AYUDA TEMPORAL A LAS FAMILIAS DE VARIAS LOCALIDADES, PARA LA RELOCALIZACIÓN DE HOGARES LOCALIZADOS EN ZONAS DE ALTO RIESGO NO MITIGABLE ID:2014-Q09-01199, LOCALIDAD:19 CIUDAD BOLÍVAR, UPZ:67 LUCERO, SECTOR:QUEBRADA TROMPETA</v>
          </cell>
          <cell r="R2474">
            <v>3356612</v>
          </cell>
          <cell r="S2474">
            <v>0</v>
          </cell>
          <cell r="T2474">
            <v>0</v>
          </cell>
          <cell r="U2474">
            <v>3356612</v>
          </cell>
          <cell r="V2474">
            <v>959032</v>
          </cell>
        </row>
        <row r="2475">
          <cell r="J2475">
            <v>2085</v>
          </cell>
          <cell r="K2475">
            <v>43273</v>
          </cell>
          <cell r="L2475" t="str">
            <v>MARTHA PATRICIA JIMENEZ</v>
          </cell>
          <cell r="M2475">
            <v>31</v>
          </cell>
          <cell r="N2475" t="str">
            <v>RESOLUCION</v>
          </cell>
          <cell r="O2475">
            <v>2367</v>
          </cell>
          <cell r="P2475">
            <v>43273</v>
          </cell>
          <cell r="Q2475" t="str">
            <v>AYUDA TEMPORAL A LAS FAMILIAS DE VARIAS LOCALIDADES, PARA LA RELOCALIZACIÓN DE HOGARES LOCALIZADOS EN ZONAS DE ALTO RIESGO NO MITIGABLE ID:2007-2-10155, LOCALIDAD:02 CHAPINERO, UPZ:89 SAN ISIDRO PATIOS</v>
          </cell>
          <cell r="R2475">
            <v>3017000</v>
          </cell>
          <cell r="S2475">
            <v>0</v>
          </cell>
          <cell r="T2475">
            <v>0</v>
          </cell>
          <cell r="U2475">
            <v>3017000</v>
          </cell>
          <cell r="V2475">
            <v>862000</v>
          </cell>
        </row>
        <row r="2476">
          <cell r="J2476">
            <v>2086</v>
          </cell>
          <cell r="K2476">
            <v>43273</v>
          </cell>
          <cell r="L2476" t="str">
            <v>AHIDA MARIBEL MARROQUIN GUEVARA</v>
          </cell>
          <cell r="M2476">
            <v>31</v>
          </cell>
          <cell r="N2476" t="str">
            <v>RESOLUCION</v>
          </cell>
          <cell r="O2476">
            <v>2400</v>
          </cell>
          <cell r="P2476">
            <v>43273</v>
          </cell>
          <cell r="Q2476" t="str">
            <v>AYUDA TEMPORAL A LAS FAMILIAS DE VARIAS LOCALIDADES, PARA LA RELOCALIZACIÓN DE HOGARES LOCALIZADOS EN ZONAS DE ALTO RIESGO NO MITIGABLE ID:2014-Q03-01085, LOCALIDAD:19 CIUDAD BOLÍVAR, UPZ:66 SAN FRANCISCO, SECTOR:LIMAS</v>
          </cell>
          <cell r="R2476">
            <v>2887073</v>
          </cell>
          <cell r="S2476">
            <v>0</v>
          </cell>
          <cell r="T2476">
            <v>0</v>
          </cell>
          <cell r="U2476">
            <v>2887073</v>
          </cell>
          <cell r="V2476">
            <v>824878</v>
          </cell>
        </row>
        <row r="2477">
          <cell r="J2477">
            <v>2087</v>
          </cell>
          <cell r="K2477">
            <v>43273</v>
          </cell>
          <cell r="L2477" t="str">
            <v>NIDIA  RODRIGUEZ ALONSO</v>
          </cell>
          <cell r="M2477">
            <v>31</v>
          </cell>
          <cell r="N2477" t="str">
            <v>RESOLUCION</v>
          </cell>
          <cell r="O2477">
            <v>2366</v>
          </cell>
          <cell r="P2477">
            <v>43273</v>
          </cell>
          <cell r="Q2477" t="str">
            <v>AYUDA TEMPORAL A LAS FAMILIAS DE VARIAS LOCALIDADES, PARA LA RELOCALIZACIÓN DE HOGARES LOCALIZADOS EN ZONAS DE ALTO RIESGO NO MITIGABLE ID:2010-4-11938, LOCALIDAD:04 SAN CRISTÓBAL, UPZ:32 SAN BLAS, SECTOR:OLA INVERNAL 2010 FOPAE</v>
          </cell>
          <cell r="R2477">
            <v>2788569</v>
          </cell>
          <cell r="S2477">
            <v>0</v>
          </cell>
          <cell r="T2477">
            <v>0</v>
          </cell>
          <cell r="U2477">
            <v>2788569</v>
          </cell>
          <cell r="V2477">
            <v>796734</v>
          </cell>
        </row>
        <row r="2478">
          <cell r="J2478">
            <v>2088</v>
          </cell>
          <cell r="K2478">
            <v>43273</v>
          </cell>
          <cell r="L2478" t="str">
            <v>FABIO IVAN ESPITIA GONZALEZ</v>
          </cell>
          <cell r="M2478">
            <v>31</v>
          </cell>
          <cell r="N2478" t="str">
            <v>RESOLUCION</v>
          </cell>
          <cell r="O2478">
            <v>2399</v>
          </cell>
          <cell r="P2478">
            <v>43273</v>
          </cell>
          <cell r="Q2478" t="str">
            <v>AYUDA TEMPORAL A LAS FAMILIAS DE VARIAS LOCALIDADES, PARA LA RELOCALIZACIÓN DE HOGARES LOCALIZADOS EN ZONAS DE ALTO RIESGO NO MITIGABLE ID:2014-OTR-01128, LOCALIDAD:11 SUBA, UPZ:71 TIBABUYES, SECTOR:GAVILANES</v>
          </cell>
          <cell r="R2478">
            <v>2975525</v>
          </cell>
          <cell r="S2478">
            <v>0</v>
          </cell>
          <cell r="T2478">
            <v>0</v>
          </cell>
          <cell r="U2478">
            <v>2975525</v>
          </cell>
          <cell r="V2478">
            <v>850150</v>
          </cell>
        </row>
        <row r="2479">
          <cell r="J2479">
            <v>2089</v>
          </cell>
          <cell r="K2479">
            <v>43273</v>
          </cell>
          <cell r="L2479" t="str">
            <v>VICTOR MANUEL FIGUEROA RAMOS</v>
          </cell>
          <cell r="M2479">
            <v>31</v>
          </cell>
          <cell r="N2479" t="str">
            <v>RESOLUCION</v>
          </cell>
          <cell r="O2479">
            <v>2398</v>
          </cell>
          <cell r="P2479">
            <v>43273</v>
          </cell>
          <cell r="Q2479" t="str">
            <v>AYUDA TEMPORAL A LAS FAMILIAS DE VARIAS LOCALIDADES, PARA LA RELOCALIZACIÓN DE HOGARES LOCALIZADOS EN ZONAS DE ALTO RIESGO NO MITIGABLE ID:2014-Q03-01043, LOCALIDAD:19 CIUDAD BOLÍVAR, UPZ:66 SAN FRANCISCO, SECTOR:LIMAS</v>
          </cell>
          <cell r="R2479">
            <v>3485139</v>
          </cell>
          <cell r="S2479">
            <v>0</v>
          </cell>
          <cell r="T2479">
            <v>0</v>
          </cell>
          <cell r="U2479">
            <v>3485139</v>
          </cell>
          <cell r="V2479">
            <v>995754</v>
          </cell>
        </row>
        <row r="2480">
          <cell r="J2480">
            <v>2090</v>
          </cell>
          <cell r="K2480">
            <v>43273</v>
          </cell>
          <cell r="L2480" t="str">
            <v>LINA ANDREA MENDEZ GARCIA</v>
          </cell>
          <cell r="M2480">
            <v>31</v>
          </cell>
          <cell r="N2480" t="str">
            <v>RESOLUCION</v>
          </cell>
          <cell r="O2480">
            <v>2397</v>
          </cell>
          <cell r="P2480">
            <v>43273</v>
          </cell>
          <cell r="Q2480" t="str">
            <v>AYUDA TEMPORAL A LAS FAMILIAS DE VARIAS LOCALIDADES, PARA LA RELOCALIZACIÓN DE HOGARES LOCALIZADOS EN ZONAS DE ALTO RIESGO NO MITIGABLE ID:2014-OTR-00903, LOCALIDAD:03 SANTA FE, UPZ:96 LOURDES, SECTOR:CASA 3</v>
          </cell>
          <cell r="R2480">
            <v>4059608</v>
          </cell>
          <cell r="S2480">
            <v>0</v>
          </cell>
          <cell r="T2480">
            <v>0</v>
          </cell>
          <cell r="U2480">
            <v>4059608</v>
          </cell>
          <cell r="V2480">
            <v>1159888</v>
          </cell>
        </row>
        <row r="2481">
          <cell r="J2481">
            <v>2091</v>
          </cell>
          <cell r="K2481">
            <v>43273</v>
          </cell>
          <cell r="L2481" t="str">
            <v>ALBA YOLIMA GARCIA</v>
          </cell>
          <cell r="M2481">
            <v>31</v>
          </cell>
          <cell r="N2481" t="str">
            <v>RESOLUCION</v>
          </cell>
          <cell r="O2481">
            <v>2365</v>
          </cell>
          <cell r="P2481">
            <v>43273</v>
          </cell>
          <cell r="Q2481" t="str">
            <v>AYUDA TEMPORAL A LAS FAMILIAS DE VARIAS LOCALIDADES, PARA LA RELOCALIZACIÓN DE HOGARES LOCALIZADOS EN ZONAS DE ALTO RIESGO NO MITIGABLE ID:2006-19-8545, LOCALIDAD:19 CIUDAD BOLÍVAR, UPZ:68 EL TESORO, SECTOR:QUEBRADA EL INFIERNO</v>
          </cell>
          <cell r="R2481">
            <v>2788569</v>
          </cell>
          <cell r="S2481">
            <v>0</v>
          </cell>
          <cell r="T2481">
            <v>0</v>
          </cell>
          <cell r="U2481">
            <v>2788569</v>
          </cell>
          <cell r="V2481">
            <v>796734</v>
          </cell>
        </row>
        <row r="2482">
          <cell r="J2482">
            <v>2092</v>
          </cell>
          <cell r="K2482">
            <v>43273</v>
          </cell>
          <cell r="L2482" t="str">
            <v>ALBA FLOR IBAÑEZ JIMENEZ</v>
          </cell>
          <cell r="M2482">
            <v>31</v>
          </cell>
          <cell r="N2482" t="str">
            <v>RESOLUCION</v>
          </cell>
          <cell r="O2482">
            <v>2396</v>
          </cell>
          <cell r="P2482">
            <v>43273</v>
          </cell>
          <cell r="Q2482" t="str">
            <v>AYUDA TEMPORAL A LAS FAMILIAS DE VARIAS LOCALIDADES, PARA LA RELOCALIZACIÓN DE HOGARES LOCALIZADOS EN ZONAS DE ALTO RIESGO NO MITIGABLE ID:2014-Q20-01253, LOCALIDAD:04 SAN CRISTÓBAL, UPZ:50 LA GLORIA, SECTOR:LA CHIGUAZA</v>
          </cell>
          <cell r="R2482">
            <v>2992227</v>
          </cell>
          <cell r="S2482">
            <v>0</v>
          </cell>
          <cell r="T2482">
            <v>0</v>
          </cell>
          <cell r="U2482">
            <v>2992227</v>
          </cell>
          <cell r="V2482">
            <v>854922</v>
          </cell>
        </row>
        <row r="2483">
          <cell r="J2483">
            <v>2093</v>
          </cell>
          <cell r="K2483">
            <v>43273</v>
          </cell>
          <cell r="L2483" t="str">
            <v>GLORIA INES SANCHEZ RODRIGUEZ</v>
          </cell>
          <cell r="M2483">
            <v>31</v>
          </cell>
          <cell r="N2483" t="str">
            <v>RESOLUCION</v>
          </cell>
          <cell r="O2483">
            <v>2364</v>
          </cell>
          <cell r="P2483">
            <v>43273</v>
          </cell>
          <cell r="Q2483" t="str">
            <v>AYUDA TEMPORAL A LAS FAMILIAS DE VARIAS LOCALIDADES, PARA LA RELOCALIZACIÓN DE HOGARES LOCALIZADOS EN ZONAS DE ALTO RIESGO NO MITIGABLE ID:2010-5-11596, LOCALIDAD:05 USME, UPZ:57 GRAN YOMASA, SECTOR:OLA INVERNAL 2010 FOPAE</v>
          </cell>
          <cell r="R2483">
            <v>3374280</v>
          </cell>
          <cell r="S2483">
            <v>0</v>
          </cell>
          <cell r="T2483">
            <v>0</v>
          </cell>
          <cell r="U2483">
            <v>3374280</v>
          </cell>
          <cell r="V2483">
            <v>964080</v>
          </cell>
        </row>
        <row r="2484">
          <cell r="J2484">
            <v>2094</v>
          </cell>
          <cell r="K2484">
            <v>43273</v>
          </cell>
          <cell r="L2484" t="str">
            <v>DILCIA  VALDERRAMA BALLEN</v>
          </cell>
          <cell r="M2484">
            <v>31</v>
          </cell>
          <cell r="N2484" t="str">
            <v>RESOLUCION</v>
          </cell>
          <cell r="O2484">
            <v>2363</v>
          </cell>
          <cell r="P2484">
            <v>43273</v>
          </cell>
          <cell r="Q2484" t="str">
            <v>AYUDA TEMPORAL A LAS FAMILIAS DE VARIAS LOCALIDADES, PARA LA RELOCALIZACIÓN DE HOGARES LOCALIZADOS EN ZONAS DE ALTO RIESGO NO MITIGABLE ID:2007-19-9544, LOCALIDAD:19 CIUDAD BOLÍVAR, UPZ:69 ISMAEL PERDOMO</v>
          </cell>
          <cell r="R2484">
            <v>2845920</v>
          </cell>
          <cell r="S2484">
            <v>0</v>
          </cell>
          <cell r="T2484">
            <v>0</v>
          </cell>
          <cell r="U2484">
            <v>2845920</v>
          </cell>
          <cell r="V2484">
            <v>813120</v>
          </cell>
        </row>
        <row r="2485">
          <cell r="J2485">
            <v>2095</v>
          </cell>
          <cell r="K2485">
            <v>43273</v>
          </cell>
          <cell r="L2485" t="str">
            <v>MARIA GILMA RAMOS ROLDAN</v>
          </cell>
          <cell r="M2485">
            <v>31</v>
          </cell>
          <cell r="N2485" t="str">
            <v>RESOLUCION</v>
          </cell>
          <cell r="O2485">
            <v>2395</v>
          </cell>
          <cell r="P2485">
            <v>43273</v>
          </cell>
          <cell r="Q2485" t="str">
            <v>AYUDA TEMPORAL A LAS FAMILIAS DE VARIAS LOCALIDADES, PARA LA RELOCALIZACIÓN DE HOGARES LOCALIZADOS EN ZONAS DE ALTO RIESGO NO MITIGABLE ID:2014-OTR-00900, LOCALIDAD:03 SANTA FE, UPZ:96 LOURDES, SECTOR:CASA 3</v>
          </cell>
          <cell r="R2485">
            <v>2582006</v>
          </cell>
          <cell r="S2485">
            <v>0</v>
          </cell>
          <cell r="T2485">
            <v>0</v>
          </cell>
          <cell r="U2485">
            <v>2582006</v>
          </cell>
          <cell r="V2485">
            <v>737716</v>
          </cell>
        </row>
        <row r="2486">
          <cell r="J2486">
            <v>2096</v>
          </cell>
          <cell r="K2486">
            <v>43273</v>
          </cell>
          <cell r="L2486" t="str">
            <v>JOSE IGNACIO MARTINEZ RODRIGUEZ</v>
          </cell>
          <cell r="M2486">
            <v>31</v>
          </cell>
          <cell r="N2486" t="str">
            <v>RESOLUCION</v>
          </cell>
          <cell r="O2486">
            <v>2362</v>
          </cell>
          <cell r="P2486">
            <v>43273</v>
          </cell>
          <cell r="Q2486" t="str">
            <v>AYUDA TEMPORAL A LAS FAMILIAS DE VARIAS LOCALIDADES, PARA LA RELOCALIZACIÓN DE HOGARES LOCALIZADOS EN ZONAS DE ALTO RIESGO NO MITIGABLE ID:2011-4-12646, LOCALIDAD:04 SAN CRISTÓBAL, UPZ:32 SAN BLAS</v>
          </cell>
          <cell r="R2486">
            <v>2582006</v>
          </cell>
          <cell r="S2486">
            <v>0</v>
          </cell>
          <cell r="T2486">
            <v>0</v>
          </cell>
          <cell r="U2486">
            <v>2582006</v>
          </cell>
          <cell r="V2486">
            <v>737716</v>
          </cell>
        </row>
        <row r="2487">
          <cell r="J2487">
            <v>2097</v>
          </cell>
          <cell r="K2487">
            <v>43273</v>
          </cell>
          <cell r="L2487" t="str">
            <v>JOSE FERNANDO MENDEZ GARCIA</v>
          </cell>
          <cell r="M2487">
            <v>31</v>
          </cell>
          <cell r="N2487" t="str">
            <v>RESOLUCION</v>
          </cell>
          <cell r="O2487">
            <v>2394</v>
          </cell>
          <cell r="P2487">
            <v>43273</v>
          </cell>
          <cell r="Q2487" t="str">
            <v>AYUDA TEMPORAL A LAS FAMILIAS DE VARIAS LOCALIDADES, PARA LA RELOCALIZACIÓN DE HOGARES LOCALIZADOS EN ZONAS DE ALTO RIESGO NO MITIGABLE ID:2014-OTR-00902, LOCALIDAD:03 SANTA FE, UPZ:96 LOURDES, SECTOR:CASA 3</v>
          </cell>
          <cell r="R2487">
            <v>3201695</v>
          </cell>
          <cell r="S2487">
            <v>0</v>
          </cell>
          <cell r="T2487">
            <v>0</v>
          </cell>
          <cell r="U2487">
            <v>3201695</v>
          </cell>
          <cell r="V2487">
            <v>914770</v>
          </cell>
        </row>
        <row r="2488">
          <cell r="J2488">
            <v>2098</v>
          </cell>
          <cell r="K2488">
            <v>43273</v>
          </cell>
          <cell r="L2488" t="str">
            <v>GLADYS  MUÑOZ SANTUARIO</v>
          </cell>
          <cell r="M2488">
            <v>31</v>
          </cell>
          <cell r="N2488" t="str">
            <v>RESOLUCION</v>
          </cell>
          <cell r="O2488">
            <v>2361</v>
          </cell>
          <cell r="P2488">
            <v>43273</v>
          </cell>
          <cell r="Q2488" t="str">
            <v>AYUDA TEMPORAL A LAS FAMILIAS DE VARIAS LOCALIDADES, PARA LA RELOCALIZACIÓN DE HOGARES LOCALIZADOS EN ZONAS DE ALTO RIESGO NO MITIGABLE ID:2012-19-13937, LOCALIDAD:19 CIUDAD BOLÍVAR, UPZ:67 LUCERO</v>
          </cell>
          <cell r="R2488">
            <v>3112599</v>
          </cell>
          <cell r="S2488">
            <v>0</v>
          </cell>
          <cell r="T2488">
            <v>0</v>
          </cell>
          <cell r="U2488">
            <v>3112599</v>
          </cell>
          <cell r="V2488">
            <v>889314</v>
          </cell>
        </row>
        <row r="2489">
          <cell r="J2489">
            <v>2099</v>
          </cell>
          <cell r="K2489">
            <v>43273</v>
          </cell>
          <cell r="L2489" t="str">
            <v>LIBIA AZUCENA FRANCO ALGECIRA</v>
          </cell>
          <cell r="M2489">
            <v>31</v>
          </cell>
          <cell r="N2489" t="str">
            <v>RESOLUCION</v>
          </cell>
          <cell r="O2489">
            <v>2393</v>
          </cell>
          <cell r="P2489">
            <v>43273</v>
          </cell>
          <cell r="Q2489" t="str">
            <v>AYUDA TEMPORAL A LAS FAMILIAS DE VARIAS LOCALIDADES, PARA LA RELOCALIZACIÓN DE HOGARES LOCALIZADOS EN ZONAS DE ALTO RIESGO NO MITIGABLE ID:2014-18-14705, LOCALIDAD:18 RAFAEL URIBE URIBE, UPZ:53 MARCO FIDEL SUÁREZ</v>
          </cell>
          <cell r="R2489">
            <v>2602439</v>
          </cell>
          <cell r="S2489">
            <v>0</v>
          </cell>
          <cell r="T2489">
            <v>0</v>
          </cell>
          <cell r="U2489">
            <v>2602439</v>
          </cell>
          <cell r="V2489">
            <v>743554</v>
          </cell>
        </row>
        <row r="2490">
          <cell r="J2490">
            <v>2100</v>
          </cell>
          <cell r="K2490">
            <v>43273</v>
          </cell>
          <cell r="L2490" t="str">
            <v>FLOR MARINA BAQUERO UMAÑA</v>
          </cell>
          <cell r="M2490">
            <v>31</v>
          </cell>
          <cell r="N2490" t="str">
            <v>RESOLUCION</v>
          </cell>
          <cell r="O2490">
            <v>2343</v>
          </cell>
          <cell r="P2490">
            <v>43273</v>
          </cell>
          <cell r="Q2490" t="str">
            <v>AYUDA TEMPORAL A LAS FAMILIAS DE VARIAS LOCALIDADES, PARA LA RELOCALIZACIÓN DE HOGARES LOCALIZADOS EN ZONAS DE ALTO RIESGO NO MITIGABLE ID:2015-Q03-01481, LOCALIDAD:19 CIUDAD BOLÍVAR, UPZ:66 SAN FRANCISCO, SECTOR:LIMAS</v>
          </cell>
          <cell r="R2490">
            <v>2887073</v>
          </cell>
          <cell r="S2490">
            <v>0</v>
          </cell>
          <cell r="T2490">
            <v>0</v>
          </cell>
          <cell r="U2490">
            <v>2887073</v>
          </cell>
          <cell r="V2490">
            <v>824878</v>
          </cell>
        </row>
        <row r="2491">
          <cell r="J2491">
            <v>2101</v>
          </cell>
          <cell r="K2491">
            <v>43273</v>
          </cell>
          <cell r="L2491" t="str">
            <v>ANGEL IGNACIO GARZON HERNANDEZ</v>
          </cell>
          <cell r="M2491">
            <v>31</v>
          </cell>
          <cell r="N2491" t="str">
            <v>RESOLUCION</v>
          </cell>
          <cell r="O2491">
            <v>2360</v>
          </cell>
          <cell r="P2491">
            <v>43273</v>
          </cell>
          <cell r="Q2491" t="str">
            <v>AYUDA TEMPORAL A LAS FAMILIAS DE VARIAS LOCALIDADES, PARA LA RELOCALIZACIÓN DE HOGARES LOCALIZADOS EN ZONAS DE ALTO RIESGO NO MITIGABLE ID:2011-4-12704, LOCALIDAD:04 SAN CRISTÓBAL, UPZ:32 SAN BLAS</v>
          </cell>
          <cell r="R2491">
            <v>2582006</v>
          </cell>
          <cell r="S2491">
            <v>0</v>
          </cell>
          <cell r="T2491">
            <v>0</v>
          </cell>
          <cell r="U2491">
            <v>2582006</v>
          </cell>
          <cell r="V2491">
            <v>737716</v>
          </cell>
        </row>
        <row r="2492">
          <cell r="J2492">
            <v>2102</v>
          </cell>
          <cell r="K2492">
            <v>43273</v>
          </cell>
          <cell r="L2492" t="str">
            <v>BAUDILIO  TOLOZA CASTILLO</v>
          </cell>
          <cell r="M2492">
            <v>31</v>
          </cell>
          <cell r="N2492" t="str">
            <v>RESOLUCION</v>
          </cell>
          <cell r="O2492">
            <v>2392</v>
          </cell>
          <cell r="P2492">
            <v>43273</v>
          </cell>
          <cell r="Q2492" t="str">
            <v>AYUDA TEMPORAL A LAS FAMILIAS DE VARIAS LOCALIDADES, PARA LA RELOCALIZACIÓN DE HOGARES LOCALIZADOS EN ZONAS DE ALTO RIESGO NO MITIGABLE ID:2014-LC-00790, LOCALIDAD:19 CIUDAD BOLÍVAR, UPZ:69 ISMAEL PERDOMO</v>
          </cell>
          <cell r="R2492">
            <v>3363360</v>
          </cell>
          <cell r="S2492">
            <v>0</v>
          </cell>
          <cell r="T2492">
            <v>0</v>
          </cell>
          <cell r="U2492">
            <v>3363360</v>
          </cell>
          <cell r="V2492">
            <v>960960</v>
          </cell>
        </row>
        <row r="2493">
          <cell r="J2493">
            <v>2103</v>
          </cell>
          <cell r="K2493">
            <v>43273</v>
          </cell>
          <cell r="L2493" t="str">
            <v>MARIA LUCRECIA LOPEZ TORRES</v>
          </cell>
          <cell r="M2493">
            <v>31</v>
          </cell>
          <cell r="N2493" t="str">
            <v>RESOLUCION</v>
          </cell>
          <cell r="O2493">
            <v>2342</v>
          </cell>
          <cell r="P2493">
            <v>43273</v>
          </cell>
          <cell r="Q2493" t="str">
            <v>AYUDA TEMPORAL A LAS FAMILIAS DE VARIAS LOCALIDADES, PARA LA RELOCALIZACIÓN DE HOGARES LOCALIZADOS EN ZONAS DE ALTO RIESGO NO MITIGABLE ID:2014-Q09-00913, LOCALIDAD:19 CIUDAD BOLÍVAR, UPZ:67 LUCERO, SECTOR:QUEBRADA TROMPETA</v>
          </cell>
          <cell r="R2493">
            <v>3463222</v>
          </cell>
          <cell r="S2493">
            <v>0</v>
          </cell>
          <cell r="T2493">
            <v>0</v>
          </cell>
          <cell r="U2493">
            <v>3463222</v>
          </cell>
          <cell r="V2493">
            <v>989492</v>
          </cell>
        </row>
        <row r="2494">
          <cell r="J2494">
            <v>2104</v>
          </cell>
          <cell r="K2494">
            <v>43273</v>
          </cell>
          <cell r="L2494" t="str">
            <v>GLORIA  SANCHEZ DE SANCHEZ</v>
          </cell>
          <cell r="M2494">
            <v>31</v>
          </cell>
          <cell r="N2494" t="str">
            <v>RESOLUCION</v>
          </cell>
          <cell r="O2494">
            <v>2359</v>
          </cell>
          <cell r="P2494">
            <v>43273</v>
          </cell>
          <cell r="Q2494" t="str">
            <v>AYUDA TEMPORAL A LAS FAMILIAS DE VARIAS LOCALIDADES, PARA LA RELOCALIZACIÓN DE HOGARES LOCALIZADOS EN ZONAS DE ALTO RIESGO NO MITIGABLE ID:2011-4-12684, LOCALIDAD:04 SAN CRISTÓBAL, UPZ:32 SAN BLAS</v>
          </cell>
          <cell r="R2494">
            <v>3157574</v>
          </cell>
          <cell r="S2494">
            <v>0</v>
          </cell>
          <cell r="T2494">
            <v>0</v>
          </cell>
          <cell r="U2494">
            <v>3157574</v>
          </cell>
          <cell r="V2494">
            <v>902164</v>
          </cell>
        </row>
        <row r="2495">
          <cell r="J2495">
            <v>2105</v>
          </cell>
          <cell r="K2495">
            <v>43273</v>
          </cell>
          <cell r="L2495" t="str">
            <v>MARIA AURORA BELLO</v>
          </cell>
          <cell r="M2495">
            <v>31</v>
          </cell>
          <cell r="N2495" t="str">
            <v>RESOLUCION</v>
          </cell>
          <cell r="O2495">
            <v>2391</v>
          </cell>
          <cell r="P2495">
            <v>43273</v>
          </cell>
          <cell r="Q2495" t="str">
            <v>AYUDA TEMPORAL A LAS FAMILIAS DE VARIAS LOCALIDADES, PARA LA RELOCALIZACIÓN DE HOGARES LOCALIZADOS EN ZONAS DE ALTO RIESGO NO MITIGABLE ID:2013-Q21-00419, LOCALIDAD:19 CIUDAD BOLÍVAR, UPZ:67 LUCERO, SECTOR:BRAZO DERECHO DE LIMAS</v>
          </cell>
          <cell r="R2495">
            <v>3157315</v>
          </cell>
          <cell r="S2495">
            <v>0</v>
          </cell>
          <cell r="T2495">
            <v>0</v>
          </cell>
          <cell r="U2495">
            <v>3157315</v>
          </cell>
          <cell r="V2495">
            <v>902090</v>
          </cell>
        </row>
        <row r="2496">
          <cell r="J2496">
            <v>2106</v>
          </cell>
          <cell r="K2496">
            <v>43273</v>
          </cell>
          <cell r="L2496" t="str">
            <v>MARYSOL  ROJAS</v>
          </cell>
          <cell r="M2496">
            <v>31</v>
          </cell>
          <cell r="N2496" t="str">
            <v>RESOLUCION</v>
          </cell>
          <cell r="O2496">
            <v>2341</v>
          </cell>
          <cell r="P2496">
            <v>43273</v>
          </cell>
          <cell r="Q2496" t="str">
            <v>AYUDA TEMPORAL A LAS FAMILIAS DE VARIAS LOCALIDADES, PARA LA RELOCALIZACIÓN DE HOGARES LOCALIZADOS EN ZONAS DE ALTO RIESGO NO MITIGABLE ID:2014-Q20-01175, LOCALIDAD:04 SAN CRISTÓBAL, UPZ:50 LA GLORIA, SECTOR:LA CHIGUAZA</v>
          </cell>
          <cell r="R2496">
            <v>2751665</v>
          </cell>
          <cell r="S2496">
            <v>0</v>
          </cell>
          <cell r="T2496">
            <v>0</v>
          </cell>
          <cell r="U2496">
            <v>2751665</v>
          </cell>
          <cell r="V2496">
            <v>786190</v>
          </cell>
        </row>
        <row r="2497">
          <cell r="J2497">
            <v>2107</v>
          </cell>
          <cell r="K2497">
            <v>43273</v>
          </cell>
          <cell r="L2497" t="str">
            <v>ANA CRISTINA GONZALEZ ESTRADA</v>
          </cell>
          <cell r="M2497">
            <v>31</v>
          </cell>
          <cell r="N2497" t="str">
            <v>RESOLUCION</v>
          </cell>
          <cell r="O2497">
            <v>2358</v>
          </cell>
          <cell r="P2497">
            <v>43273</v>
          </cell>
          <cell r="Q2497" t="str">
            <v>AYUDA TEMPORAL A LAS FAMILIAS DE VARIAS LOCALIDADES, PARA LA RELOCALIZACIÓN DE HOGARES LOCALIZADOS EN ZONAS DE ALTO RIESGO NO MITIGABLE ID:2011-4-12696, LOCALIDAD:04 SAN CRISTÓBAL, UPZ:32 SAN BLAS</v>
          </cell>
          <cell r="R2497">
            <v>2582006</v>
          </cell>
          <cell r="S2497">
            <v>0</v>
          </cell>
          <cell r="T2497">
            <v>0</v>
          </cell>
          <cell r="U2497">
            <v>2582006</v>
          </cell>
          <cell r="V2497">
            <v>737716</v>
          </cell>
        </row>
        <row r="2498">
          <cell r="J2498">
            <v>2108</v>
          </cell>
          <cell r="K2498">
            <v>43273</v>
          </cell>
          <cell r="L2498" t="str">
            <v>ANA JAZMIN MUÑOZ PEÑA</v>
          </cell>
          <cell r="M2498">
            <v>31</v>
          </cell>
          <cell r="N2498" t="str">
            <v>RESOLUCION</v>
          </cell>
          <cell r="O2498">
            <v>2340</v>
          </cell>
          <cell r="P2498">
            <v>43273</v>
          </cell>
          <cell r="Q2498" t="str">
            <v>AYUDA TEMPORAL A LAS FAMILIAS DE VARIAS LOCALIDADES, PARA LA RELOCALIZACIÓN DE HOGARES LOCALIZADOS EN ZONAS DE ALTO RIESGO NO MITIGABLE ID:2015-D227-00012, LOCALIDAD:04 SAN CRISTÓBAL, UPZ:51 LOS LIBERTADORES, SECTOR:SANTA TERESITA</v>
          </cell>
          <cell r="R2498">
            <v>2977345</v>
          </cell>
          <cell r="S2498">
            <v>0</v>
          </cell>
          <cell r="T2498">
            <v>0</v>
          </cell>
          <cell r="U2498">
            <v>2977345</v>
          </cell>
          <cell r="V2498">
            <v>850670</v>
          </cell>
        </row>
        <row r="2499">
          <cell r="J2499">
            <v>2109</v>
          </cell>
          <cell r="K2499">
            <v>43273</v>
          </cell>
          <cell r="L2499" t="str">
            <v>LUCILA  MEDINA</v>
          </cell>
          <cell r="M2499">
            <v>31</v>
          </cell>
          <cell r="N2499" t="str">
            <v>RESOLUCION</v>
          </cell>
          <cell r="O2499">
            <v>2357</v>
          </cell>
          <cell r="P2499">
            <v>43273</v>
          </cell>
          <cell r="Q2499" t="str">
            <v>AYUDA TEMPORAL A LAS FAMILIAS DE VARIAS LOCALIDADES, PARA LA RELOCALIZACIÓN DE HOGARES LOCALIZADOS EN ZONAS DE ALTO RIESGO NO MITIGABLE ID:2011-4-12683, LOCALIDAD:04 SAN CRISTÓBAL, UPZ:32 SAN BLAS</v>
          </cell>
          <cell r="R2499">
            <v>2886653</v>
          </cell>
          <cell r="S2499">
            <v>0</v>
          </cell>
          <cell r="T2499">
            <v>0</v>
          </cell>
          <cell r="U2499">
            <v>2886653</v>
          </cell>
          <cell r="V2499">
            <v>824758</v>
          </cell>
        </row>
        <row r="2500">
          <cell r="J2500">
            <v>2110</v>
          </cell>
          <cell r="K2500">
            <v>43273</v>
          </cell>
          <cell r="L2500" t="str">
            <v>MARISOL  BURGOS</v>
          </cell>
          <cell r="M2500">
            <v>31</v>
          </cell>
          <cell r="N2500" t="str">
            <v>RESOLUCION</v>
          </cell>
          <cell r="O2500">
            <v>2390</v>
          </cell>
          <cell r="P2500">
            <v>43273</v>
          </cell>
          <cell r="Q2500" t="str">
            <v>AYUDA TEMPORAL A LAS FAMILIAS DE VARIAS LOCALIDADES, PARA LA RELOCALIZACIÓN DE HOGARES LOCALIZADOS EN ZONAS DE ALTO RIESGO NO MITIGABLE ID:2014-LC-00813, LOCALIDAD:19 CIUDAD BOLÍVAR, UPZ:69 ISMAEL PERDOMO</v>
          </cell>
          <cell r="R2500">
            <v>3022327</v>
          </cell>
          <cell r="S2500">
            <v>0</v>
          </cell>
          <cell r="T2500">
            <v>0</v>
          </cell>
          <cell r="U2500">
            <v>3022327</v>
          </cell>
          <cell r="V2500">
            <v>863522</v>
          </cell>
        </row>
        <row r="2501">
          <cell r="J2501">
            <v>2111</v>
          </cell>
          <cell r="K2501">
            <v>43273</v>
          </cell>
          <cell r="L2501" t="str">
            <v>MIRELLA NATIVA MENDEZ ARISTIZABAL</v>
          </cell>
          <cell r="M2501">
            <v>31</v>
          </cell>
          <cell r="N2501" t="str">
            <v>RESOLUCION</v>
          </cell>
          <cell r="O2501">
            <v>2339</v>
          </cell>
          <cell r="P2501">
            <v>43273</v>
          </cell>
          <cell r="Q2501" t="str">
            <v>AYUDA TEMPORAL A LAS FAMILIAS DE VARIAS LOCALIDADES, PARA LA RELOCALIZACIÓN DE HOGARES LOCALIZADOS EN ZONAS DE ALTO RIESGO NO MITIGABLE ID:2015-ALES-536, LOCALIDAD:19 CIUDAD BOLÍVAR, UPZ:69 ISMAEL PERDOMO, SECTOR:ALTOS DE LA ESTANCIA</v>
          </cell>
          <cell r="R2501">
            <v>1353135</v>
          </cell>
          <cell r="S2501">
            <v>0</v>
          </cell>
          <cell r="T2501">
            <v>0</v>
          </cell>
          <cell r="U2501">
            <v>1353135</v>
          </cell>
          <cell r="V2501">
            <v>902090</v>
          </cell>
        </row>
        <row r="2502">
          <cell r="J2502">
            <v>2112</v>
          </cell>
          <cell r="K2502">
            <v>43273</v>
          </cell>
          <cell r="L2502" t="str">
            <v>ALVARO  GUTIERREZ ARTUNDUAGA</v>
          </cell>
          <cell r="M2502">
            <v>31</v>
          </cell>
          <cell r="N2502" t="str">
            <v>RESOLUCION</v>
          </cell>
          <cell r="O2502">
            <v>2356</v>
          </cell>
          <cell r="P2502">
            <v>43273</v>
          </cell>
          <cell r="Q2502" t="str">
            <v>AYUDA TEMPORAL A LAS FAMILIAS DE VARIAS LOCALIDADES, PARA LA RELOCALIZACIÓN DE HOGARES LOCALIZADOS EN ZONAS DE ALTO RIESGO NO MITIGABLE ID:2013000411, LOCALIDAD:04 SAN CRISTÓBAL, UPZ:51 LOS LIBERTADORES, SECTOR:QUEBRADA VEREJONES</v>
          </cell>
          <cell r="R2502">
            <v>3038112</v>
          </cell>
          <cell r="S2502">
            <v>0</v>
          </cell>
          <cell r="T2502">
            <v>0</v>
          </cell>
          <cell r="U2502">
            <v>3038112</v>
          </cell>
          <cell r="V2502">
            <v>868032</v>
          </cell>
        </row>
        <row r="2503">
          <cell r="J2503">
            <v>2113</v>
          </cell>
          <cell r="K2503">
            <v>43273</v>
          </cell>
          <cell r="L2503" t="str">
            <v>NELSON JAVIER REINA DURAN</v>
          </cell>
          <cell r="M2503">
            <v>31</v>
          </cell>
          <cell r="N2503" t="str">
            <v>RESOLUCION</v>
          </cell>
          <cell r="O2503">
            <v>2355</v>
          </cell>
          <cell r="P2503">
            <v>43273</v>
          </cell>
          <cell r="Q2503" t="str">
            <v>AYUDA TEMPORAL A LAS FAMILIAS DE VARIAS LOCALIDADES, PARA LA RELOCALIZACIÓN DE HOGARES LOCALIZADOS EN ZONAS DE ALTO RIESGO NO MITIGABLE ID:2013000325, LOCALIDAD:19 CIUDAD BOLÍVAR, UPZ:67 LUCERO, SECTOR:PEÑA COLORADA</v>
          </cell>
          <cell r="R2503">
            <v>2846046</v>
          </cell>
          <cell r="S2503">
            <v>0</v>
          </cell>
          <cell r="T2503">
            <v>0</v>
          </cell>
          <cell r="U2503">
            <v>2846046</v>
          </cell>
          <cell r="V2503">
            <v>813156</v>
          </cell>
        </row>
        <row r="2504">
          <cell r="J2504">
            <v>2114</v>
          </cell>
          <cell r="K2504">
            <v>43273</v>
          </cell>
          <cell r="L2504" t="str">
            <v>LILIANA MARCELA CADENA</v>
          </cell>
          <cell r="M2504">
            <v>31</v>
          </cell>
          <cell r="N2504" t="str">
            <v>RESOLUCION</v>
          </cell>
          <cell r="O2504">
            <v>2389</v>
          </cell>
          <cell r="P2504">
            <v>43273</v>
          </cell>
          <cell r="Q2504" t="str">
            <v>AYUDA TEMPORAL A LAS FAMILIAS DE VARIAS LOCALIDADES, PARA LA RELOCALIZACIÓN DE HOGARES LOCALIZADOS EN ZONAS DE ALTO RIESGO NO MITIGABLE ID:2011-19-12742, LOCALIDAD:19 CIUDAD BOLÍVAR, UPZ:68 EL TESORO, SECTOR:QUEBRADA TROMPETA</v>
          </cell>
          <cell r="R2504">
            <v>2924376</v>
          </cell>
          <cell r="S2504">
            <v>0</v>
          </cell>
          <cell r="T2504">
            <v>0</v>
          </cell>
          <cell r="U2504">
            <v>2924376</v>
          </cell>
          <cell r="V2504">
            <v>835536</v>
          </cell>
        </row>
        <row r="2505">
          <cell r="J2505">
            <v>2115</v>
          </cell>
          <cell r="K2505">
            <v>43273</v>
          </cell>
          <cell r="L2505" t="str">
            <v>FLOR ALBA RODRIGUEZ GOMEZ</v>
          </cell>
          <cell r="M2505">
            <v>31</v>
          </cell>
          <cell r="N2505" t="str">
            <v>RESOLUCION</v>
          </cell>
          <cell r="O2505">
            <v>2354</v>
          </cell>
          <cell r="P2505">
            <v>43273</v>
          </cell>
          <cell r="Q2505" t="str">
            <v>AYUDA TEMPORAL A LAS FAMILIAS DE VARIAS LOCALIDADES, PARA LA RELOCALIZACIÓN DE HOGARES LOCALIZADOS EN ZONAS DE ALTO RIESGO NO MITIGABLE ID:2009-4-11165, LOCALIDAD:04 SAN CRISTÓBAL, UPZ:50 LA GLORIA</v>
          </cell>
          <cell r="R2505">
            <v>3157574</v>
          </cell>
          <cell r="S2505">
            <v>0</v>
          </cell>
          <cell r="T2505">
            <v>0</v>
          </cell>
          <cell r="U2505">
            <v>3157574</v>
          </cell>
          <cell r="V2505">
            <v>902164</v>
          </cell>
        </row>
        <row r="2506">
          <cell r="J2506">
            <v>2116</v>
          </cell>
          <cell r="K2506">
            <v>43273</v>
          </cell>
          <cell r="L2506" t="str">
            <v>EDILBERTO  RODRIGUEZ DIAZ</v>
          </cell>
          <cell r="M2506">
            <v>31</v>
          </cell>
          <cell r="N2506" t="str">
            <v>RESOLUCION</v>
          </cell>
          <cell r="O2506">
            <v>2388</v>
          </cell>
          <cell r="P2506">
            <v>43273</v>
          </cell>
          <cell r="Q2506" t="str">
            <v>AYUDA TEMPORAL A LAS FAMILIAS DE VARIAS LOCALIDADES, PARA LA RELOCALIZACIÓN DE HOGARES LOCALIZADOS EN ZONAS DE ALTO RIESGO NO MITIGABLE ID:2011-4-12483, LOCALIDAD:04 SAN CRISTÓBAL, UPZ:50 LA GLORIA, SECTOR:OLA INVERNAL 2010 FOPAE</v>
          </cell>
          <cell r="R2506">
            <v>3150000</v>
          </cell>
          <cell r="S2506">
            <v>0</v>
          </cell>
          <cell r="T2506">
            <v>0</v>
          </cell>
          <cell r="U2506">
            <v>3150000</v>
          </cell>
          <cell r="V2506">
            <v>900000</v>
          </cell>
        </row>
        <row r="2507">
          <cell r="J2507">
            <v>2117</v>
          </cell>
          <cell r="K2507">
            <v>43273</v>
          </cell>
          <cell r="L2507" t="str">
            <v>EMILIO  ACEVEDO AGUIRRE</v>
          </cell>
          <cell r="M2507">
            <v>31</v>
          </cell>
          <cell r="N2507" t="str">
            <v>RESOLUCION</v>
          </cell>
          <cell r="O2507">
            <v>2353</v>
          </cell>
          <cell r="P2507">
            <v>43273</v>
          </cell>
          <cell r="Q2507" t="str">
            <v>AYUDA TEMPORAL A LAS FAMILIAS DE VARIAS LOCALIDADES, PARA LA RELOCALIZACIÓN DE HOGARES LOCALIZADOS EN ZONAS DE ALTO RIESGO NO MITIGABLE ID:2011-19-12515, LOCALIDAD:19 CIUDAD BOLÍVAR, UPZ:67 LUCERO, SECTOR:OLA INVERNAL 2010 FOPAE</v>
          </cell>
          <cell r="R2507">
            <v>2845920</v>
          </cell>
          <cell r="S2507">
            <v>0</v>
          </cell>
          <cell r="T2507">
            <v>0</v>
          </cell>
          <cell r="U2507">
            <v>2845920</v>
          </cell>
          <cell r="V2507">
            <v>813120</v>
          </cell>
        </row>
        <row r="2508">
          <cell r="J2508">
            <v>2118</v>
          </cell>
          <cell r="K2508">
            <v>43273</v>
          </cell>
          <cell r="L2508" t="str">
            <v>YOLANDA  ROJAS RIAÑO</v>
          </cell>
          <cell r="M2508">
            <v>31</v>
          </cell>
          <cell r="N2508" t="str">
            <v>RESOLUCION</v>
          </cell>
          <cell r="O2508">
            <v>2352</v>
          </cell>
          <cell r="P2508">
            <v>43273</v>
          </cell>
          <cell r="Q2508" t="str">
            <v>AYUDA TEMPORAL A LAS FAMILIAS DE VARIAS LOCALIDADES, PARA LA RELOCALIZACIÓN DE HOGARES LOCALIZADOS EN ZONAS DE ALTO RIESGO NO MITIGABLE ID:2010-19-11706, LOCALIDAD:19 CIUDAD BOLÍVAR, UPZ:69 ISMAEL PERDOMO, SECTOR:OLA INVERNAL 2010 FOPAE</v>
          </cell>
          <cell r="R2508">
            <v>3378326</v>
          </cell>
          <cell r="S2508">
            <v>0</v>
          </cell>
          <cell r="T2508">
            <v>0</v>
          </cell>
          <cell r="U2508">
            <v>3378326</v>
          </cell>
          <cell r="V2508">
            <v>965236</v>
          </cell>
        </row>
        <row r="2509">
          <cell r="J2509">
            <v>2121</v>
          </cell>
          <cell r="K2509">
            <v>43273</v>
          </cell>
          <cell r="L2509" t="str">
            <v>JOSE MONZAIDE MAHECHA GONZALEZ</v>
          </cell>
          <cell r="M2509">
            <v>31</v>
          </cell>
          <cell r="N2509" t="str">
            <v>RESOLUCION</v>
          </cell>
          <cell r="O2509">
            <v>2351</v>
          </cell>
          <cell r="P2509">
            <v>43273</v>
          </cell>
          <cell r="Q2509" t="str">
            <v>AYUDA TEMPORAL A LAS FAMILIAS DE VARIAS LOCALIDADES, PARA LA RELOCALIZACIÓN DE HOGARES LOCALIZADOS EN ZONAS DE ALTO RIESGO NO MITIGABLE ID:2011-4-12667, LOCALIDAD:04 SAN CRISTÓBAL, UPZ:32 SAN BLAS</v>
          </cell>
          <cell r="R2509">
            <v>2685291</v>
          </cell>
          <cell r="S2509">
            <v>0</v>
          </cell>
          <cell r="T2509">
            <v>0</v>
          </cell>
          <cell r="U2509">
            <v>2685291</v>
          </cell>
          <cell r="V2509">
            <v>767226</v>
          </cell>
        </row>
        <row r="2510">
          <cell r="J2510">
            <v>2122</v>
          </cell>
          <cell r="K2510">
            <v>43273</v>
          </cell>
          <cell r="L2510" t="str">
            <v>BLANCA ELUBIDIA ZUÑIGA MENESES</v>
          </cell>
          <cell r="M2510">
            <v>31</v>
          </cell>
          <cell r="N2510" t="str">
            <v>RESOLUCION</v>
          </cell>
          <cell r="O2510">
            <v>2350</v>
          </cell>
          <cell r="P2510">
            <v>43273</v>
          </cell>
          <cell r="Q2510" t="str">
            <v>AYUDA TEMPORAL A LAS FAMILIAS DE VARIAS LOCALIDADES, PARA LA RELOCALIZACIÓN DE HOGARES LOCALIZADOS EN ZONAS DE ALTO RIESGO NO MITIGABLE ID:2012-ALES-355, LOCALIDAD:19 CIUDAD BOLÍVAR, UPZ:69 ISMAEL PERDOMO</v>
          </cell>
          <cell r="R2510">
            <v>3218670</v>
          </cell>
          <cell r="S2510">
            <v>0</v>
          </cell>
          <cell r="T2510">
            <v>0</v>
          </cell>
          <cell r="U2510">
            <v>3218670</v>
          </cell>
          <cell r="V2510">
            <v>919620</v>
          </cell>
        </row>
        <row r="2511">
          <cell r="J2511">
            <v>2123</v>
          </cell>
          <cell r="K2511">
            <v>43273</v>
          </cell>
          <cell r="L2511" t="str">
            <v>MARIA IMELDA RODRIGUEZ NIETO</v>
          </cell>
          <cell r="M2511">
            <v>31</v>
          </cell>
          <cell r="N2511" t="str">
            <v>RESOLUCION</v>
          </cell>
          <cell r="O2511">
            <v>2349</v>
          </cell>
          <cell r="P2511">
            <v>43273</v>
          </cell>
          <cell r="Q2511" t="str">
            <v>AYUDA TEMPORAL A LAS FAMILIAS DE VARIAS LOCALIDADES, PARA RELOCALIZACIÓN DE HOGARES LOCALIZADOS EN ZONAS DE ALTO RIESGO NO MITIGABLE ID:2010-18-12379, LOCALIDAD:18 RAFAEL URIBE URIBE, UPZ:54 MARRUECOS, SECTOR:OLA INVERNAL 2010 FOPAE</v>
          </cell>
          <cell r="R2511">
            <v>2977345</v>
          </cell>
          <cell r="S2511">
            <v>0</v>
          </cell>
          <cell r="T2511">
            <v>0</v>
          </cell>
          <cell r="U2511">
            <v>2977345</v>
          </cell>
          <cell r="V2511">
            <v>425335</v>
          </cell>
        </row>
        <row r="2512">
          <cell r="J2512">
            <v>2124</v>
          </cell>
          <cell r="K2512">
            <v>43273</v>
          </cell>
          <cell r="L2512" t="str">
            <v>LUIS  CRUZ DELGADO</v>
          </cell>
          <cell r="M2512">
            <v>31</v>
          </cell>
          <cell r="N2512" t="str">
            <v>RESOLUCION</v>
          </cell>
          <cell r="O2512">
            <v>2348</v>
          </cell>
          <cell r="P2512">
            <v>43273</v>
          </cell>
          <cell r="Q2512" t="str">
            <v>AYUDA TEMPORAL A LAS FAMILIAS DE VARIAS LOCALIDADES, PARA RELOCALIZACIÓN DE HOGARES LOCALIZADOS EN ZONAS DE ALTO RIESGO NO MITIGABLE ID:2003-19-5136, LOCALIDAD:19 CIUDAD BOLÍVAR, UPZ:69 ISMAEL PERDOMO, SECTOR:ALTOS DE LA ESTANCIA</v>
          </cell>
          <cell r="R2512">
            <v>3614814</v>
          </cell>
          <cell r="S2512">
            <v>0</v>
          </cell>
          <cell r="T2512">
            <v>0</v>
          </cell>
          <cell r="U2512">
            <v>3614814</v>
          </cell>
          <cell r="V2512">
            <v>1032804</v>
          </cell>
        </row>
        <row r="2513">
          <cell r="J2513">
            <v>2125</v>
          </cell>
          <cell r="K2513">
            <v>43273</v>
          </cell>
          <cell r="L2513" t="str">
            <v>ANA ELVIA RODRIGUEZ MENDEZ</v>
          </cell>
          <cell r="M2513">
            <v>31</v>
          </cell>
          <cell r="N2513" t="str">
            <v>RESOLUCION</v>
          </cell>
          <cell r="O2513">
            <v>2347</v>
          </cell>
          <cell r="P2513">
            <v>43273</v>
          </cell>
          <cell r="Q2513" t="str">
            <v>AYUDA TEMPORAL A LAS FAMILIAS DE VARIAS LOCALIDADES, PARA LA RELOCALIZACIÓN DE HOGARES LOCALIZADOS EN ZONAS DE ALTO RIESGO NO MITIGABLE ID:2014-OTR-00901, LOCALIDAD:03 SANTA FE, UPZ:96 LOURDES, SECTOR:CASA 3</v>
          </cell>
          <cell r="R2513">
            <v>2975525</v>
          </cell>
          <cell r="S2513">
            <v>0</v>
          </cell>
          <cell r="T2513">
            <v>0</v>
          </cell>
          <cell r="U2513">
            <v>2975525</v>
          </cell>
          <cell r="V2513">
            <v>850150</v>
          </cell>
        </row>
        <row r="2514">
          <cell r="J2514">
            <v>2126</v>
          </cell>
          <cell r="K2514">
            <v>43273</v>
          </cell>
          <cell r="L2514" t="str">
            <v>BLANCA LUZ TORRES CARRILLO</v>
          </cell>
          <cell r="M2514">
            <v>31</v>
          </cell>
          <cell r="N2514" t="str">
            <v>RESOLUCION</v>
          </cell>
          <cell r="O2514">
            <v>2346</v>
          </cell>
          <cell r="P2514">
            <v>43273</v>
          </cell>
          <cell r="Q2514" t="str">
            <v>AYUDA TEMPORAL A LAS FAMILIAS DE VARIAS LOCALIDADES, PARA LA RELOCALIZACIÓN DE HOGARES LOCALIZADOS EN ZONAS DE ALTO RIESGO NO MITIGABLE ID:2014-Q03-01022, LOCALIDAD:19 CIUDAD BOLÍVAR, UPZ:66 SAN FRANCISCO, SECTOR:LIMAS</v>
          </cell>
          <cell r="R2514">
            <v>2924376</v>
          </cell>
          <cell r="S2514">
            <v>0</v>
          </cell>
          <cell r="T2514">
            <v>0</v>
          </cell>
          <cell r="U2514">
            <v>2924376</v>
          </cell>
          <cell r="V2514">
            <v>835536</v>
          </cell>
        </row>
        <row r="2515">
          <cell r="J2515">
            <v>2127</v>
          </cell>
          <cell r="K2515">
            <v>43273</v>
          </cell>
          <cell r="L2515" t="str">
            <v>MARIA BEATRIZ NARANJO PATARROYO</v>
          </cell>
          <cell r="M2515">
            <v>31</v>
          </cell>
          <cell r="N2515" t="str">
            <v>RESOLUCION</v>
          </cell>
          <cell r="O2515">
            <v>2345</v>
          </cell>
          <cell r="P2515">
            <v>43273</v>
          </cell>
          <cell r="Q2515" t="str">
            <v>AYUDA TEMPORAL A LAS FAMILIAS DE VARIAS LOCALIDADES, PARA LA RELOCALIZACIÓN DE HOGARES LOCALIZADOS EN ZONAS DE ALTO RIESGO NO MITIGABLE ID:2014-OTR-00880, LOCALIDAD:03 SANTA FE, UPZ:96 LOURDES, SECTOR:CASA 2</v>
          </cell>
          <cell r="R2515">
            <v>2975525</v>
          </cell>
          <cell r="S2515">
            <v>0</v>
          </cell>
          <cell r="T2515">
            <v>0</v>
          </cell>
          <cell r="U2515">
            <v>2975525</v>
          </cell>
          <cell r="V2515">
            <v>850150</v>
          </cell>
        </row>
        <row r="2516">
          <cell r="J2516">
            <v>2128</v>
          </cell>
          <cell r="K2516">
            <v>43273</v>
          </cell>
          <cell r="L2516" t="str">
            <v>MARTHA FABIOLA CAMACHO ROJAS</v>
          </cell>
          <cell r="M2516">
            <v>31</v>
          </cell>
          <cell r="N2516" t="str">
            <v>RESOLUCION</v>
          </cell>
          <cell r="O2516">
            <v>2344</v>
          </cell>
          <cell r="P2516">
            <v>43273</v>
          </cell>
          <cell r="Q2516" t="str">
            <v>AYUDA TEMPORAL A LAS FAMILIAS DE VARIAS LOCALIDADES, PARA LA RELOCALIZACIÓN DE HOGARES LOCALIZADOS EN ZONAS DE ALTO RIESGO NO MITIGABLE ID:2014-OTR-00871, LOCALIDAD:03 SANTA FE, UPZ:96 LOURDES, SECTOR:CASA 1</v>
          </cell>
          <cell r="R2516">
            <v>2975525</v>
          </cell>
          <cell r="S2516">
            <v>0</v>
          </cell>
          <cell r="T2516">
            <v>0</v>
          </cell>
          <cell r="U2516">
            <v>2975525</v>
          </cell>
          <cell r="V2516">
            <v>850150</v>
          </cell>
        </row>
        <row r="2517">
          <cell r="J2517">
            <v>2129</v>
          </cell>
          <cell r="K2517">
            <v>43276</v>
          </cell>
          <cell r="L2517" t="str">
            <v>JORGE ARNULFO PACANCHIQUE LOPEZ</v>
          </cell>
          <cell r="M2517">
            <v>31</v>
          </cell>
          <cell r="N2517" t="str">
            <v>RESOLUCION</v>
          </cell>
          <cell r="O2517">
            <v>2338</v>
          </cell>
          <cell r="P2517">
            <v>43276</v>
          </cell>
          <cell r="Q2517" t="str">
            <v>AYUDA TEMPORAL A LAS FAMILIAS DE VARIAS LOCALIDADES, PARA LA RELOCALIZACIÓN DE HOGARES LOCALIZADOS EN ZONAS DE ALTO RIESGO NO MITIGABLE ID:2014-OTR-01155, LOCALIDAD:11 SUBA, UPZ:71 TIBABUYES, SECTOR:GAVILANES</v>
          </cell>
          <cell r="R2517">
            <v>3017000</v>
          </cell>
          <cell r="S2517">
            <v>0</v>
          </cell>
          <cell r="T2517">
            <v>0</v>
          </cell>
          <cell r="U2517">
            <v>3017000</v>
          </cell>
          <cell r="V2517">
            <v>862000</v>
          </cell>
        </row>
        <row r="2518">
          <cell r="J2518">
            <v>2130</v>
          </cell>
          <cell r="K2518">
            <v>43276</v>
          </cell>
          <cell r="L2518" t="str">
            <v>ALIRIO  HOYOS</v>
          </cell>
          <cell r="M2518">
            <v>31</v>
          </cell>
          <cell r="N2518" t="str">
            <v>RESOLUCION</v>
          </cell>
          <cell r="O2518">
            <v>2337</v>
          </cell>
          <cell r="P2518">
            <v>43276</v>
          </cell>
          <cell r="Q2518" t="str">
            <v>AYUDA TEMPORAL A LAS FAMILIAS DE VARIAS LOCALIDADES, PARA LA RELOCALIZACIÓN DE HOGARES LOCALIZADOS EN ZONAS DE ALTO RIESGO NO MITIGABLE ID:2015-Q03-01359, LOCALIDAD:19 CIUDAD BOLÍVAR, UPZ:66 SAN FRANCISCO, SECTOR:LIMAS</v>
          </cell>
          <cell r="R2518">
            <v>3157315</v>
          </cell>
          <cell r="S2518">
            <v>0</v>
          </cell>
          <cell r="T2518">
            <v>0</v>
          </cell>
          <cell r="U2518">
            <v>3157315</v>
          </cell>
          <cell r="V2518">
            <v>902090</v>
          </cell>
        </row>
        <row r="2519">
          <cell r="J2519">
            <v>2131</v>
          </cell>
          <cell r="K2519">
            <v>43276</v>
          </cell>
          <cell r="L2519" t="str">
            <v>EZEQUIEL  TORRES</v>
          </cell>
          <cell r="M2519">
            <v>31</v>
          </cell>
          <cell r="N2519" t="str">
            <v>RESOLUCION</v>
          </cell>
          <cell r="O2519">
            <v>2336</v>
          </cell>
          <cell r="P2519">
            <v>43276</v>
          </cell>
          <cell r="Q2519" t="str">
            <v>AYUDA TEMPORAL A LAS FAMILIAS DE VARIAS LOCALIDADES, PARA LA RELOCALIZACIÓN DE HOGARES LOCALIZADOS EN ZONAS DE ALTO RIESGO NO MITIGABLE ID:2014-OTR-00889, LOCALIDAD:03 SANTA FE, UPZ:96 LOURDES, SECTOR:CASA 2</v>
          </cell>
          <cell r="R2519">
            <v>2582006</v>
          </cell>
          <cell r="S2519">
            <v>0</v>
          </cell>
          <cell r="T2519">
            <v>0</v>
          </cell>
          <cell r="U2519">
            <v>2582006</v>
          </cell>
          <cell r="V2519">
            <v>737716</v>
          </cell>
        </row>
        <row r="2520">
          <cell r="J2520">
            <v>2132</v>
          </cell>
          <cell r="K2520">
            <v>43276</v>
          </cell>
          <cell r="L2520" t="str">
            <v>CLARA INES ESCOBAR DE BENAVIDES</v>
          </cell>
          <cell r="M2520">
            <v>31</v>
          </cell>
          <cell r="N2520" t="str">
            <v>RESOLUCION</v>
          </cell>
          <cell r="O2520">
            <v>2335</v>
          </cell>
          <cell r="P2520">
            <v>43276</v>
          </cell>
          <cell r="Q2520" t="str">
            <v>AYUDA TEMPORAL A LAS FAMILIAS DE VARIAS LOCALIDADES, PARA LA RELOCALIZACIÓN DE HOGARES LOCALIZADOS EN ZONAS DE ALTO RIESGO NO MITIGABLE ID:2014-Q04-00825, LOCALIDAD:19 CIUDAD BOLÍVAR, UPZ:67 LUCERO, SECTOR:PEÑA COLORADA</v>
          </cell>
          <cell r="R2520">
            <v>3157315</v>
          </cell>
          <cell r="S2520">
            <v>0</v>
          </cell>
          <cell r="T2520">
            <v>0</v>
          </cell>
          <cell r="U2520">
            <v>3157315</v>
          </cell>
          <cell r="V2520">
            <v>902090</v>
          </cell>
        </row>
        <row r="2521">
          <cell r="J2521">
            <v>2133</v>
          </cell>
          <cell r="K2521">
            <v>43276</v>
          </cell>
          <cell r="L2521" t="str">
            <v>JEINNY ANDREA NAVARRETE</v>
          </cell>
          <cell r="M2521">
            <v>31</v>
          </cell>
          <cell r="N2521" t="str">
            <v>RESOLUCION</v>
          </cell>
          <cell r="O2521">
            <v>2334</v>
          </cell>
          <cell r="P2521">
            <v>43276</v>
          </cell>
          <cell r="Q2521" t="str">
            <v>AYUDA TEMPORAL A LAS FAMILIAS DE VARIAS LOCALIDADES, PARA LA RELOCALIZACIÓN DE HOGARES LOCALIZADOS EN ZONAS DE ALTO RIESGO NO MITIGABLE ID:2014-OTR-00898, LOCALIDAD:03 SANTA FE, UPZ:96 LOURDES, SECTOR:CASA 3</v>
          </cell>
          <cell r="R2521">
            <v>2582006</v>
          </cell>
          <cell r="S2521">
            <v>0</v>
          </cell>
          <cell r="T2521">
            <v>0</v>
          </cell>
          <cell r="U2521">
            <v>2582006</v>
          </cell>
          <cell r="V2521">
            <v>737716</v>
          </cell>
        </row>
        <row r="2522">
          <cell r="J2522">
            <v>2134</v>
          </cell>
          <cell r="K2522">
            <v>43276</v>
          </cell>
          <cell r="L2522" t="str">
            <v>ORLANDO  RODRIGUEZ ANZOLA</v>
          </cell>
          <cell r="M2522">
            <v>31</v>
          </cell>
          <cell r="N2522" t="str">
            <v>RESOLUCION</v>
          </cell>
          <cell r="O2522">
            <v>2333</v>
          </cell>
          <cell r="P2522">
            <v>43276</v>
          </cell>
          <cell r="Q2522" t="str">
            <v>AYUDA TEMPORAL A LAS FAMILIAS DE VARIAS LOCALIDADES, PARA LA RELOCALIZACIÓN DE HOGARES LOCALIZADOS EN ZONAS DE ALTO RIESGO NO MITIGABLE ID:2015-Q03-03362, LOCALIDAD:19 CIUDAD BOLÍVAR, UPZ:67 LUCERO, SECTOR:LIMAS</v>
          </cell>
          <cell r="R2522">
            <v>3098410</v>
          </cell>
          <cell r="S2522">
            <v>0</v>
          </cell>
          <cell r="T2522">
            <v>0</v>
          </cell>
          <cell r="U2522">
            <v>3098410</v>
          </cell>
          <cell r="V2522">
            <v>885260</v>
          </cell>
        </row>
        <row r="2523">
          <cell r="J2523">
            <v>2135</v>
          </cell>
          <cell r="K2523">
            <v>43276</v>
          </cell>
          <cell r="L2523" t="str">
            <v>LUZ ESPERANZA AGUILAR CUTIVA</v>
          </cell>
          <cell r="M2523">
            <v>31</v>
          </cell>
          <cell r="N2523" t="str">
            <v>RESOLUCION</v>
          </cell>
          <cell r="O2523">
            <v>2332</v>
          </cell>
          <cell r="P2523">
            <v>43276</v>
          </cell>
          <cell r="Q2523" t="str">
            <v>AYUDA TEMPORAL A LAS FAMILIAS DE VARIAS LOCALIDADES, PARA LA RELOCALIZACIÓN DE HOGARES LOCALIZADOS EN ZONAS DE ALTO RIESGO NO MITIGABLE ID:2014-Q03-00992, LOCALIDAD:19 CIUDAD BOLÍVAR, UPZ:66 SAN FRANCISCO, SECTOR:LIMAS</v>
          </cell>
          <cell r="R2523">
            <v>3606526</v>
          </cell>
          <cell r="S2523">
            <v>0</v>
          </cell>
          <cell r="T2523">
            <v>0</v>
          </cell>
          <cell r="U2523">
            <v>3606526</v>
          </cell>
          <cell r="V2523">
            <v>1030436</v>
          </cell>
        </row>
        <row r="2524">
          <cell r="J2524">
            <v>2136</v>
          </cell>
          <cell r="K2524">
            <v>43276</v>
          </cell>
          <cell r="L2524" t="str">
            <v>ANA YIBE BELTRAN HERNANDEZ</v>
          </cell>
          <cell r="M2524">
            <v>31</v>
          </cell>
          <cell r="N2524" t="str">
            <v>RESOLUCION</v>
          </cell>
          <cell r="O2524">
            <v>2331</v>
          </cell>
          <cell r="P2524">
            <v>43276</v>
          </cell>
          <cell r="Q2524" t="str">
            <v>AYUDA TEMPORAL A LAS FAMILIAS DE VARIAS LOCALIDADES, PARA LA RELOCALIZACIÓN DE HOGARES LOCALIZADOS EN ZONAS DE ALTO RIESGO NO MITIGABLE ID:2014-Q04-00834, LOCALIDAD:19 CIUDAD BOLÍVAR, UPZ:67 LUCERO, SECTOR:PEÑA COLORADA</v>
          </cell>
          <cell r="R2524">
            <v>2734347</v>
          </cell>
          <cell r="S2524">
            <v>0</v>
          </cell>
          <cell r="T2524">
            <v>0</v>
          </cell>
          <cell r="U2524">
            <v>2734347</v>
          </cell>
          <cell r="V2524">
            <v>781242</v>
          </cell>
        </row>
        <row r="2525">
          <cell r="J2525">
            <v>2137</v>
          </cell>
          <cell r="K2525">
            <v>43276</v>
          </cell>
          <cell r="L2525" t="str">
            <v>JACKELINE  GOMEZ NUÑEZ</v>
          </cell>
          <cell r="M2525">
            <v>31</v>
          </cell>
          <cell r="N2525" t="str">
            <v>RESOLUCION</v>
          </cell>
          <cell r="O2525">
            <v>2330</v>
          </cell>
          <cell r="P2525">
            <v>43276</v>
          </cell>
          <cell r="Q2525" t="str">
            <v>AYUDA TEMPORAL A LAS FAMILIAS DE VARIAS LOCALIDADES, PARA LA RELOCALIZACIÓN DE HOGARES LOCALIZADOS EN ZONAS DE ALTO RIESGO NO MITIGABLE ID:2014-Q09-00928, LOCALIDAD:19 CIUDAD BOLÍVAR, UPZ:67 LUCERO, SECTOR:QUEBRADA TROMPETA</v>
          </cell>
          <cell r="R2525">
            <v>3124968</v>
          </cell>
          <cell r="S2525">
            <v>0</v>
          </cell>
          <cell r="T2525">
            <v>0</v>
          </cell>
          <cell r="U2525">
            <v>3124968</v>
          </cell>
          <cell r="V2525">
            <v>781242</v>
          </cell>
        </row>
        <row r="2526">
          <cell r="J2526">
            <v>2138</v>
          </cell>
          <cell r="K2526">
            <v>43276</v>
          </cell>
          <cell r="L2526" t="str">
            <v>LUZ STELLA CRIOLLO</v>
          </cell>
          <cell r="M2526">
            <v>31</v>
          </cell>
          <cell r="N2526" t="str">
            <v>RESOLUCION</v>
          </cell>
          <cell r="O2526">
            <v>2329</v>
          </cell>
          <cell r="P2526">
            <v>43276</v>
          </cell>
          <cell r="Q2526" t="str">
            <v>AYUDA TEMPORAL A LAS FAMILIAS DE VARIAS LOCALIDADES, PARA LA RELOCALIZACIÓN DE HOGARES LOCALIZADOS EN ZONAS DE ALTO RIESGO NO MITIGABLE ID:2014-Q03-00991, LOCALIDAD:19 CIUDAD BOLÍVAR, UPZ:66 SAN FRANCISCO, SECTOR:LIMAS</v>
          </cell>
          <cell r="R2526">
            <v>3017000</v>
          </cell>
          <cell r="S2526">
            <v>0</v>
          </cell>
          <cell r="T2526">
            <v>0</v>
          </cell>
          <cell r="U2526">
            <v>3017000</v>
          </cell>
          <cell r="V2526">
            <v>862000</v>
          </cell>
        </row>
        <row r="2527">
          <cell r="J2527">
            <v>2139</v>
          </cell>
          <cell r="K2527">
            <v>43276</v>
          </cell>
          <cell r="L2527" t="str">
            <v>MARIA GUADALUPE PULIDO GONZALEZ</v>
          </cell>
          <cell r="M2527">
            <v>31</v>
          </cell>
          <cell r="N2527" t="str">
            <v>RESOLUCION</v>
          </cell>
          <cell r="O2527">
            <v>2328</v>
          </cell>
          <cell r="P2527">
            <v>43276</v>
          </cell>
          <cell r="Q2527" t="str">
            <v>AYUDA TEMPORAL A LAS FAMILIAS DE VARIAS LOCALIDADES, PARA LA RELOCALIZACIÓN DE HOGARES LOCALIZADOS EN ZONAS DE ALTO RIESGO NO MITIGABLE ID:2015-OTR-01363, LOCALIDAD:19 CIUDAD BOLÍVAR, UPZ:67 LUCERO, SECTOR:TABOR ALTALOMA</v>
          </cell>
          <cell r="R2527">
            <v>4647615</v>
          </cell>
          <cell r="S2527">
            <v>0</v>
          </cell>
          <cell r="T2527">
            <v>0</v>
          </cell>
          <cell r="U2527">
            <v>4647615</v>
          </cell>
          <cell r="V2527">
            <v>1327890</v>
          </cell>
        </row>
        <row r="2528">
          <cell r="J2528">
            <v>2140</v>
          </cell>
          <cell r="K2528">
            <v>43276</v>
          </cell>
          <cell r="L2528" t="str">
            <v>HENRY STEVEN AGUILERA BENITEZ</v>
          </cell>
          <cell r="M2528">
            <v>31</v>
          </cell>
          <cell r="N2528" t="str">
            <v>RESOLUCION</v>
          </cell>
          <cell r="O2528">
            <v>2327</v>
          </cell>
          <cell r="P2528">
            <v>43276</v>
          </cell>
          <cell r="Q2528" t="str">
            <v>AYUDA TEMPORAL A LAS FAMILIAS DE VARIAS LOCALIDADES, PARA LA RELOCALIZACIÓN DE HOGARES LOCALIZADOS EN ZONAS DE ALTO RIESGO NO MITIGABLE ID:2015-Q03-01474, LOCALIDAD:19 CIUDAD BOLÍVAR, UPZ:66 SAN FRANCISCO, SECTOR:LIMAS</v>
          </cell>
          <cell r="R2528">
            <v>2950864</v>
          </cell>
          <cell r="S2528">
            <v>0</v>
          </cell>
          <cell r="T2528">
            <v>0</v>
          </cell>
          <cell r="U2528">
            <v>2950864</v>
          </cell>
          <cell r="V2528">
            <v>737716</v>
          </cell>
        </row>
        <row r="2529">
          <cell r="J2529">
            <v>2141</v>
          </cell>
          <cell r="K2529">
            <v>43276</v>
          </cell>
          <cell r="L2529" t="str">
            <v>BERNEY  VIUCHE SIERRA</v>
          </cell>
          <cell r="M2529">
            <v>31</v>
          </cell>
          <cell r="N2529" t="str">
            <v>RESOLUCION</v>
          </cell>
          <cell r="O2529">
            <v>2326</v>
          </cell>
          <cell r="P2529">
            <v>43276</v>
          </cell>
          <cell r="Q2529" t="str">
            <v>AYUDA TEMPORAL A LAS FAMILIAS DE VARIAS LOCALIDADES, PARA LA RELOCALIZACIÓN DE HOGARES LOCALIZADOS EN ZONAS DE ALTO RIESGO NO MITIGABLE ID:2015-Q03-01487, LOCALIDAD:19 CIUDAD BOLÍVAR, UPZ:66 SAN FRANCISCO, SECTOR:LIMAS</v>
          </cell>
          <cell r="R2529">
            <v>2685291</v>
          </cell>
          <cell r="S2529">
            <v>0</v>
          </cell>
          <cell r="T2529">
            <v>0</v>
          </cell>
          <cell r="U2529">
            <v>2685291</v>
          </cell>
          <cell r="V2529">
            <v>767226</v>
          </cell>
        </row>
        <row r="2530">
          <cell r="J2530">
            <v>2142</v>
          </cell>
          <cell r="K2530">
            <v>43276</v>
          </cell>
          <cell r="L2530" t="str">
            <v>MAYURI  RODRIGUEZ RAMIREZ</v>
          </cell>
          <cell r="M2530">
            <v>31</v>
          </cell>
          <cell r="N2530" t="str">
            <v>RESOLUCION</v>
          </cell>
          <cell r="O2530">
            <v>2325</v>
          </cell>
          <cell r="P2530">
            <v>43276</v>
          </cell>
          <cell r="Q2530" t="str">
            <v>AYUDA TEMPORAL A LAS FAMILIAS DE VARIAS LOCALIDADES, PARA LA RELOCALIZACIÓN DE HOGARES LOCALIZADOS EN ZONAS DE ALTO RIESGO NO MITIGABLE ID:2017-04-14930, LOCALIDAD:04 SAN CRISTÓBAL, UPZ:32 SAN BLAS, SECTOR:TRIANGULO ALTO</v>
          </cell>
          <cell r="R2530">
            <v>2840208</v>
          </cell>
          <cell r="S2530">
            <v>0</v>
          </cell>
          <cell r="T2530">
            <v>0</v>
          </cell>
          <cell r="U2530">
            <v>2840208</v>
          </cell>
          <cell r="V2530">
            <v>811488</v>
          </cell>
        </row>
        <row r="2531">
          <cell r="J2531">
            <v>2143</v>
          </cell>
          <cell r="K2531">
            <v>43276</v>
          </cell>
          <cell r="L2531" t="str">
            <v>JOSE VICENTE RODRIGUEZ PARRA</v>
          </cell>
          <cell r="M2531">
            <v>31</v>
          </cell>
          <cell r="N2531" t="str">
            <v>RESOLUCION</v>
          </cell>
          <cell r="O2531">
            <v>2324</v>
          </cell>
          <cell r="P2531">
            <v>43276</v>
          </cell>
          <cell r="Q2531" t="str">
            <v>AYUDA TEMPORAL A LAS FAMILIAS DE VARIAS LOCALIDADES, PARA LA RELOCALIZACIÓN DE HOGARES LOCALIZADOS EN ZONAS DE ALTO RIESGO NO MITIGABLE ID:2017-04-14932, LOCALIDAD:04 SAN CRISTÓBAL, UPZ:32 SAN BLAS, SECTOR:TRIANGULO ALTO</v>
          </cell>
          <cell r="R2531">
            <v>3098410</v>
          </cell>
          <cell r="S2531">
            <v>0</v>
          </cell>
          <cell r="T2531">
            <v>0</v>
          </cell>
          <cell r="U2531">
            <v>3098410</v>
          </cell>
          <cell r="V2531">
            <v>885260</v>
          </cell>
        </row>
        <row r="2532">
          <cell r="J2532">
            <v>2148</v>
          </cell>
          <cell r="K2532">
            <v>43277</v>
          </cell>
          <cell r="L2532" t="str">
            <v>LETICIA  FIERRO GARRIDO</v>
          </cell>
          <cell r="M2532">
            <v>31</v>
          </cell>
          <cell r="N2532" t="str">
            <v>RESOLUCION</v>
          </cell>
          <cell r="O2532">
            <v>2426</v>
          </cell>
          <cell r="P2532">
            <v>43277</v>
          </cell>
          <cell r="Q2532" t="str">
            <v>VUR de la actual vigencia. La asignación se realiza para dar cumplimiento al fallo de acción popular 2002-00152- Suba Gavilanes. Decreto 255 de 2013. LOCALIDAD: SUBA (GAVILANES); BARRIO: SANTA CECILIA;ID: 2018-11-15303</v>
          </cell>
          <cell r="R2532">
            <v>39062100</v>
          </cell>
          <cell r="S2532">
            <v>0</v>
          </cell>
          <cell r="T2532">
            <v>0</v>
          </cell>
          <cell r="U2532">
            <v>39062100</v>
          </cell>
          <cell r="V2532">
            <v>0</v>
          </cell>
        </row>
        <row r="2533">
          <cell r="J2533">
            <v>2149</v>
          </cell>
          <cell r="K2533">
            <v>43277</v>
          </cell>
          <cell r="L2533" t="str">
            <v>BLANCA CECILIA BENAVIDES</v>
          </cell>
          <cell r="M2533">
            <v>31</v>
          </cell>
          <cell r="N2533" t="str">
            <v>RESOLUCION</v>
          </cell>
          <cell r="O2533">
            <v>2538</v>
          </cell>
          <cell r="P2533">
            <v>43277</v>
          </cell>
          <cell r="Q2533" t="str">
            <v>AYUDA TEMPORAL A LAS FAMILIAS DE VARIAS LOCALIDADES, PARA LA RELOCALIZACIÓN DE HOGARES LOCALIZADOS EN ZONAS DE ALTO RIESGO NO MITIGABLE ID:2011-4-12708, LOCALIDAD:04 SAN CRISTÓBAL, UPZ:32 SAN BLAS</v>
          </cell>
          <cell r="R2533">
            <v>2582006</v>
          </cell>
          <cell r="S2533">
            <v>0</v>
          </cell>
          <cell r="T2533">
            <v>0</v>
          </cell>
          <cell r="U2533">
            <v>2582006</v>
          </cell>
          <cell r="V2533">
            <v>737716</v>
          </cell>
        </row>
        <row r="2534">
          <cell r="J2534">
            <v>2150</v>
          </cell>
          <cell r="K2534">
            <v>43277</v>
          </cell>
          <cell r="L2534" t="str">
            <v>JUANA PAULA GAÑAN DE TAPASCO</v>
          </cell>
          <cell r="M2534">
            <v>31</v>
          </cell>
          <cell r="N2534" t="str">
            <v>RESOLUCION</v>
          </cell>
          <cell r="O2534">
            <v>2537</v>
          </cell>
          <cell r="P2534">
            <v>43277</v>
          </cell>
          <cell r="Q2534" t="str">
            <v>AYUDA TEMPORAL A LAS FAMILIAS DE VARIAS LOCALIDADES, PARA LA RELOCALIZACIÓN DE HOGARES LOCALIZADOS EN ZONAS DE ALTO RIESGO NO MITIGABLE ID:2011-4-12722, LOCALIDAD:04 SAN CRISTÓBAL, UPZ:32 SAN BLAS</v>
          </cell>
          <cell r="R2534">
            <v>2661239</v>
          </cell>
          <cell r="S2534">
            <v>0</v>
          </cell>
          <cell r="T2534">
            <v>0</v>
          </cell>
          <cell r="U2534">
            <v>2661239</v>
          </cell>
          <cell r="V2534">
            <v>760354</v>
          </cell>
        </row>
        <row r="2535">
          <cell r="J2535">
            <v>2151</v>
          </cell>
          <cell r="K2535">
            <v>43277</v>
          </cell>
          <cell r="L2535" t="str">
            <v>LUZ ISLENI CADENA SANCHEZ</v>
          </cell>
          <cell r="M2535">
            <v>31</v>
          </cell>
          <cell r="N2535" t="str">
            <v>RESOLUCION</v>
          </cell>
          <cell r="O2535">
            <v>2536</v>
          </cell>
          <cell r="P2535">
            <v>43277</v>
          </cell>
          <cell r="Q2535" t="str">
            <v>AYUDA TEMPORAL A LAS FAMILIAS DE VARIAS LOCALIDADES, PARA LA RELOCALIZACIÓN DE HOGARES LOCALIZADOS EN ZONAS DE ALTO RIESGO NO MITIGABLE ID:2012-5-14150, LOCALIDAD:05 USME, UPZ:58 COMUNEROS</v>
          </cell>
          <cell r="R2535">
            <v>2582006</v>
          </cell>
          <cell r="S2535">
            <v>0</v>
          </cell>
          <cell r="T2535">
            <v>0</v>
          </cell>
          <cell r="U2535">
            <v>2582006</v>
          </cell>
          <cell r="V2535">
            <v>737716</v>
          </cell>
        </row>
        <row r="2536">
          <cell r="J2536">
            <v>2152</v>
          </cell>
          <cell r="K2536">
            <v>43277</v>
          </cell>
          <cell r="L2536" t="str">
            <v>NELLY ESPERANZA CAMARGO LOZANO</v>
          </cell>
          <cell r="M2536">
            <v>31</v>
          </cell>
          <cell r="N2536" t="str">
            <v>RESOLUCION</v>
          </cell>
          <cell r="O2536">
            <v>2535</v>
          </cell>
          <cell r="P2536">
            <v>43277</v>
          </cell>
          <cell r="Q2536" t="str">
            <v>AYUDA TEMPORAL A LAS FAMILIAS DE VARIAS LOCALIDADES, PARA LA RELOCALIZACIÓN DE HOGARES LOCALIZADOS EN ZONAS DE ALTO RIESGO NO MITIGABLE ID:2015-3-14763, LOCALIDAD:03 SANTA FE, UPZ:96 LOURDES</v>
          </cell>
          <cell r="R2536">
            <v>3318945</v>
          </cell>
          <cell r="S2536">
            <v>0</v>
          </cell>
          <cell r="T2536">
            <v>0</v>
          </cell>
          <cell r="U2536">
            <v>3318945</v>
          </cell>
          <cell r="V2536">
            <v>948270</v>
          </cell>
        </row>
        <row r="2537">
          <cell r="J2537">
            <v>2153</v>
          </cell>
          <cell r="K2537">
            <v>43277</v>
          </cell>
          <cell r="L2537" t="str">
            <v>JUAN EVANGELISTA NARANJO PATARROYO</v>
          </cell>
          <cell r="M2537">
            <v>31</v>
          </cell>
          <cell r="N2537" t="str">
            <v>RESOLUCION</v>
          </cell>
          <cell r="O2537">
            <v>2534</v>
          </cell>
          <cell r="P2537">
            <v>43277</v>
          </cell>
          <cell r="Q2537" t="str">
            <v>AYUDA TEMPORAL A LAS FAMILIAS DE VARIAS LOCALIDADES, PARA LA RELOCALIZACIÓN DE HOGARES LOCALIZADOS EN ZONAS DE ALTO RIESGO NO MITIGABLE ID:2014-OTR-00886, LOCALIDAD:03 SANTA FE, UPZ:96 LOURDES, SECTOR:CASA 2</v>
          </cell>
          <cell r="R2537">
            <v>3516527</v>
          </cell>
          <cell r="S2537">
            <v>0</v>
          </cell>
          <cell r="T2537">
            <v>0</v>
          </cell>
          <cell r="U2537">
            <v>3516527</v>
          </cell>
          <cell r="V2537">
            <v>1004722</v>
          </cell>
        </row>
        <row r="2538">
          <cell r="J2538">
            <v>2154</v>
          </cell>
          <cell r="K2538">
            <v>43277</v>
          </cell>
          <cell r="L2538" t="str">
            <v>LUZ HERMINDA MURILLO REIVA</v>
          </cell>
          <cell r="M2538">
            <v>31</v>
          </cell>
          <cell r="N2538" t="str">
            <v>RESOLUCION</v>
          </cell>
          <cell r="O2538">
            <v>2533</v>
          </cell>
          <cell r="P2538">
            <v>43277</v>
          </cell>
          <cell r="Q2538" t="str">
            <v>AYUDA TEMPORAL A LAS FAMILIAS DE VARIAS LOCALIDADES, PARA LA RELOCALIZACIÓN DE HOGARES LOCALIZADOS EN ZONAS DE ALTO RIESGO NO MITIGABLE ID:2016-08-14857, LOCALIDAD:08 KENNEDY, UPZ:82 PATIO BONITO, SECTOR:PALMITAS</v>
          </cell>
          <cell r="R2538">
            <v>3363992</v>
          </cell>
          <cell r="S2538">
            <v>0</v>
          </cell>
          <cell r="T2538">
            <v>0</v>
          </cell>
          <cell r="U2538">
            <v>3363992</v>
          </cell>
          <cell r="V2538">
            <v>840998</v>
          </cell>
        </row>
        <row r="2539">
          <cell r="J2539">
            <v>2155</v>
          </cell>
          <cell r="K2539">
            <v>43277</v>
          </cell>
          <cell r="L2539" t="str">
            <v>FLOR ELISA ULLOA PUENTES</v>
          </cell>
          <cell r="M2539">
            <v>31</v>
          </cell>
          <cell r="N2539" t="str">
            <v>RESOLUCION</v>
          </cell>
          <cell r="O2539">
            <v>2524</v>
          </cell>
          <cell r="P2539">
            <v>43277</v>
          </cell>
          <cell r="Q2539" t="str">
            <v>VUR de la actual vigencia. La asignación se realiza para dar cumplimiento al fallo de acción popular 2002-00152- Suba Gavilanes. Decreto 255 de 2013. LOCALIDAD: SUBA (GAVILANES); BARRIO: SANTA CECILIA; ID:2018-11-15198</v>
          </cell>
          <cell r="R2539">
            <v>39062100</v>
          </cell>
          <cell r="S2539">
            <v>39062100</v>
          </cell>
          <cell r="T2539">
            <v>0</v>
          </cell>
          <cell r="U2539">
            <v>0</v>
          </cell>
          <cell r="V2539">
            <v>0</v>
          </cell>
        </row>
        <row r="2540">
          <cell r="J2540">
            <v>2156</v>
          </cell>
          <cell r="K2540">
            <v>43277</v>
          </cell>
          <cell r="L2540" t="str">
            <v>MARYLIN  REALPE CAMACHO</v>
          </cell>
          <cell r="M2540">
            <v>31</v>
          </cell>
          <cell r="N2540" t="str">
            <v>RESOLUCION</v>
          </cell>
          <cell r="O2540">
            <v>2571</v>
          </cell>
          <cell r="P2540">
            <v>43277</v>
          </cell>
          <cell r="Q2540" t="str">
            <v>AYUDA TEMPORAL A LAS FAMILIAS DE VARIAS LOCALIDADES, PARA LA RELOCALIZACIÓN DE HOGARES LOCALIZADOS EN ZONAS DE ALTO RIESGO NO MITIGABLE ID:2014-OTR-00877, LOCALIDAD:03 SANTA FE, UPZ:96 LOURDES, SECTOR:CASA 1</v>
          </cell>
          <cell r="R2540">
            <v>2976771</v>
          </cell>
          <cell r="S2540">
            <v>0</v>
          </cell>
          <cell r="T2540">
            <v>0</v>
          </cell>
          <cell r="U2540">
            <v>2976771</v>
          </cell>
          <cell r="V2540">
            <v>850506</v>
          </cell>
        </row>
        <row r="2541">
          <cell r="J2541">
            <v>2157</v>
          </cell>
          <cell r="K2541">
            <v>43277</v>
          </cell>
          <cell r="L2541" t="str">
            <v>BLANCA RUTH NARANJO PATARROYO</v>
          </cell>
          <cell r="M2541">
            <v>31</v>
          </cell>
          <cell r="N2541" t="str">
            <v>RESOLUCION</v>
          </cell>
          <cell r="O2541">
            <v>2570</v>
          </cell>
          <cell r="P2541">
            <v>43277</v>
          </cell>
          <cell r="Q2541" t="str">
            <v>AYUDA TEMPORAL A LAS FAMILIAS DE VARIAS LOCALIDADES, PARA LA RELOCALIZACIÓN DE HOGARES LOCALIZADOS EN ZONAS DE ALTO RIESGO NO MITIGABLE ID:2014-OTR-00887, LOCALIDAD:03 SANTA FE, UPZ:96 LOURDES, SECTOR:CASA 2</v>
          </cell>
          <cell r="R2541">
            <v>2975525</v>
          </cell>
          <cell r="S2541">
            <v>0</v>
          </cell>
          <cell r="T2541">
            <v>0</v>
          </cell>
          <cell r="U2541">
            <v>2975525</v>
          </cell>
          <cell r="V2541">
            <v>850150</v>
          </cell>
        </row>
        <row r="2542">
          <cell r="J2542">
            <v>2158</v>
          </cell>
          <cell r="K2542">
            <v>43277</v>
          </cell>
          <cell r="L2542" t="str">
            <v>LILIA INES LOAIZA DE ARRAZOLA</v>
          </cell>
          <cell r="M2542">
            <v>31</v>
          </cell>
          <cell r="N2542" t="str">
            <v>RESOLUCION</v>
          </cell>
          <cell r="O2542">
            <v>2569</v>
          </cell>
          <cell r="P2542">
            <v>43277</v>
          </cell>
          <cell r="Q2542" t="str">
            <v>AYUDA TEMPORAL A LAS FAMILIAS DE VARIAS LOCALIDADES, PARA LA RELOCALIZACIÓN DE HOGARES LOCALIZADOS EN ZONAS DE ALTO RIESGO NO MITIGABLE ID:2013000384, LOCALIDAD:04 SAN CRISTÓBAL, UPZ:51 LOS LIBERTADORES, SECTOR:QUEBRADA VEREJONES</v>
          </cell>
          <cell r="R2542">
            <v>4499955</v>
          </cell>
          <cell r="S2542">
            <v>0</v>
          </cell>
          <cell r="T2542">
            <v>0</v>
          </cell>
          <cell r="U2542">
            <v>4499955</v>
          </cell>
          <cell r="V2542">
            <v>999990</v>
          </cell>
        </row>
        <row r="2543">
          <cell r="J2543">
            <v>2159</v>
          </cell>
          <cell r="K2543">
            <v>43277</v>
          </cell>
          <cell r="L2543" t="str">
            <v>YUDY ZULEYDI TORRES MUÑOZ</v>
          </cell>
          <cell r="M2543">
            <v>31</v>
          </cell>
          <cell r="N2543" t="str">
            <v>RESOLUCION</v>
          </cell>
          <cell r="O2543">
            <v>2532</v>
          </cell>
          <cell r="P2543">
            <v>43277</v>
          </cell>
          <cell r="Q2543" t="str">
            <v>AYUDA TEMPORAL A LAS FAMILIAS DE VARIAS LOCALIDADES, PARA LA RELOCALIZACIÓN DE HOGARES LOCALIZADOS EN ZONAS DE ALTO RIESGO NO MITIGABLE ID:2015-OTR-01373, LOCALIDAD:11 SUBA, UPZ:71 TIBABUYES, SECTOR:GAVILANES</v>
          </cell>
          <cell r="R2543">
            <v>4027933</v>
          </cell>
          <cell r="S2543">
            <v>0</v>
          </cell>
          <cell r="T2543">
            <v>0</v>
          </cell>
          <cell r="U2543">
            <v>4027933</v>
          </cell>
          <cell r="V2543">
            <v>1150838</v>
          </cell>
        </row>
        <row r="2544">
          <cell r="J2544">
            <v>2160</v>
          </cell>
          <cell r="K2544">
            <v>43277</v>
          </cell>
          <cell r="L2544" t="str">
            <v>YADIRA  GOMEZ DAZA</v>
          </cell>
          <cell r="M2544">
            <v>31</v>
          </cell>
          <cell r="N2544" t="str">
            <v>RESOLUCION</v>
          </cell>
          <cell r="O2544">
            <v>2568</v>
          </cell>
          <cell r="P2544">
            <v>43277</v>
          </cell>
          <cell r="Q2544" t="str">
            <v>AYUDA TEMPORAL A LAS FAMILIAS DE VARIAS LOCALIDADES, PARA LA RELOCALIZACIÓN DE HOGARES LOCALIZADOS EN ZONAS DE ALTO RIESGO NO MITIGABLE ID:2012-19-14382, LOCALIDAD:19 CIUDAD BOLÍVAR, UPZ:68 EL TESORO</v>
          </cell>
          <cell r="R2544">
            <v>3218670</v>
          </cell>
          <cell r="S2544">
            <v>0</v>
          </cell>
          <cell r="T2544">
            <v>0</v>
          </cell>
          <cell r="U2544">
            <v>3218670</v>
          </cell>
          <cell r="V2544">
            <v>919620</v>
          </cell>
        </row>
        <row r="2545">
          <cell r="J2545">
            <v>2161</v>
          </cell>
          <cell r="K2545">
            <v>43277</v>
          </cell>
          <cell r="L2545" t="str">
            <v>GILDARDO  TOVAR ABELLO</v>
          </cell>
          <cell r="M2545">
            <v>31</v>
          </cell>
          <cell r="N2545" t="str">
            <v>RESOLUCION</v>
          </cell>
          <cell r="O2545">
            <v>2567</v>
          </cell>
          <cell r="P2545">
            <v>43277</v>
          </cell>
          <cell r="Q2545" t="str">
            <v>AYUDA TEMPORAL A LAS FAMILIAS DE VARIAS LOCALIDADES, PARA LA RELOCALIZACIÓN DE HOGARES LOCALIZADOS EN ZONAS DE ALTO RIESGO NO MITIGABLE ID:2016-19-00006, LOCALIDAD:19 CIUDAD BOLÍVAR, UPZ:67 LUCERO</v>
          </cell>
          <cell r="R2545">
            <v>2685291</v>
          </cell>
          <cell r="S2545">
            <v>0</v>
          </cell>
          <cell r="T2545">
            <v>0</v>
          </cell>
          <cell r="U2545">
            <v>2685291</v>
          </cell>
          <cell r="V2545">
            <v>767226</v>
          </cell>
        </row>
        <row r="2546">
          <cell r="J2546">
            <v>2162</v>
          </cell>
          <cell r="K2546">
            <v>43277</v>
          </cell>
          <cell r="L2546" t="str">
            <v>JOSE ALBERTO REINA SICUA</v>
          </cell>
          <cell r="M2546">
            <v>31</v>
          </cell>
          <cell r="N2546" t="str">
            <v>RESOLUCION</v>
          </cell>
          <cell r="O2546">
            <v>2531</v>
          </cell>
          <cell r="P2546">
            <v>43277</v>
          </cell>
          <cell r="Q2546" t="str">
            <v>AYUDA TEMPORAL A LAS FAMILIAS DE VARIAS LOCALIDADES, PARA RELOCALIZACIÓN DE HOGARES LOCALIZADOS EN ZONAS DE ALTO RIESGO NO MITIGABLE ID:2013000376, LOCALIDAD:19 CIUDAD BOLÍVAR, UPZ:67 LUCERO, SECTOR:PEÑA COLORADA</v>
          </cell>
          <cell r="R2546">
            <v>3017000</v>
          </cell>
          <cell r="S2546">
            <v>0</v>
          </cell>
          <cell r="T2546">
            <v>0</v>
          </cell>
          <cell r="U2546">
            <v>3017000</v>
          </cell>
          <cell r="V2546">
            <v>862000</v>
          </cell>
        </row>
        <row r="2547">
          <cell r="J2547">
            <v>2163</v>
          </cell>
          <cell r="K2547">
            <v>43277</v>
          </cell>
          <cell r="L2547" t="str">
            <v>ALBA LUCIA PEÑA LINARES</v>
          </cell>
          <cell r="M2547">
            <v>31</v>
          </cell>
          <cell r="N2547" t="str">
            <v>RESOLUCION</v>
          </cell>
          <cell r="O2547">
            <v>2566</v>
          </cell>
          <cell r="P2547">
            <v>43277</v>
          </cell>
          <cell r="Q2547" t="str">
            <v>AYUDA TEMPORAL A LAS FAMILIAS DE VARIAS LOCALIDADES, PARA LA RELOCALIZACIÓN DE HOGARES LOCALIZADOS EN ZONAS DE ALTO RIESGO NO MITIGABLE ID:2012-T314-09, LOCALIDAD:04 SAN CRISTÓBAL, UPZ:50 LA GLORIA</v>
          </cell>
          <cell r="R2547">
            <v>3563175</v>
          </cell>
          <cell r="S2547">
            <v>0</v>
          </cell>
          <cell r="T2547">
            <v>0</v>
          </cell>
          <cell r="U2547">
            <v>3563175</v>
          </cell>
          <cell r="V2547">
            <v>1018050</v>
          </cell>
        </row>
        <row r="2548">
          <cell r="J2548">
            <v>2164</v>
          </cell>
          <cell r="K2548">
            <v>43277</v>
          </cell>
          <cell r="L2548" t="str">
            <v>CLARA INES MARTINEZ</v>
          </cell>
          <cell r="M2548">
            <v>31</v>
          </cell>
          <cell r="N2548" t="str">
            <v>RESOLUCION</v>
          </cell>
          <cell r="O2548">
            <v>2530</v>
          </cell>
          <cell r="P2548">
            <v>43277</v>
          </cell>
          <cell r="Q2548" t="str">
            <v>AYUDA TEMPORAL A LAS FAMILIAS DE VARIAS LOCALIDADES, PARA RELOCALIZACIÓN DE HOGARES LOCALIZADOS EN ZONAS DE ALTO RIESGO NO MITIGABLE ID:2013000015, LOCALIDAD:19 CIUDAD BOLÍVAR, UPZ:67 LUCERO, SECTOR:QUEBRADA CAÑO BAÚL</v>
          </cell>
          <cell r="R2548">
            <v>3448000</v>
          </cell>
          <cell r="S2548">
            <v>0</v>
          </cell>
          <cell r="T2548">
            <v>0</v>
          </cell>
          <cell r="U2548">
            <v>3448000</v>
          </cell>
          <cell r="V2548">
            <v>862000</v>
          </cell>
        </row>
        <row r="2549">
          <cell r="J2549">
            <v>2165</v>
          </cell>
          <cell r="K2549">
            <v>43277</v>
          </cell>
          <cell r="L2549" t="str">
            <v>JOSE ORLANDO GANZO MORALES</v>
          </cell>
          <cell r="M2549">
            <v>31</v>
          </cell>
          <cell r="N2549" t="str">
            <v>RESOLUCION</v>
          </cell>
          <cell r="O2549">
            <v>2565</v>
          </cell>
          <cell r="P2549">
            <v>43277</v>
          </cell>
          <cell r="Q2549" t="str">
            <v>AYUDA TEMPORAL A LAS FAMILIAS DE VARIAS LOCALIDADES, PARA LA RELOCALIZACIÓN DE HOGARES LOCALIZADOS EN ZONAS DE ALTO RIESGO NO MITIGABLE ID:2011-4-12724, LOCALIDAD:04 SAN CRISTÓBAL, UPZ:32 SAN BLAS</v>
          </cell>
          <cell r="R2549">
            <v>2582006</v>
          </cell>
          <cell r="S2549">
            <v>0</v>
          </cell>
          <cell r="T2549">
            <v>0</v>
          </cell>
          <cell r="U2549">
            <v>2582006</v>
          </cell>
          <cell r="V2549">
            <v>737716</v>
          </cell>
        </row>
        <row r="2550">
          <cell r="J2550">
            <v>2166</v>
          </cell>
          <cell r="K2550">
            <v>43277</v>
          </cell>
          <cell r="L2550" t="str">
            <v>HECTOR MAURICIO VELEZ SANCHEZ</v>
          </cell>
          <cell r="M2550">
            <v>31</v>
          </cell>
          <cell r="N2550" t="str">
            <v>RESOLUCION</v>
          </cell>
          <cell r="O2550">
            <v>2564</v>
          </cell>
          <cell r="P2550">
            <v>43277</v>
          </cell>
          <cell r="Q2550" t="str">
            <v>AYUDA TEMPORAL A LAS FAMILIAS DE VARIAS LOCALIDADES, PARA LA RELOCALIZACIÓN DE HOGARES LOCALIZADOS EN ZONAS DE ALTO RIESGO NO MITIGABLE ID:2011-5-13283, LOCALIDAD:05 USME, UPZ:56 DANUBIO</v>
          </cell>
          <cell r="R2550">
            <v>2924376</v>
          </cell>
          <cell r="S2550">
            <v>0</v>
          </cell>
          <cell r="T2550">
            <v>0</v>
          </cell>
          <cell r="U2550">
            <v>2924376</v>
          </cell>
          <cell r="V2550">
            <v>835536</v>
          </cell>
        </row>
        <row r="2551">
          <cell r="J2551">
            <v>2167</v>
          </cell>
          <cell r="K2551">
            <v>43277</v>
          </cell>
          <cell r="L2551" t="str">
            <v>TOMAS AUGUSTO QUIZA ALVAREZ</v>
          </cell>
          <cell r="M2551">
            <v>31</v>
          </cell>
          <cell r="N2551" t="str">
            <v>RESOLUCION</v>
          </cell>
          <cell r="O2551">
            <v>2529</v>
          </cell>
          <cell r="P2551">
            <v>43277</v>
          </cell>
          <cell r="Q2551" t="str">
            <v>AYUDA TEMPORAL A LAS FAMILIAS DE VARIAS LOCALIDADES, PARA LA RELOCALIZACIÓN DE HOGARES LOCALIZADOS EN ZONAS DE ALTO RIESGO NO MITIGABLE ID:2006-4-8838, LOCALIDAD:04 SAN CRISTÓBAL, UPZ:50 LA GLORIA.</v>
          </cell>
          <cell r="R2551">
            <v>4367288</v>
          </cell>
          <cell r="S2551">
            <v>3821377</v>
          </cell>
          <cell r="T2551">
            <v>0</v>
          </cell>
          <cell r="U2551">
            <v>545911</v>
          </cell>
          <cell r="V2551">
            <v>545911</v>
          </cell>
        </row>
        <row r="2552">
          <cell r="J2552">
            <v>2168</v>
          </cell>
          <cell r="K2552">
            <v>43277</v>
          </cell>
          <cell r="L2552" t="str">
            <v>ROSA ELENA TORRES MOLINA</v>
          </cell>
          <cell r="M2552">
            <v>31</v>
          </cell>
          <cell r="N2552" t="str">
            <v>RESOLUCION</v>
          </cell>
          <cell r="O2552">
            <v>2563</v>
          </cell>
          <cell r="P2552">
            <v>43277</v>
          </cell>
          <cell r="Q2552" t="str">
            <v>AYUDA TEMPORAL A LAS FAMILIAS DE VARIAS LOCALIDADES, PARA LA RELOCALIZACIÓN DE HOGARES LOCALIZADOS EN ZONAS DE ALTO RIESGO NO MITIGABLE ID:2011-4-12715, LOCALIDAD:04 SAN CRISTÓBAL, UPZ:32 SAN BLAS</v>
          </cell>
          <cell r="R2552">
            <v>2788569</v>
          </cell>
          <cell r="S2552">
            <v>0</v>
          </cell>
          <cell r="T2552">
            <v>0</v>
          </cell>
          <cell r="U2552">
            <v>2788569</v>
          </cell>
          <cell r="V2552">
            <v>796734</v>
          </cell>
        </row>
        <row r="2553">
          <cell r="J2553">
            <v>2169</v>
          </cell>
          <cell r="K2553">
            <v>43277</v>
          </cell>
          <cell r="L2553" t="str">
            <v>SANDRA MILENA OVALLE VELASQUEZ</v>
          </cell>
          <cell r="M2553">
            <v>31</v>
          </cell>
          <cell r="N2553" t="str">
            <v>RESOLUCION</v>
          </cell>
          <cell r="O2553">
            <v>2562</v>
          </cell>
          <cell r="P2553">
            <v>43277</v>
          </cell>
          <cell r="Q2553" t="str">
            <v>AYUDA TEMPORAL A LAS FAMILIAS DE VARIAS LOCALIDADES, PARA LA RELOCALIZACIÓN DE HOGARES LOCALIZADOS EN ZONAS DE ALTO RIESGO NO MITIGABLE ID:2006-19-8078, LOCALIDAD:19 CIUDAD BOLÍVAR, UPZ:67 LUCERO</v>
          </cell>
          <cell r="R2553">
            <v>3111969</v>
          </cell>
          <cell r="S2553">
            <v>2667402</v>
          </cell>
          <cell r="T2553">
            <v>0</v>
          </cell>
          <cell r="U2553">
            <v>444567</v>
          </cell>
          <cell r="V2553">
            <v>444567</v>
          </cell>
        </row>
        <row r="2554">
          <cell r="J2554">
            <v>2170</v>
          </cell>
          <cell r="K2554">
            <v>43277</v>
          </cell>
          <cell r="L2554" t="str">
            <v>LILIA INES DUARTE RUBIANO</v>
          </cell>
          <cell r="M2554">
            <v>31</v>
          </cell>
          <cell r="N2554" t="str">
            <v>RESOLUCION</v>
          </cell>
          <cell r="O2554">
            <v>2528</v>
          </cell>
          <cell r="P2554">
            <v>43277</v>
          </cell>
          <cell r="Q2554" t="str">
            <v>AYUDA TEMPORAL A LAS FAMILIAS DE VARIAS LOCALIDADES, PARA LA RELOCALIZACIÓN DE HOGARES LOCALIZADOS EN ZONAS DE ALTO RIESGO NO MITIGABLE ID:2010-5-11557, LOCALIDAD:05 USME, UPZ:57 GRAN YOMASA, SECTOR:OLA INVERNAL 2010 FOPAE</v>
          </cell>
          <cell r="R2554">
            <v>3749200</v>
          </cell>
          <cell r="S2554">
            <v>0</v>
          </cell>
          <cell r="T2554">
            <v>0</v>
          </cell>
          <cell r="U2554">
            <v>3749200</v>
          </cell>
          <cell r="V2554">
            <v>1071200</v>
          </cell>
        </row>
        <row r="2555">
          <cell r="J2555">
            <v>2171</v>
          </cell>
          <cell r="K2555">
            <v>43277</v>
          </cell>
          <cell r="L2555" t="str">
            <v>MARIA MARILI ZEA GUTIERREZ</v>
          </cell>
          <cell r="M2555">
            <v>31</v>
          </cell>
          <cell r="N2555" t="str">
            <v>RESOLUCION</v>
          </cell>
          <cell r="O2555">
            <v>2492</v>
          </cell>
          <cell r="P2555">
            <v>43277</v>
          </cell>
          <cell r="Q2555" t="str">
            <v>Asignacion del instrumento financiero a las familias ocupantes del predio que hayan superado la fase de verificacion dentro  del marco del Decreto 457 de 2017. LOCALIDAD: KENNEDY; BARRIO: VEREDITAS; ID: 2018-8-384316</v>
          </cell>
          <cell r="R2555">
            <v>54686940</v>
          </cell>
          <cell r="S2555">
            <v>0</v>
          </cell>
          <cell r="T2555">
            <v>0</v>
          </cell>
          <cell r="U2555">
            <v>54686940</v>
          </cell>
          <cell r="V2555">
            <v>54686940</v>
          </cell>
        </row>
        <row r="2556">
          <cell r="J2556">
            <v>2172</v>
          </cell>
          <cell r="K2556">
            <v>43277</v>
          </cell>
          <cell r="L2556" t="str">
            <v>SIXTA ROGELIA PINILLA DE RODRIGUEZ</v>
          </cell>
          <cell r="M2556">
            <v>31</v>
          </cell>
          <cell r="N2556" t="str">
            <v>RESOLUCION</v>
          </cell>
          <cell r="O2556">
            <v>2560</v>
          </cell>
          <cell r="P2556">
            <v>43277</v>
          </cell>
          <cell r="Q2556" t="str">
            <v>AYUDA TEMPORAL A LAS FAMILIAS DE VARIAS LOCALIDADES, PARA LA RELOCALIZACIÓN DE HOGARES LOCALIZADOS EN ZONAS DE ALTO RIESGO NO MITIGABLE ID:2006-19-8097, LOCALIDAD:19 CIUDAD BOLÍVAR, UPZ:67 LUCERO, SECTOR:LIMAS</v>
          </cell>
          <cell r="R2556">
            <v>3337495</v>
          </cell>
          <cell r="S2556">
            <v>0</v>
          </cell>
          <cell r="T2556">
            <v>0</v>
          </cell>
          <cell r="U2556">
            <v>3337495</v>
          </cell>
          <cell r="V2556">
            <v>953570</v>
          </cell>
        </row>
        <row r="2557">
          <cell r="J2557">
            <v>2173</v>
          </cell>
          <cell r="K2557">
            <v>43277</v>
          </cell>
          <cell r="L2557" t="str">
            <v>LUZ DARY MEZA MEDINA</v>
          </cell>
          <cell r="M2557">
            <v>31</v>
          </cell>
          <cell r="N2557" t="str">
            <v>RESOLUCION</v>
          </cell>
          <cell r="O2557">
            <v>2527</v>
          </cell>
          <cell r="P2557">
            <v>43277</v>
          </cell>
          <cell r="Q2557" t="str">
            <v>AYUDA TEMPORAL A LAS FAMILIAS DE VARIAS LOCALIDADES, PARA LA RELOCALIZACIÓN DE HOGARES LOCALIZADOS EN ZONAS DE ALTO RIESGO NO MITIGABLE ID:2011-4-12677, LOCALIDAD:04 SAN CRISTÓBAL, UPZ:32 SAN BLAS</v>
          </cell>
          <cell r="R2557">
            <v>3098410</v>
          </cell>
          <cell r="S2557">
            <v>0</v>
          </cell>
          <cell r="T2557">
            <v>0</v>
          </cell>
          <cell r="U2557">
            <v>3098410</v>
          </cell>
          <cell r="V2557">
            <v>885260</v>
          </cell>
        </row>
        <row r="2558">
          <cell r="J2558">
            <v>2174</v>
          </cell>
          <cell r="K2558">
            <v>43277</v>
          </cell>
          <cell r="L2558" t="str">
            <v>ALEXANDER JOAQUIN RODRIGUEZ LOPEZ</v>
          </cell>
          <cell r="M2558">
            <v>31</v>
          </cell>
          <cell r="N2558" t="str">
            <v>RESOLUCION</v>
          </cell>
          <cell r="O2558">
            <v>2559</v>
          </cell>
          <cell r="P2558">
            <v>43277</v>
          </cell>
          <cell r="Q2558" t="str">
            <v>AYUDA TEMPORAL A LAS FAMILIAS DE VARIAS LOCALIDADES, PARA LA RELOCALIZACIÓN DE HOGARES LOCALIZADOS EN ZONAS DE ALTO RIESGO NO MITIGABLE ID:2014-Q03-01109, LOCALIDAD:19 CIUDAD BOLÍVAR, UPZ:66 SAN FRANCISCO, SECTOR:LIMAS</v>
          </cell>
          <cell r="R2558">
            <v>3157315</v>
          </cell>
          <cell r="S2558">
            <v>0</v>
          </cell>
          <cell r="T2558">
            <v>0</v>
          </cell>
          <cell r="U2558">
            <v>3157315</v>
          </cell>
          <cell r="V2558">
            <v>902090</v>
          </cell>
        </row>
        <row r="2559">
          <cell r="J2559">
            <v>2175</v>
          </cell>
          <cell r="K2559">
            <v>43277</v>
          </cell>
          <cell r="L2559" t="str">
            <v>MIGUEL ANGEL BELTRAN CASTRO</v>
          </cell>
          <cell r="M2559">
            <v>31</v>
          </cell>
          <cell r="N2559" t="str">
            <v>RESOLUCION</v>
          </cell>
          <cell r="O2559">
            <v>2558</v>
          </cell>
          <cell r="P2559">
            <v>43277</v>
          </cell>
          <cell r="Q2559" t="str">
            <v>AYUDA TEMPORAL A LAS FAMILIAS DE VARIAS LOCALIDADES, PARA LA RELOCALIZACIÓN DE HOGARES LOCALIZADOS EN ZONAS DE ALTO RIESGO NO MITIGABLE ID:2014-OTR-01026, LOCALIDAD:19 CIUDAD BOLÍVAR, UPZ:67 LUCERO, SECTOR:TABOR ALTALOMA</v>
          </cell>
          <cell r="R2559">
            <v>3157315</v>
          </cell>
          <cell r="S2559">
            <v>0</v>
          </cell>
          <cell r="T2559">
            <v>0</v>
          </cell>
          <cell r="U2559">
            <v>3157315</v>
          </cell>
          <cell r="V2559">
            <v>902090</v>
          </cell>
        </row>
        <row r="2560">
          <cell r="J2560">
            <v>2176</v>
          </cell>
          <cell r="K2560">
            <v>43277</v>
          </cell>
          <cell r="L2560" t="str">
            <v>GUILLERMO  DIAZ PEREA</v>
          </cell>
          <cell r="M2560">
            <v>31</v>
          </cell>
          <cell r="N2560" t="str">
            <v>RESOLUCION</v>
          </cell>
          <cell r="O2560">
            <v>2526</v>
          </cell>
          <cell r="P2560">
            <v>43277</v>
          </cell>
          <cell r="Q2560" t="str">
            <v>AYUDA TEMPORAL A LAS FAMILIAS DE VARIAS LOCALIDADES, PARA LA RELOCALIZACIÓN DE HOGARES LOCALIZADOS EN ZONAS DE ALTO RIESGO NO MITIGABLE ID:2011-4-12693, LOCALIDAD:04 SAN CRISTÓBAL, UPZ:32 SAN BLAS</v>
          </cell>
          <cell r="R2560">
            <v>2886919</v>
          </cell>
          <cell r="S2560">
            <v>0</v>
          </cell>
          <cell r="T2560">
            <v>0</v>
          </cell>
          <cell r="U2560">
            <v>2886919</v>
          </cell>
          <cell r="V2560">
            <v>824834</v>
          </cell>
        </row>
        <row r="2561">
          <cell r="J2561">
            <v>2177</v>
          </cell>
          <cell r="K2561">
            <v>43277</v>
          </cell>
          <cell r="L2561" t="str">
            <v>OFELIA  MARTINEZ DE GUTIERREZ</v>
          </cell>
          <cell r="M2561">
            <v>31</v>
          </cell>
          <cell r="N2561" t="str">
            <v>RESOLUCION</v>
          </cell>
          <cell r="O2561">
            <v>2557</v>
          </cell>
          <cell r="P2561">
            <v>43277</v>
          </cell>
          <cell r="Q2561" t="str">
            <v>AYUDA TEMPORAL A LAS FAMILIAS DE VARIAS LOCALIDADES, PARA LA RELOCALIZACIÓN DE HOGARES LOCALIZADOS EN ZONAS DE ALTO RIESGO NO MITIGABLE ID:2014-LC-00810, LOCALIDAD:19 CIUDAD BOLÍVAR, UPZ:69 ISMAEL PERDOMO</v>
          </cell>
          <cell r="R2561">
            <v>2845920</v>
          </cell>
          <cell r="S2561">
            <v>0</v>
          </cell>
          <cell r="T2561">
            <v>0</v>
          </cell>
          <cell r="U2561">
            <v>2845920</v>
          </cell>
          <cell r="V2561">
            <v>813120</v>
          </cell>
        </row>
        <row r="2562">
          <cell r="J2562">
            <v>2178</v>
          </cell>
          <cell r="K2562">
            <v>43277</v>
          </cell>
          <cell r="L2562" t="str">
            <v>MARIA ELVIA CHIVATA IBAGUE</v>
          </cell>
          <cell r="M2562">
            <v>31</v>
          </cell>
          <cell r="N2562" t="str">
            <v>RESOLUCION</v>
          </cell>
          <cell r="O2562">
            <v>2556</v>
          </cell>
          <cell r="P2562">
            <v>43277</v>
          </cell>
          <cell r="Q2562" t="str">
            <v>AYUDA TEMPORAL A LAS FAMILIAS DE VARIAS LOCALIDADES, PARA LA RELOCALIZACIÓN DE HOGARES LOCALIZADOS EN ZONAS DE ALTO RIESGO NO MITIGABLE ID:2014-OTR-01048, LOCALIDAD:19 CIUDAD BOLÍVAR, UPZ:67 LUCERO, SECTOR:TABOR ALTALOMA</v>
          </cell>
          <cell r="R2562">
            <v>3157315</v>
          </cell>
          <cell r="S2562">
            <v>0</v>
          </cell>
          <cell r="T2562">
            <v>0</v>
          </cell>
          <cell r="U2562">
            <v>3157315</v>
          </cell>
          <cell r="V2562">
            <v>902090</v>
          </cell>
        </row>
        <row r="2563">
          <cell r="J2563">
            <v>2179</v>
          </cell>
          <cell r="K2563">
            <v>43277</v>
          </cell>
          <cell r="L2563" t="str">
            <v>GRECIA SUSANA SANCHEZ DAJOME</v>
          </cell>
          <cell r="M2563">
            <v>31</v>
          </cell>
          <cell r="N2563" t="str">
            <v>RESOLUCION</v>
          </cell>
          <cell r="O2563">
            <v>2525</v>
          </cell>
          <cell r="P2563">
            <v>43277</v>
          </cell>
          <cell r="Q2563" t="str">
            <v>AYUDA TEMPORAL A LAS FAMILIAS DE VARIAS LOCALIDADES, PARA LA RELOCALIZACIÓN DE HOGARES LOCALIZADOS EN ZONAS DE ALTO RIESGO NO MITIGABLE ID:2016-08-14818, LOCALIDAD:08 KENNEDY, UPZ:82 PATIO BONITO, SECTOR:PALMITAS</v>
          </cell>
          <cell r="R2563">
            <v>2744310</v>
          </cell>
          <cell r="S2563">
            <v>0</v>
          </cell>
          <cell r="T2563">
            <v>0</v>
          </cell>
          <cell r="U2563">
            <v>2744310</v>
          </cell>
          <cell r="V2563">
            <v>914770</v>
          </cell>
        </row>
        <row r="2564">
          <cell r="J2564">
            <v>2180</v>
          </cell>
          <cell r="K2564">
            <v>43277</v>
          </cell>
          <cell r="L2564" t="str">
            <v>JUAN CARLOS RODRIGUEZ RIOS</v>
          </cell>
          <cell r="M2564">
            <v>31</v>
          </cell>
          <cell r="N2564" t="str">
            <v>RESOLUCION</v>
          </cell>
          <cell r="O2564">
            <v>2555</v>
          </cell>
          <cell r="P2564">
            <v>43277</v>
          </cell>
          <cell r="Q2564" t="str">
            <v>AYUDA TEMPORAL A LAS FAMILIAS DE VARIAS LOCALIDADES, PARA LA RELOCALIZACIÓN DE HOGARES LOCALIZADOS EN ZONAS DE ALTO RIESGO NO MITIGABLE ID:2014-OTR-00858, LOCALIDAD:04 SAN CRISTÓBAL, UPZ:32 SAN BLAS</v>
          </cell>
          <cell r="R2564">
            <v>2723490</v>
          </cell>
          <cell r="S2564">
            <v>0</v>
          </cell>
          <cell r="T2564">
            <v>0</v>
          </cell>
          <cell r="U2564">
            <v>2723490</v>
          </cell>
          <cell r="V2564">
            <v>778140</v>
          </cell>
        </row>
        <row r="2565">
          <cell r="J2565">
            <v>2181</v>
          </cell>
          <cell r="K2565">
            <v>43277</v>
          </cell>
          <cell r="L2565" t="str">
            <v>MERCEDES  CHAPARRO</v>
          </cell>
          <cell r="M2565">
            <v>31</v>
          </cell>
          <cell r="N2565" t="str">
            <v>RESOLUCION</v>
          </cell>
          <cell r="O2565">
            <v>2554</v>
          </cell>
          <cell r="P2565">
            <v>43277</v>
          </cell>
          <cell r="Q2565" t="str">
            <v>AYUDA TEMPORAL A LAS FAMILIAS DE VARIAS LOCALIDADES, PARA LA RELOCALIZACIÓN DE HOGARES LOCALIZADOS EN ZONAS DE ALTO RIESGO NO MITIGABLE ID:2013-Q10-00520, LOCALIDAD:04 SAN CRISTÓBAL, UPZ:51 LOS LIBERTADORES, SECTOR:QUEBRADA VEREJONES</v>
          </cell>
          <cell r="R2565">
            <v>2685291</v>
          </cell>
          <cell r="S2565">
            <v>2685291</v>
          </cell>
          <cell r="T2565">
            <v>0</v>
          </cell>
          <cell r="U2565">
            <v>0</v>
          </cell>
          <cell r="V2565">
            <v>0</v>
          </cell>
        </row>
        <row r="2566">
          <cell r="J2566">
            <v>2182</v>
          </cell>
          <cell r="K2566">
            <v>43277</v>
          </cell>
          <cell r="L2566" t="str">
            <v>MARIA BELLANITH MAYOR PEDRAZA</v>
          </cell>
          <cell r="M2566">
            <v>31</v>
          </cell>
          <cell r="N2566" t="str">
            <v>RESOLUCION</v>
          </cell>
          <cell r="O2566">
            <v>2523</v>
          </cell>
          <cell r="P2566">
            <v>43246</v>
          </cell>
          <cell r="Q2566" t="str">
            <v>AYUDA TEMPORAL A LAS FAMILIAS DE VARIAS LOCALIDADES, PARA LA RELOCALIZACIÓN DE HOGARES LOCALIZADOS EN ZONAS DE ALTO RIESGO NO MITIGABLE ID:2011-4-12688, LOCALIDAD:04 SAN CRISTÓBAL, UPZ:32 SAN BLAS</v>
          </cell>
          <cell r="R2566">
            <v>3459890</v>
          </cell>
          <cell r="S2566">
            <v>0</v>
          </cell>
          <cell r="T2566">
            <v>0</v>
          </cell>
          <cell r="U2566">
            <v>3459890</v>
          </cell>
          <cell r="V2566">
            <v>988540</v>
          </cell>
        </row>
        <row r="2567">
          <cell r="J2567">
            <v>2183</v>
          </cell>
          <cell r="K2567">
            <v>43277</v>
          </cell>
          <cell r="L2567" t="str">
            <v>ANDRES  TURRIAGO FORERO</v>
          </cell>
          <cell r="M2567">
            <v>31</v>
          </cell>
          <cell r="N2567" t="str">
            <v>RESOLUCION</v>
          </cell>
          <cell r="O2567">
            <v>2524</v>
          </cell>
          <cell r="P2567">
            <v>43277</v>
          </cell>
          <cell r="Q2567" t="str">
            <v>AYUDA TEMPORAL A LAS FAMILIAS DE VARIAS LOCALIDADES, PARA LA RELOCALIZACIÓN DE HOGARES LOCALIZADOS EN ZONAS DE ALTO RIESGO NO MITIGABLE ID:2012-T314-07, LOCALIDAD:04 SAN CRISTÓBAL, UPZ:50 LA GLORIA</v>
          </cell>
          <cell r="R2567">
            <v>2841279</v>
          </cell>
          <cell r="S2567">
            <v>0</v>
          </cell>
          <cell r="T2567">
            <v>0</v>
          </cell>
          <cell r="U2567">
            <v>2841279</v>
          </cell>
          <cell r="V2567">
            <v>811794</v>
          </cell>
        </row>
        <row r="2568">
          <cell r="J2568">
            <v>2184</v>
          </cell>
          <cell r="K2568">
            <v>43277</v>
          </cell>
          <cell r="L2568" t="str">
            <v>YOLANDA  VELASQUEZ SIERRA</v>
          </cell>
          <cell r="M2568">
            <v>31</v>
          </cell>
          <cell r="N2568" t="str">
            <v>RESOLUCION</v>
          </cell>
          <cell r="O2568">
            <v>2553</v>
          </cell>
          <cell r="P2568">
            <v>43277</v>
          </cell>
          <cell r="Q2568" t="str">
            <v>AYUDA TEMPORAL A LAS FAMILIAS DE VARIAS LOCALIDADES, PARA LA RELOCALIZACIÓN DE HOGARES LOCALIZADOS EN ZONAS DE ALTO RIESGO NO MITIGABLE ID:2013-Q21-00478, LOCALIDAD:19 CIUDAD BOLÍVAR, UPZ:67 LUCERO, SECTOR:BRAZO DERECHO DE LIMAS</v>
          </cell>
          <cell r="R2568">
            <v>2582006</v>
          </cell>
          <cell r="S2568">
            <v>0</v>
          </cell>
          <cell r="T2568">
            <v>0</v>
          </cell>
          <cell r="U2568">
            <v>2582006</v>
          </cell>
          <cell r="V2568">
            <v>737716</v>
          </cell>
        </row>
        <row r="2569">
          <cell r="J2569">
            <v>2185</v>
          </cell>
          <cell r="K2569">
            <v>43277</v>
          </cell>
          <cell r="L2569" t="str">
            <v>ORLANDO  AGUIRRE GARCIA</v>
          </cell>
          <cell r="M2569">
            <v>31</v>
          </cell>
          <cell r="N2569" t="str">
            <v>RESOLUCION</v>
          </cell>
          <cell r="O2569">
            <v>2522</v>
          </cell>
          <cell r="P2569">
            <v>43277</v>
          </cell>
          <cell r="Q2569" t="str">
            <v>AYUDA TEMPORAL A LAS FAMILIAS DE VARIAS LOCALIDADES, PARA LA RELOCALIZACIÓN DE HOGARES LOCALIZADOS EN ZONAS DE ALTO RIESGO NO MITIGABLE ID:2012-T314-20, LOCALIDAD:04 SAN CRISTÓBAL, UPZ:50 LA GLORIA</v>
          </cell>
          <cell r="R2569">
            <v>2943493</v>
          </cell>
          <cell r="S2569">
            <v>0</v>
          </cell>
          <cell r="T2569">
            <v>0</v>
          </cell>
          <cell r="U2569">
            <v>2943493</v>
          </cell>
          <cell r="V2569">
            <v>840998</v>
          </cell>
        </row>
        <row r="2570">
          <cell r="J2570">
            <v>2186</v>
          </cell>
          <cell r="K2570">
            <v>43277</v>
          </cell>
          <cell r="L2570" t="str">
            <v>MARLENY  GARCIA VILLEGAS</v>
          </cell>
          <cell r="M2570">
            <v>31</v>
          </cell>
          <cell r="N2570" t="str">
            <v>RESOLUCION</v>
          </cell>
          <cell r="O2570">
            <v>2552</v>
          </cell>
          <cell r="P2570">
            <v>43277</v>
          </cell>
          <cell r="Q2570" t="str">
            <v>AYUDA TEMPORAL A LAS FAMILIAS DE VARIAS LOCALIDADES, PARA LA RELOCALIZACIÓN DE HOGARES LOCALIZADOS EN ZONAS DE ALTO RIESGO NO MITIGABLE ID:2012-ALES-396, LOCALIDAD:19 CIUDAD BOLÍVAR, UPZ:69 ISMAEL PERDOMO, SECTOR:ALTOS DE LA ESTANCIA</v>
          </cell>
          <cell r="R2570">
            <v>3157000</v>
          </cell>
          <cell r="S2570">
            <v>0</v>
          </cell>
          <cell r="T2570">
            <v>0</v>
          </cell>
          <cell r="U2570">
            <v>3157000</v>
          </cell>
          <cell r="V2570">
            <v>902000</v>
          </cell>
        </row>
        <row r="2571">
          <cell r="J2571">
            <v>2187</v>
          </cell>
          <cell r="K2571">
            <v>43277</v>
          </cell>
          <cell r="L2571" t="str">
            <v>MARIA ANGELICA QUIÑONEZ MOLANO</v>
          </cell>
          <cell r="M2571">
            <v>31</v>
          </cell>
          <cell r="N2571" t="str">
            <v>RESOLUCION</v>
          </cell>
          <cell r="O2571">
            <v>2521</v>
          </cell>
          <cell r="P2571">
            <v>43277</v>
          </cell>
          <cell r="Q2571" t="str">
            <v>AYUDA TEMPORAL A LAS FAMILIAS DE VARIAS LOCALIDADES, PARA RELOCALIZACIÓN DE HOGARES LOCALIZADOS EN ZONAS DE ALTO RIESGO NO MITIGABLE ID:2013000294, LOCALIDAD:19 CIUDAD BOLÍVAR, UPZ:67 LUCERO, SECTOR:QUEBRADA TROMPETA</v>
          </cell>
          <cell r="R2571">
            <v>3157315</v>
          </cell>
          <cell r="S2571">
            <v>0</v>
          </cell>
          <cell r="T2571">
            <v>0</v>
          </cell>
          <cell r="U2571">
            <v>3157315</v>
          </cell>
          <cell r="V2571">
            <v>902090</v>
          </cell>
        </row>
        <row r="2572">
          <cell r="J2572">
            <v>2188</v>
          </cell>
          <cell r="K2572">
            <v>43277</v>
          </cell>
          <cell r="L2572" t="str">
            <v>AGRIPINA IMELDA ROBLES VIUDA DE TINJACA</v>
          </cell>
          <cell r="M2572">
            <v>31</v>
          </cell>
          <cell r="N2572" t="str">
            <v>RESOLUCION</v>
          </cell>
          <cell r="O2572">
            <v>2551</v>
          </cell>
          <cell r="P2572">
            <v>43277</v>
          </cell>
          <cell r="Q2572" t="str">
            <v>AYUDA TEMPORAL A LAS FAMILIAS DE VARIAS LOCALIDADES, PARA LA RELOCALIZACIÓN DE HOGARES LOCALIZADOS EN ZONAS DE ALTO RIESGO NO MITIGABLE ID:2013-Q04-00283, LOCALIDAD:19 CIUDAD BOLÍVAR, UPZ:67 LUCERO, SECTOR:PEÑA COLORADA</v>
          </cell>
          <cell r="R2572">
            <v>3017000</v>
          </cell>
          <cell r="S2572">
            <v>0</v>
          </cell>
          <cell r="T2572">
            <v>0</v>
          </cell>
          <cell r="U2572">
            <v>3017000</v>
          </cell>
          <cell r="V2572">
            <v>862000</v>
          </cell>
        </row>
        <row r="2573">
          <cell r="J2573">
            <v>2189</v>
          </cell>
          <cell r="K2573">
            <v>43277</v>
          </cell>
          <cell r="L2573" t="str">
            <v>MARIA ELENA NIEVES MARTINEZ TOVAR</v>
          </cell>
          <cell r="M2573">
            <v>31</v>
          </cell>
          <cell r="N2573" t="str">
            <v>RESOLUCION</v>
          </cell>
          <cell r="O2573">
            <v>2550</v>
          </cell>
          <cell r="P2573">
            <v>43277</v>
          </cell>
          <cell r="Q2573" t="str">
            <v>AYUDA TEMPORAL A LAS FAMILIAS DE VARIAS LOCALIDADES, PARA LA RELOCALIZACIÓN DE HOGARES LOCALIZADOS EN ZONAS DE ALTO RIESGO NO MITIGABLE ID:2010-19-11687, LOCALIDAD:19 CIUDAD BOLÍVAR, UPZ:69 ISMAEL PERDOMO, SECTOR:OLA INVERNAL 2010 FOPAE</v>
          </cell>
          <cell r="R2573">
            <v>2751665</v>
          </cell>
          <cell r="S2573">
            <v>0</v>
          </cell>
          <cell r="T2573">
            <v>0</v>
          </cell>
          <cell r="U2573">
            <v>2751665</v>
          </cell>
          <cell r="V2573">
            <v>786190</v>
          </cell>
        </row>
        <row r="2574">
          <cell r="J2574">
            <v>2190</v>
          </cell>
          <cell r="K2574">
            <v>43277</v>
          </cell>
          <cell r="L2574" t="str">
            <v>ARQUIMEDES  VEGA ANZOLA</v>
          </cell>
          <cell r="M2574">
            <v>31</v>
          </cell>
          <cell r="N2574" t="str">
            <v>RESOLUCION</v>
          </cell>
          <cell r="O2574">
            <v>2520</v>
          </cell>
          <cell r="P2574">
            <v>43277</v>
          </cell>
          <cell r="Q2574" t="str">
            <v>AYUDA TEMPORAL A LAS FAMILIAS DE VARIAS LOCALIDADES, PARA LA RELOCALIZACIÓN DE HOGARES LOCALIZADOS EN ZONAS DE ALTO RIESGO NO MITIGABLE ID:2015-D227-00001, LOCALIDAD:04 SAN CRISTÓBAL, UPZ:51 LOS LIBERTADORES, SECTOR:SANTA TERESITA</v>
          </cell>
          <cell r="R2574">
            <v>2886653</v>
          </cell>
          <cell r="S2574">
            <v>0</v>
          </cell>
          <cell r="T2574">
            <v>0</v>
          </cell>
          <cell r="U2574">
            <v>2886653</v>
          </cell>
          <cell r="V2574">
            <v>824758</v>
          </cell>
        </row>
        <row r="2575">
          <cell r="J2575">
            <v>2191</v>
          </cell>
          <cell r="K2575">
            <v>43277</v>
          </cell>
          <cell r="L2575" t="str">
            <v>LINA MARIA RIAZA CANO</v>
          </cell>
          <cell r="M2575">
            <v>31</v>
          </cell>
          <cell r="N2575" t="str">
            <v>RESOLUCION</v>
          </cell>
          <cell r="O2575">
            <v>2549</v>
          </cell>
          <cell r="P2575">
            <v>43277</v>
          </cell>
          <cell r="Q2575" t="str">
            <v>AYUDA TEMPORAL A LAS FAMILIAS DE VARIAS LOCALIDADES, PARA LA RELOCALIZACIÓN DE HOGARES LOCALIZADOS EN ZONAS DE ALTO RIESGO NO MITIGABLE ID:2011-18-12426, LOCALIDAD:18 RAFAEL URIBE URIBE, UPZ:55 DIANA TURBAY, SECTOR:OLA INVERNAL 2010 FOPAE</v>
          </cell>
          <cell r="R2575">
            <v>3374280</v>
          </cell>
          <cell r="S2575">
            <v>0</v>
          </cell>
          <cell r="T2575">
            <v>0</v>
          </cell>
          <cell r="U2575">
            <v>3374280</v>
          </cell>
          <cell r="V2575">
            <v>964080</v>
          </cell>
        </row>
        <row r="2576">
          <cell r="J2576">
            <v>2192</v>
          </cell>
          <cell r="K2576">
            <v>43277</v>
          </cell>
          <cell r="L2576" t="str">
            <v>LADY ALEJANDRA BULLA MARTINEZ</v>
          </cell>
          <cell r="M2576">
            <v>31</v>
          </cell>
          <cell r="N2576" t="str">
            <v>RESOLUCION</v>
          </cell>
          <cell r="O2576">
            <v>2519</v>
          </cell>
          <cell r="P2576">
            <v>43277</v>
          </cell>
          <cell r="Q2576" t="str">
            <v>AYUDA TEMPORAL A LAS FAMILIAS DE VARIAS LOCALIDADES, PARA LA RELOCALIZACIÓN DE HOGARES LOCALIZADOS EN ZONAS DE ALTO RIESGO NO MITIGABLE ID:2014-OTR-00985, LOCALIDAD:03 SANTA FE, UPZ:96 LOURDES, SECTOR:CASA 1</v>
          </cell>
          <cell r="R2576">
            <v>3098410</v>
          </cell>
          <cell r="S2576">
            <v>0</v>
          </cell>
          <cell r="T2576">
            <v>0</v>
          </cell>
          <cell r="U2576">
            <v>3098410</v>
          </cell>
          <cell r="V2576">
            <v>885260</v>
          </cell>
        </row>
        <row r="2577">
          <cell r="J2577">
            <v>2193</v>
          </cell>
          <cell r="K2577">
            <v>43277</v>
          </cell>
          <cell r="L2577" t="str">
            <v>ROSA AIDE OSORIO SOTO</v>
          </cell>
          <cell r="M2577">
            <v>31</v>
          </cell>
          <cell r="N2577" t="str">
            <v>RESOLUCION</v>
          </cell>
          <cell r="O2577">
            <v>2548</v>
          </cell>
          <cell r="P2577">
            <v>43277</v>
          </cell>
          <cell r="Q2577" t="str">
            <v>AYUDA TEMPORAL A LAS FAMILIAS DE VARIAS LOCALIDADES, PARA LA RELOCALIZACIÓN DE HOGARES LOCALIZADOS EN ZONAS DE ALTO RIESGO NO MITIGABLE ID:2011-4-12638, LOCALIDAD:04 SAN CRISTÓBAL, UPZ:32 SAN BLAS</v>
          </cell>
          <cell r="R2577">
            <v>2582006</v>
          </cell>
          <cell r="S2577">
            <v>0</v>
          </cell>
          <cell r="T2577">
            <v>0</v>
          </cell>
          <cell r="U2577">
            <v>2582006</v>
          </cell>
          <cell r="V2577">
            <v>737716</v>
          </cell>
        </row>
        <row r="2578">
          <cell r="J2578">
            <v>2194</v>
          </cell>
          <cell r="K2578">
            <v>43277</v>
          </cell>
          <cell r="L2578" t="str">
            <v>ELISABETH  MENESES RODRIGUEZ</v>
          </cell>
          <cell r="M2578">
            <v>31</v>
          </cell>
          <cell r="N2578" t="str">
            <v>RESOLUCION</v>
          </cell>
          <cell r="O2578">
            <v>2505</v>
          </cell>
          <cell r="P2578">
            <v>43277</v>
          </cell>
          <cell r="Q2578" t="str">
            <v>AYUDA TEMPORAL A LAS FAMILIAS DE VARIAS LOCALIDADES, PARA LA RELOCALIZACIÓN DE HOGARES LOCALIZADOS EN ZONAS DE ALTO RIESGO NO MITIGABLE ID:2011-4-12690, LOCALIDAD:04 SAN CRISTÓBAL, UPZ:32 SAN BLAS</v>
          </cell>
          <cell r="R2578">
            <v>3022327</v>
          </cell>
          <cell r="S2578">
            <v>0</v>
          </cell>
          <cell r="T2578">
            <v>0</v>
          </cell>
          <cell r="U2578">
            <v>3022327</v>
          </cell>
          <cell r="V2578">
            <v>863522</v>
          </cell>
        </row>
        <row r="2579">
          <cell r="J2579">
            <v>2195</v>
          </cell>
          <cell r="K2579">
            <v>43277</v>
          </cell>
          <cell r="L2579" t="str">
            <v>CLAUDIA MARCELA RUBIO MANCIPE</v>
          </cell>
          <cell r="M2579">
            <v>31</v>
          </cell>
          <cell r="N2579" t="str">
            <v>RESOLUCION</v>
          </cell>
          <cell r="O2579">
            <v>2518</v>
          </cell>
          <cell r="P2579">
            <v>43277</v>
          </cell>
          <cell r="Q2579" t="str">
            <v>AYUDA TEMPORAL A LAS FAMILIAS DE VARIAS LOCALIDADES, PARA LA RELOCALIZACIÓN DE HOGARES LOCALIZADOS EN ZONAS DE ALTO RIESGO NO MITIGABLE ID:2015-19-14753, LOCALIDAD:19 CIUDAD BOLÍVAR, UPZ:67 LUCERO</v>
          </cell>
          <cell r="R2579">
            <v>3318945</v>
          </cell>
          <cell r="S2579">
            <v>0</v>
          </cell>
          <cell r="T2579">
            <v>0</v>
          </cell>
          <cell r="U2579">
            <v>3318945</v>
          </cell>
          <cell r="V2579">
            <v>948270</v>
          </cell>
        </row>
        <row r="2580">
          <cell r="J2580">
            <v>2196</v>
          </cell>
          <cell r="K2580">
            <v>43277</v>
          </cell>
          <cell r="L2580" t="str">
            <v>MARLENY  MARTINEZ MARTINEZ</v>
          </cell>
          <cell r="M2580">
            <v>31</v>
          </cell>
          <cell r="N2580" t="str">
            <v>RESOLUCION</v>
          </cell>
          <cell r="O2580">
            <v>2547</v>
          </cell>
          <cell r="P2580">
            <v>43277</v>
          </cell>
          <cell r="Q2580" t="str">
            <v>AYUDA TEMPORAL A LAS FAMILIAS DE VARIAS LOCALIDADES, PARA LA RELOCALIZACIÓN DE HOGARES LOCALIZADOS EN ZONAS DE ALTO RIESGO NO MITIGABLE ID:2011-19-12731, LOCALIDAD:19 CIUDAD BOLÍVAR, UPZ:67 LUCERO, SECTOR:OLA INVERNAL 2010 FOPAE</v>
          </cell>
          <cell r="R2580">
            <v>2685291</v>
          </cell>
          <cell r="S2580">
            <v>0</v>
          </cell>
          <cell r="T2580">
            <v>0</v>
          </cell>
          <cell r="U2580">
            <v>2685291</v>
          </cell>
          <cell r="V2580">
            <v>767226</v>
          </cell>
        </row>
        <row r="2581">
          <cell r="J2581">
            <v>2197</v>
          </cell>
          <cell r="K2581">
            <v>43277</v>
          </cell>
          <cell r="L2581" t="str">
            <v>RUBIELA  SANCHEZ</v>
          </cell>
          <cell r="M2581">
            <v>31</v>
          </cell>
          <cell r="N2581" t="str">
            <v>RESOLUCION</v>
          </cell>
          <cell r="O2581">
            <v>2504</v>
          </cell>
          <cell r="P2581">
            <v>43277</v>
          </cell>
          <cell r="Q2581" t="str">
            <v>AYUDA TEMPORAL A LAS FAMILIAS DE VARIAS LOCALIDADES, PARA LA RELOCALIZACIÓN DE HOGARES LOCALIZADOS EN ZONAS DE ALTO RIESGO NO MITIGABLE ID:2011-4-12706, LOCALIDAD:04 SAN CRISTÓBAL, UPZ:32 SAN BLAS</v>
          </cell>
          <cell r="R2581">
            <v>3022327</v>
          </cell>
          <cell r="S2581">
            <v>0</v>
          </cell>
          <cell r="T2581">
            <v>0</v>
          </cell>
          <cell r="U2581">
            <v>3022327</v>
          </cell>
          <cell r="V2581">
            <v>863522</v>
          </cell>
        </row>
        <row r="2582">
          <cell r="J2582">
            <v>2198</v>
          </cell>
          <cell r="K2582">
            <v>43277</v>
          </cell>
          <cell r="L2582" t="str">
            <v>LUZ MARINA ADAN</v>
          </cell>
          <cell r="M2582">
            <v>31</v>
          </cell>
          <cell r="N2582" t="str">
            <v>RESOLUCION</v>
          </cell>
          <cell r="O2582">
            <v>2517</v>
          </cell>
          <cell r="P2582">
            <v>43277</v>
          </cell>
          <cell r="Q2582" t="str">
            <v>AYUDA TEMPORAL A LAS FAMILIAS DE VARIAS LOCALIDADES, PARA LA RELOCALIZACIÓN DE HOGARES LOCALIZADOS EN ZONAS DE ALTO RIESGO NO MITIGABLE ID:2014-OTR-00869, LOCALIDAD:03 SANTA FE, UPZ:96 LOURDES, SECTOR:CASA 1</v>
          </cell>
          <cell r="R2582">
            <v>2975525</v>
          </cell>
          <cell r="S2582">
            <v>0</v>
          </cell>
          <cell r="T2582">
            <v>0</v>
          </cell>
          <cell r="U2582">
            <v>2975525</v>
          </cell>
          <cell r="V2582">
            <v>850150</v>
          </cell>
        </row>
        <row r="2583">
          <cell r="J2583">
            <v>2199</v>
          </cell>
          <cell r="K2583">
            <v>43277</v>
          </cell>
          <cell r="L2583" t="str">
            <v>ESTHER JULIA SALAZAR RAMOS</v>
          </cell>
          <cell r="M2583">
            <v>31</v>
          </cell>
          <cell r="N2583" t="str">
            <v>RESOLUCION</v>
          </cell>
          <cell r="O2583">
            <v>2546</v>
          </cell>
          <cell r="P2583">
            <v>43277</v>
          </cell>
          <cell r="Q2583" t="str">
            <v>AYUDA TEMPORAL A LAS FAMILIAS DE VARIAS LOCALIDADES, PARA LA RELOCALIZACIÓN DE HOGARES LOCALIZADOS EN ZONAS DE ALTO RIESGO NO MITIGABLE ID:2011-19-12418, LOCALIDAD:19 CIUDAD BOLÍVAR, UPZ:68 EL TESORO</v>
          </cell>
          <cell r="R2583">
            <v>2919000</v>
          </cell>
          <cell r="S2583">
            <v>0</v>
          </cell>
          <cell r="T2583">
            <v>0</v>
          </cell>
          <cell r="U2583">
            <v>2919000</v>
          </cell>
          <cell r="V2583">
            <v>834000</v>
          </cell>
        </row>
        <row r="2584">
          <cell r="J2584">
            <v>2200</v>
          </cell>
          <cell r="K2584">
            <v>43277</v>
          </cell>
          <cell r="L2584" t="str">
            <v>MIGUEL  PARRA BERNAL</v>
          </cell>
          <cell r="M2584">
            <v>31</v>
          </cell>
          <cell r="N2584" t="str">
            <v>RESOLUCION</v>
          </cell>
          <cell r="O2584">
            <v>2503</v>
          </cell>
          <cell r="P2584">
            <v>43277</v>
          </cell>
          <cell r="Q2584" t="str">
            <v>AYUDA TEMPORAL A LAS FAMILIAS DE VARIAS LOCALIDADES, PARA LA RELOCALIZACIÓN DE HOGARES LOCALIZADOS EN ZONAS DE ALTO RIESGO NO MITIGABLE ID:2014-Q03-01229, LOCALIDAD:19 CIUDAD BOLÍVAR, UPZ:66 SAN FRANCISCO, SECTOR:LIMAS</v>
          </cell>
          <cell r="R2584">
            <v>3563175</v>
          </cell>
          <cell r="S2584">
            <v>0</v>
          </cell>
          <cell r="T2584">
            <v>0</v>
          </cell>
          <cell r="U2584">
            <v>3563175</v>
          </cell>
          <cell r="V2584">
            <v>1018050</v>
          </cell>
        </row>
        <row r="2585">
          <cell r="J2585">
            <v>2201</v>
          </cell>
          <cell r="K2585">
            <v>43277</v>
          </cell>
          <cell r="L2585" t="str">
            <v>BLANCA LUCILA BELTRAN</v>
          </cell>
          <cell r="M2585">
            <v>31</v>
          </cell>
          <cell r="N2585" t="str">
            <v>RESOLUCION</v>
          </cell>
          <cell r="O2585">
            <v>2502</v>
          </cell>
          <cell r="P2585">
            <v>43277</v>
          </cell>
          <cell r="Q2585" t="str">
            <v>AYUDA TEMPORAL A LAS FAMILIAS DE VARIAS LOCALIDADES, PARA LA RELOCALIZACIÓN DE HOGARES LOCALIZADOS EN ZONAS DE ALTO RIESGO NO MITIGABLE ID:2011-4-12656, LOCALIDAD:04 SAN CRISTÓBAL, UPZ:32 SAN BLAS</v>
          </cell>
          <cell r="R2585">
            <v>3098410</v>
          </cell>
          <cell r="S2585">
            <v>0</v>
          </cell>
          <cell r="T2585">
            <v>0</v>
          </cell>
          <cell r="U2585">
            <v>3098410</v>
          </cell>
          <cell r="V2585">
            <v>885260</v>
          </cell>
        </row>
        <row r="2586">
          <cell r="J2586">
            <v>2202</v>
          </cell>
          <cell r="K2586">
            <v>43277</v>
          </cell>
          <cell r="L2586" t="str">
            <v>ALBERTO  CARDONA</v>
          </cell>
          <cell r="M2586">
            <v>31</v>
          </cell>
          <cell r="N2586" t="str">
            <v>RESOLUCION</v>
          </cell>
          <cell r="O2586">
            <v>2545</v>
          </cell>
          <cell r="P2586">
            <v>43277</v>
          </cell>
          <cell r="Q2586" t="str">
            <v>AYUDA TEMPORAL A LAS FAMILIAS DE VARIAS LOCALIDADES, PARA LA RELOCALIZACIÓN DE HOGARES LOCALIZADOS EN ZONAS DE ALTO RIESGO NO MITIGABLE ID:2007-4-9373, LOCALIDAD:04 SAN CRISTÓBAL, UPZ:32 SAN BLAS</v>
          </cell>
          <cell r="R2586">
            <v>2582006</v>
          </cell>
          <cell r="S2586">
            <v>0</v>
          </cell>
          <cell r="T2586">
            <v>0</v>
          </cell>
          <cell r="U2586">
            <v>2582006</v>
          </cell>
          <cell r="V2586">
            <v>737716</v>
          </cell>
        </row>
        <row r="2587">
          <cell r="J2587">
            <v>2203</v>
          </cell>
          <cell r="K2587">
            <v>43277</v>
          </cell>
          <cell r="L2587" t="str">
            <v>JESUS MARCIAL MAYAG IPUJAN</v>
          </cell>
          <cell r="M2587">
            <v>31</v>
          </cell>
          <cell r="N2587" t="str">
            <v>RESOLUCION</v>
          </cell>
          <cell r="O2587">
            <v>2501</v>
          </cell>
          <cell r="P2587">
            <v>43277</v>
          </cell>
          <cell r="Q2587" t="str">
            <v>AYUDA TEMPORAL A LAS FAMILIAS DE VARIAS LOCALIDADES, PARA LA RELOCALIZACIÓN DE HOGARES LOCALIZADOS EN ZONAS DE ALTO RIESGO NO MITIGABLE ID:2011-4-12637, LOCALIDAD:04 SAN CRISTÓBAL, UPZ:32 SAN BLAS</v>
          </cell>
          <cell r="R2587">
            <v>3111969</v>
          </cell>
          <cell r="S2587">
            <v>0</v>
          </cell>
          <cell r="T2587">
            <v>0</v>
          </cell>
          <cell r="U2587">
            <v>3111969</v>
          </cell>
          <cell r="V2587">
            <v>889134</v>
          </cell>
        </row>
        <row r="2588">
          <cell r="J2588">
            <v>2204</v>
          </cell>
          <cell r="K2588">
            <v>43277</v>
          </cell>
          <cell r="L2588" t="str">
            <v>LUIS HERNANDO VENTURA VIRGUEZ</v>
          </cell>
          <cell r="M2588">
            <v>31</v>
          </cell>
          <cell r="N2588" t="str">
            <v>RESOLUCION</v>
          </cell>
          <cell r="O2588">
            <v>2516</v>
          </cell>
          <cell r="P2588">
            <v>43277</v>
          </cell>
          <cell r="Q2588" t="str">
            <v>AYUDA TEMPORAL A LAS FAMILIAS DE VARIAS LOCALIDADES, PARA LA RELOCALIZACIÓN DE HOGARES LOCALIZADOS EN ZONAS DE ALTO RIESGO NO MITIGABLE ID:2015-ALES-533, LOCALIDAD:19 CIUDAD BOLÍVAR, UPZ:69 ISMAEL PERDOMO, SECTOR:ALTOS DE LA ESTANCIA</v>
          </cell>
          <cell r="R2588">
            <v>3157315</v>
          </cell>
          <cell r="S2588">
            <v>0</v>
          </cell>
          <cell r="T2588">
            <v>0</v>
          </cell>
          <cell r="U2588">
            <v>3157315</v>
          </cell>
          <cell r="V2588">
            <v>902090</v>
          </cell>
        </row>
        <row r="2589">
          <cell r="J2589">
            <v>2205</v>
          </cell>
          <cell r="K2589">
            <v>43277</v>
          </cell>
          <cell r="L2589" t="str">
            <v>MAURICIO  CAMARGO RODRIGUEZ</v>
          </cell>
          <cell r="M2589">
            <v>31</v>
          </cell>
          <cell r="N2589" t="str">
            <v>RESOLUCION</v>
          </cell>
          <cell r="O2589">
            <v>2500</v>
          </cell>
          <cell r="P2589">
            <v>43277</v>
          </cell>
          <cell r="Q2589" t="str">
            <v>AYUDA TEMPORAL A LAS FAMILIAS DE VARIAS LOCALIDADES, PARA LA RELOCALIZACIÓN DE HOGARES LOCALIZADOS EN ZONAS DE ALTO RIESGO NO MITIGABLE ID:2014-OTR-01166, LOCALIDAD:11 SUBA, UPZ:71 TIBABUYES, SECTOR:GAVILANES</v>
          </cell>
          <cell r="R2589">
            <v>3017000</v>
          </cell>
          <cell r="S2589">
            <v>0</v>
          </cell>
          <cell r="T2589">
            <v>0</v>
          </cell>
          <cell r="U2589">
            <v>3017000</v>
          </cell>
          <cell r="V2589">
            <v>862000</v>
          </cell>
        </row>
        <row r="2590">
          <cell r="J2590">
            <v>2206</v>
          </cell>
          <cell r="K2590">
            <v>43277</v>
          </cell>
          <cell r="L2590" t="str">
            <v>MARIA NIBIA HERNANDEZ MUNEVAR</v>
          </cell>
          <cell r="M2590">
            <v>31</v>
          </cell>
          <cell r="N2590" t="str">
            <v>RESOLUCION</v>
          </cell>
          <cell r="O2590">
            <v>2544</v>
          </cell>
          <cell r="P2590">
            <v>43277</v>
          </cell>
          <cell r="Q2590" t="str">
            <v>AYUDA TEMPORAL A LAS FAMILIAS DE VARIAS LOCALIDADES, PARA LA RELOCALIZACIÓN DE HOGARES LOCALIZADOS EN ZONAS DE ALTO RIESGO NO MITIGABLE ID:2011-4-12642, LOCALIDAD:04 SAN CRISTÓBAL, UPZ:32 SAN BLAS</v>
          </cell>
          <cell r="R2590">
            <v>2582006</v>
          </cell>
          <cell r="S2590">
            <v>0</v>
          </cell>
          <cell r="T2590">
            <v>0</v>
          </cell>
          <cell r="U2590">
            <v>2582006</v>
          </cell>
          <cell r="V2590">
            <v>737716</v>
          </cell>
        </row>
        <row r="2591">
          <cell r="J2591">
            <v>2207</v>
          </cell>
          <cell r="K2591">
            <v>43277</v>
          </cell>
          <cell r="L2591" t="str">
            <v>NELSON RODRIGUEZ MONTOYA</v>
          </cell>
          <cell r="M2591">
            <v>31</v>
          </cell>
          <cell r="N2591" t="str">
            <v>RESOLUCION</v>
          </cell>
          <cell r="O2591">
            <v>2515</v>
          </cell>
          <cell r="P2591">
            <v>43277</v>
          </cell>
          <cell r="Q2591" t="str">
            <v>AYUDA TEMPORAL A LAS FAMILIAS DE VARIAS LOCALIDADES, PARA LA RELOCALIZACIÓN DE HOGARES LOCALIZADOS EN ZONAS DE ALTO RIESGO NO MITIGABLE ID:2014-Q09-01189, LOCALIDAD:19 CIUDAD BOLÍVAR, UPZ:67 LUCERO, SECTOR:QUEBRADA TROMPETA</v>
          </cell>
          <cell r="R2591">
            <v>3788778</v>
          </cell>
          <cell r="S2591">
            <v>0</v>
          </cell>
          <cell r="T2591">
            <v>0</v>
          </cell>
          <cell r="U2591">
            <v>3788778</v>
          </cell>
          <cell r="V2591">
            <v>1082508</v>
          </cell>
        </row>
        <row r="2592">
          <cell r="J2592">
            <v>2208</v>
          </cell>
          <cell r="K2592">
            <v>43277</v>
          </cell>
          <cell r="L2592" t="str">
            <v>GREGORIA  VARGAS</v>
          </cell>
          <cell r="M2592">
            <v>31</v>
          </cell>
          <cell r="N2592" t="str">
            <v>RESOLUCION</v>
          </cell>
          <cell r="O2592">
            <v>2499</v>
          </cell>
          <cell r="P2592">
            <v>43277</v>
          </cell>
          <cell r="Q2592" t="str">
            <v>AYUDA TEMPORAL A LAS FAMILIAS DE VARIAS LOCALIDADES, PARA LA RELOCALIZACIÓN DE HOGARES LOCALIZADOS EN ZONAS DE ALTO RIESGO NO MITIGABLE ID:2014-OTR-00872, LOCALIDAD:03 SANTA FE, UPZ:96 LOURDES, SECTOR:CASA 1</v>
          </cell>
          <cell r="R2592">
            <v>2661239</v>
          </cell>
          <cell r="S2592">
            <v>0</v>
          </cell>
          <cell r="T2592">
            <v>0</v>
          </cell>
          <cell r="U2592">
            <v>2661239</v>
          </cell>
          <cell r="V2592">
            <v>760354</v>
          </cell>
        </row>
        <row r="2593">
          <cell r="J2593">
            <v>2209</v>
          </cell>
          <cell r="K2593">
            <v>43277</v>
          </cell>
          <cell r="L2593" t="str">
            <v>ELVIRA  CORZO DE GALEANO</v>
          </cell>
          <cell r="M2593">
            <v>31</v>
          </cell>
          <cell r="N2593" t="str">
            <v>RESOLUCION</v>
          </cell>
          <cell r="O2593">
            <v>2498</v>
          </cell>
          <cell r="P2593">
            <v>43277</v>
          </cell>
          <cell r="Q2593" t="str">
            <v>AYUDA TEMPORAL A LAS FAMILIAS DE VARIAS LOCALIDADES, PARA LA RELOCALIZACIÓN DE HOGARES LOCALIZADOS EN ZONAS DE ALTO RIESGO NO MITIGABLE ID:2014-Q07-00919, LOCALIDAD:19 CIUDAD BOLÍVAR, UPZ:68 EL TESORO, SECTOR:QUEBRADA GALINDO</v>
          </cell>
          <cell r="R2593">
            <v>1150839</v>
          </cell>
          <cell r="S2593">
            <v>0</v>
          </cell>
          <cell r="T2593">
            <v>0</v>
          </cell>
          <cell r="U2593">
            <v>1150839</v>
          </cell>
          <cell r="V2593">
            <v>767226</v>
          </cell>
        </row>
        <row r="2594">
          <cell r="J2594">
            <v>2210</v>
          </cell>
          <cell r="K2594">
            <v>43277</v>
          </cell>
          <cell r="L2594" t="str">
            <v>JOSE GUILLERMO ARIZA</v>
          </cell>
          <cell r="M2594">
            <v>31</v>
          </cell>
          <cell r="N2594" t="str">
            <v>RESOLUCION</v>
          </cell>
          <cell r="O2594">
            <v>2543</v>
          </cell>
          <cell r="P2594">
            <v>43277</v>
          </cell>
          <cell r="Q2594" t="str">
            <v>AYUDA TEMPORAL A LAS FAMILIAS DE VARIAS LOCALIDADES, PARA LA RELOCALIZACIÓN DE HOGARES LOCALIZADOS EN ZONAS DE ALTO RIESGO NO MITIGABLE ID:2011-4-12643, LOCALIDAD:04 SAN CRISTÓBAL, UPZ:32 SAN BLAS</v>
          </cell>
          <cell r="R2594">
            <v>3330061</v>
          </cell>
          <cell r="S2594">
            <v>0</v>
          </cell>
          <cell r="T2594">
            <v>0</v>
          </cell>
          <cell r="U2594">
            <v>3330061</v>
          </cell>
          <cell r="V2594">
            <v>951446</v>
          </cell>
        </row>
        <row r="2595">
          <cell r="J2595">
            <v>2211</v>
          </cell>
          <cell r="K2595">
            <v>43277</v>
          </cell>
          <cell r="L2595" t="str">
            <v>EUDORO  HERNANDEZ TORRES</v>
          </cell>
          <cell r="M2595">
            <v>31</v>
          </cell>
          <cell r="N2595" t="str">
            <v>RESOLUCION</v>
          </cell>
          <cell r="O2595">
            <v>2514</v>
          </cell>
          <cell r="P2595">
            <v>43277</v>
          </cell>
          <cell r="Q2595" t="str">
            <v>AYUDA TEMPORAL A LAS FAMILIAS DE VARIAS LOCALIDADES, PARA LA RELOCALIZACIÓN DE HOGARES LOCALIZADOS EN ZONAS DE ALTO RIESGO NO MITIGABLE ID:2015-ALES-537, LOCALIDAD:19 CIUDAD BOLÍVAR, UPZ:69 ISMAEL PERDOMO, SECTOR:ALTOS DE LA ESTANCIA</v>
          </cell>
          <cell r="R2595">
            <v>3718092</v>
          </cell>
          <cell r="S2595">
            <v>0</v>
          </cell>
          <cell r="T2595">
            <v>0</v>
          </cell>
          <cell r="U2595">
            <v>3718092</v>
          </cell>
          <cell r="V2595">
            <v>1062312</v>
          </cell>
        </row>
        <row r="2596">
          <cell r="J2596">
            <v>2212</v>
          </cell>
          <cell r="K2596">
            <v>43277</v>
          </cell>
          <cell r="L2596" t="str">
            <v>FABIO NELSON BARRAGAN PERILLA</v>
          </cell>
          <cell r="M2596">
            <v>31</v>
          </cell>
          <cell r="N2596" t="str">
            <v>RESOLUCION</v>
          </cell>
          <cell r="O2596">
            <v>2542</v>
          </cell>
          <cell r="P2596">
            <v>43277</v>
          </cell>
          <cell r="Q2596" t="str">
            <v>AYUDA TEMPORAL A LAS FAMILIAS DE VARIAS LOCALIDADES, PARA LA RELOCALIZACIÓN DE HOGARES LOCALIZADOS EN ZONAS DE ALTO RIESGO NO MITIGABLE ID:2011-4-12644, LOCALIDAD:04 SAN CRISTÓBAL, UPZ:32 SAN BLAS</v>
          </cell>
          <cell r="R2596">
            <v>3383254</v>
          </cell>
          <cell r="S2596">
            <v>0</v>
          </cell>
          <cell r="T2596">
            <v>0</v>
          </cell>
          <cell r="U2596">
            <v>3383254</v>
          </cell>
          <cell r="V2596">
            <v>966644</v>
          </cell>
        </row>
        <row r="2597">
          <cell r="J2597">
            <v>2213</v>
          </cell>
          <cell r="K2597">
            <v>43277</v>
          </cell>
          <cell r="L2597" t="str">
            <v>JOSE PABLO LUNA CUELLAR</v>
          </cell>
          <cell r="M2597">
            <v>31</v>
          </cell>
          <cell r="N2597" t="str">
            <v>RESOLUCION</v>
          </cell>
          <cell r="O2597">
            <v>2497</v>
          </cell>
          <cell r="P2597">
            <v>43277</v>
          </cell>
          <cell r="Q2597" t="str">
            <v>AYUDA TEMPORAL A LAS FAMILIAS DE VARIAS LOCALIDADES, PARA LA RELOCALIZACIÓN DE HOGARES LOCALIZADOS EN ZONAS DE ALTO RIESGO NO MITIGABLE ID:2014-OTR-01258, LOCALIDAD:11 SUBA, UPZ:71 TIBABUYES, SECTOR:GAVILANES</v>
          </cell>
          <cell r="R2597">
            <v>3400600</v>
          </cell>
          <cell r="S2597">
            <v>0</v>
          </cell>
          <cell r="T2597">
            <v>0</v>
          </cell>
          <cell r="U2597">
            <v>3400600</v>
          </cell>
          <cell r="V2597">
            <v>850150</v>
          </cell>
        </row>
        <row r="2598">
          <cell r="J2598">
            <v>2214</v>
          </cell>
          <cell r="K2598">
            <v>43277</v>
          </cell>
          <cell r="L2598" t="str">
            <v>JUAN CRISOSTOMO MACETO RAYO</v>
          </cell>
          <cell r="M2598">
            <v>31</v>
          </cell>
          <cell r="N2598" t="str">
            <v>RESOLUCION</v>
          </cell>
          <cell r="O2598">
            <v>2513</v>
          </cell>
          <cell r="P2598">
            <v>43277</v>
          </cell>
          <cell r="Q2598" t="str">
            <v>AYUDA TEMPORAL A LAS FAMILIAS DE VARIAS LOCALIDADES, PARA LA RELOCALIZACIÓN DE HOGARES LOCALIZADOS EN ZONAS DE ALTO RIESGO NO MITIGABLE ID:2015-D227-00022, LOCALIDAD:04 SAN CRISTÓBAL, UPZ:51 LOS LIBERTADORES, SECTOR:SANTA TERESITA</v>
          </cell>
          <cell r="R2598">
            <v>2661239</v>
          </cell>
          <cell r="S2598">
            <v>0</v>
          </cell>
          <cell r="T2598">
            <v>0</v>
          </cell>
          <cell r="U2598">
            <v>2661239</v>
          </cell>
          <cell r="V2598">
            <v>760354</v>
          </cell>
        </row>
        <row r="2599">
          <cell r="J2599">
            <v>2215</v>
          </cell>
          <cell r="K2599">
            <v>43277</v>
          </cell>
          <cell r="L2599" t="str">
            <v>JOSE FLORINDO BARAJAS</v>
          </cell>
          <cell r="M2599">
            <v>31</v>
          </cell>
          <cell r="N2599" t="str">
            <v>RESOLUCION</v>
          </cell>
          <cell r="O2599">
            <v>2496</v>
          </cell>
          <cell r="P2599">
            <v>43277</v>
          </cell>
          <cell r="Q2599" t="str">
            <v>AYUDA TEMPORAL A LAS FAMILIAS DE VARIAS LOCALIDADES, PARA LA RELOCALIZACIÓN DE HOGARES LOCALIZADOS EN ZONAS DE ALTO RIESGO NO MITIGABLE ID:2015-D227-00045, LOCALIDAD:04 SAN CRISTÓBAL, UPZ:51 LOS LIBERTADORES, SECTOR:SANTA TERESITA</v>
          </cell>
          <cell r="R2599">
            <v>3473162</v>
          </cell>
          <cell r="S2599">
            <v>0</v>
          </cell>
          <cell r="T2599">
            <v>0</v>
          </cell>
          <cell r="U2599">
            <v>3473162</v>
          </cell>
          <cell r="V2599">
            <v>992332</v>
          </cell>
        </row>
        <row r="2600">
          <cell r="J2600">
            <v>2216</v>
          </cell>
          <cell r="K2600">
            <v>43277</v>
          </cell>
          <cell r="L2600" t="str">
            <v>JOSE VICENTE DUARTE GONZALEZ</v>
          </cell>
          <cell r="M2600">
            <v>31</v>
          </cell>
          <cell r="N2600" t="str">
            <v>RESOLUCION</v>
          </cell>
          <cell r="O2600">
            <v>2541</v>
          </cell>
          <cell r="P2600">
            <v>43277</v>
          </cell>
          <cell r="Q2600" t="str">
            <v>AYUDA TEMPORAL A LAS FAMILIAS DE VARIAS LOCALIDADES, PARA LA RELOCALIZACIÓN DE HOGARES LOCALIZADOS EN ZONAS DE ALTO RIESGO NO MITIGABLE ID:2010-19-12227, LOCALIDAD:19 CIUDAD BOLÍVAR, UPZ:67 LUCERO, SECTOR:LIMAS</v>
          </cell>
          <cell r="R2600">
            <v>2582006</v>
          </cell>
          <cell r="S2600">
            <v>0</v>
          </cell>
          <cell r="T2600">
            <v>0</v>
          </cell>
          <cell r="U2600">
            <v>2582006</v>
          </cell>
          <cell r="V2600">
            <v>737716</v>
          </cell>
        </row>
        <row r="2601">
          <cell r="J2601">
            <v>2217</v>
          </cell>
          <cell r="K2601">
            <v>43277</v>
          </cell>
          <cell r="L2601" t="str">
            <v>AMERICO  CABEZON PIRAZA</v>
          </cell>
          <cell r="M2601">
            <v>31</v>
          </cell>
          <cell r="N2601" t="str">
            <v>RESOLUCION</v>
          </cell>
          <cell r="O2601">
            <v>2512</v>
          </cell>
          <cell r="P2601">
            <v>43277</v>
          </cell>
          <cell r="Q2601" t="str">
            <v>AYUDA TEMPORAL A LAS FAMILIAS DE VARIAS LOCALIDADES, PARA LA RELOCALIZACIÓN DE HOGARES LOCALIZADOS EN ZONAS DE ALTO RIESGO NO MITIGABLE ID:2014-W166-040, LOCALIDAD:19 CIUDAD BOLÍVAR, UPZ:68 EL TESORO, SECTOR:WOUNAAN</v>
          </cell>
          <cell r="R2601">
            <v>3357900</v>
          </cell>
          <cell r="S2601">
            <v>0</v>
          </cell>
          <cell r="T2601">
            <v>0</v>
          </cell>
          <cell r="U2601">
            <v>3357900</v>
          </cell>
          <cell r="V2601">
            <v>959400</v>
          </cell>
        </row>
        <row r="2602">
          <cell r="J2602">
            <v>2218</v>
          </cell>
          <cell r="K2602">
            <v>43277</v>
          </cell>
          <cell r="L2602" t="str">
            <v>DAIRO NILSON CAÑAS RINCON</v>
          </cell>
          <cell r="M2602">
            <v>31</v>
          </cell>
          <cell r="N2602" t="str">
            <v>RESOLUCION</v>
          </cell>
          <cell r="O2602">
            <v>2540</v>
          </cell>
          <cell r="P2602">
            <v>43277</v>
          </cell>
          <cell r="Q2602" t="str">
            <v>AYUDA TEMPORAL A LAS FAMILIAS DE VARIAS LOCALIDADES, PARA RELOCALIZACIÓN DE HOGARES LOCALIZADOS EN ZONAS DE ALTO RIESGO NO MITIGABLE ID:2003-19-4535, LOCALIDAD:19 CIUDAD BOLÍVAR, UPZ:69 ISMAEL PERDOMO, SECTOR:ALTOS DE LA ESTANCIA</v>
          </cell>
          <cell r="R2602">
            <v>3157315</v>
          </cell>
          <cell r="S2602">
            <v>0</v>
          </cell>
          <cell r="T2602">
            <v>0</v>
          </cell>
          <cell r="U2602">
            <v>3157315</v>
          </cell>
          <cell r="V2602">
            <v>902090</v>
          </cell>
        </row>
        <row r="2603">
          <cell r="J2603">
            <v>2219</v>
          </cell>
          <cell r="K2603">
            <v>43277</v>
          </cell>
          <cell r="L2603" t="str">
            <v>SANDRA  GORDILLO CARREÑO</v>
          </cell>
          <cell r="M2603">
            <v>31</v>
          </cell>
          <cell r="N2603" t="str">
            <v>RESOLUCION</v>
          </cell>
          <cell r="O2603">
            <v>2539</v>
          </cell>
          <cell r="P2603">
            <v>43277</v>
          </cell>
          <cell r="Q2603" t="str">
            <v>AYUDA TEMPORAL A LAS FAMILIAS DE VARIAS LOCALIDADES, PARA LA RELOCALIZACIÓN DE HOGARES LOCALIZADOS EN ZONAS DE ALTO RIESGO NO MITIGABLE ID:2011-4-12655, LOCALIDAD:04 SAN CRISTÓBAL, UPZ:32 SAN BLAS</v>
          </cell>
          <cell r="R2603">
            <v>3698583</v>
          </cell>
          <cell r="S2603">
            <v>0</v>
          </cell>
          <cell r="T2603">
            <v>0</v>
          </cell>
          <cell r="U2603">
            <v>3698583</v>
          </cell>
          <cell r="V2603">
            <v>1056738</v>
          </cell>
        </row>
        <row r="2604">
          <cell r="J2604">
            <v>2220</v>
          </cell>
          <cell r="K2604">
            <v>43277</v>
          </cell>
          <cell r="L2604" t="str">
            <v>LUZ MARY GUZMAN DIAZ</v>
          </cell>
          <cell r="M2604">
            <v>31</v>
          </cell>
          <cell r="N2604" t="str">
            <v>RESOLUCION</v>
          </cell>
          <cell r="O2604">
            <v>2511</v>
          </cell>
          <cell r="P2604">
            <v>43277</v>
          </cell>
          <cell r="Q2604" t="str">
            <v>AYUDA TEMPORAL A LAS FAMILIAS DE VARIAS LOCALIDADES, PARA LA RELOCALIZACIÓN DE HOGARES LOCALIZADOS EN ZONAS DE ALTO RIESGO NO MITIGABLE ID:2015-OTR-01536, LOCALIDAD:18 RAFAEL URIBE URIBE, UPZ:55 DIANA TURBAY, SECTOR:CERROS DE ORIENTE</v>
          </cell>
          <cell r="R2604">
            <v>3608360</v>
          </cell>
          <cell r="S2604">
            <v>0</v>
          </cell>
          <cell r="T2604">
            <v>0</v>
          </cell>
          <cell r="U2604">
            <v>3608360</v>
          </cell>
          <cell r="V2604">
            <v>902090</v>
          </cell>
        </row>
        <row r="2605">
          <cell r="J2605">
            <v>2221</v>
          </cell>
          <cell r="K2605">
            <v>43277</v>
          </cell>
          <cell r="L2605" t="str">
            <v>FLOR ELISA ULLOA PUENTES</v>
          </cell>
          <cell r="M2605">
            <v>31</v>
          </cell>
          <cell r="N2605" t="str">
            <v>RESOLUCION</v>
          </cell>
          <cell r="O2605">
            <v>2425</v>
          </cell>
          <cell r="P2605">
            <v>43277</v>
          </cell>
          <cell r="Q2605" t="str">
            <v>VUR de la actual vigencia. La asignación se realiza para dar cumplimiento al fallo de acción popular 2002-00152- Suba Gavilanes. Decreto 255 de 2013. LOCALIDAD: SUBA (GAVILANES); BARRIO: SANTA CECILIA; ID:2018-11-15198</v>
          </cell>
          <cell r="R2605">
            <v>39062100</v>
          </cell>
          <cell r="S2605">
            <v>0</v>
          </cell>
          <cell r="T2605">
            <v>0</v>
          </cell>
          <cell r="U2605">
            <v>39062100</v>
          </cell>
          <cell r="V2605">
            <v>0</v>
          </cell>
        </row>
        <row r="2606">
          <cell r="J2606">
            <v>2222</v>
          </cell>
          <cell r="K2606">
            <v>43277</v>
          </cell>
          <cell r="L2606" t="str">
            <v>CARLOS EVELIO TANGARIFE VILLA</v>
          </cell>
          <cell r="M2606">
            <v>31</v>
          </cell>
          <cell r="N2606" t="str">
            <v>RESOLUCION</v>
          </cell>
          <cell r="O2606">
            <v>2510</v>
          </cell>
          <cell r="P2606">
            <v>43277</v>
          </cell>
          <cell r="Q2606" t="str">
            <v>AYUDA TEMPORAL A LAS FAMILIAS DE VARIAS LOCALIDADES, PARA LA RELOCALIZACIÓN DE HOGARES LOCALIZADOS EN ZONAS DE ALTO RIESGO NO MITIGABLE ID:2011-4-12682, LOCALIDAD:04 SAN CRISTÓBAL, UPZ:32 SAN BLAS</v>
          </cell>
          <cell r="R2606">
            <v>2838689</v>
          </cell>
          <cell r="S2606">
            <v>0</v>
          </cell>
          <cell r="T2606">
            <v>0</v>
          </cell>
          <cell r="U2606">
            <v>2838689</v>
          </cell>
          <cell r="V2606">
            <v>811054</v>
          </cell>
        </row>
        <row r="2607">
          <cell r="J2607">
            <v>2223</v>
          </cell>
          <cell r="K2607">
            <v>43277</v>
          </cell>
          <cell r="L2607" t="str">
            <v>CARMEN  MARTINEZ</v>
          </cell>
          <cell r="M2607">
            <v>31</v>
          </cell>
          <cell r="N2607" t="str">
            <v>RESOLUCION</v>
          </cell>
          <cell r="O2607">
            <v>2509</v>
          </cell>
          <cell r="P2607">
            <v>43277</v>
          </cell>
          <cell r="Q2607" t="str">
            <v>AYUDA TEMPORAL A LAS FAMILIAS DE VARIAS LOCALIDADES, PARA LA RELOCALIZACIÓN DE HOGARES LOCALIZADOS EN ZONAS DE ALTO RIESGO NO MITIGABLE ID:2012-19-14046, LOCALIDAD:19 CIUDAD BOLÍVAR, UPZ:68 EL TESORO, SECTOR:QUEBRADA TROMPETA</v>
          </cell>
          <cell r="R2607">
            <v>3374280</v>
          </cell>
          <cell r="S2607">
            <v>0</v>
          </cell>
          <cell r="T2607">
            <v>0</v>
          </cell>
          <cell r="U2607">
            <v>3374280</v>
          </cell>
          <cell r="V2607">
            <v>964080</v>
          </cell>
        </row>
        <row r="2608">
          <cell r="J2608">
            <v>2224</v>
          </cell>
          <cell r="K2608">
            <v>43277</v>
          </cell>
          <cell r="L2608" t="str">
            <v>FLOR MARIA GARCIA CUAN</v>
          </cell>
          <cell r="M2608">
            <v>31</v>
          </cell>
          <cell r="N2608" t="str">
            <v>RESOLUCION</v>
          </cell>
          <cell r="O2608">
            <v>2508</v>
          </cell>
          <cell r="P2608">
            <v>43277</v>
          </cell>
          <cell r="Q2608" t="str">
            <v>AYUDA TEMPORAL A LAS FAMILIAS DE VARIAS LOCALIDADES, PARA LA RELOCALIZACIÓN DE HOGARES LOCALIZADOS EN ZONAS DE ALTO RIESGO NO MITIGABLE ID:2012-18-14270, LOCALIDAD:18 RAFAEL URIBE URIBE, UPZ:55 DIANA TURBAY</v>
          </cell>
          <cell r="R2608">
            <v>3570210</v>
          </cell>
          <cell r="S2608">
            <v>0</v>
          </cell>
          <cell r="T2608">
            <v>0</v>
          </cell>
          <cell r="U2608">
            <v>3570210</v>
          </cell>
          <cell r="V2608">
            <v>1020060</v>
          </cell>
        </row>
        <row r="2609">
          <cell r="J2609">
            <v>2225</v>
          </cell>
          <cell r="K2609">
            <v>43277</v>
          </cell>
          <cell r="L2609" t="str">
            <v>GLORIA  LASSO CARDOSO</v>
          </cell>
          <cell r="M2609">
            <v>31</v>
          </cell>
          <cell r="N2609" t="str">
            <v>RESOLUCION</v>
          </cell>
          <cell r="O2609">
            <v>2561</v>
          </cell>
          <cell r="P2609">
            <v>43277</v>
          </cell>
          <cell r="Q2609" t="str">
            <v>AYUDA TEMPORAL A LAS FAMILIAS DE VARIAS LOCALIDADES, PARA LA RELOCALIZACIÓN DE HOGARES LOCALIZADOS EN ZONAS DE ALTO RIESGO NO MITIGABLE ID:2009-5-11196, LOCALIDAD:05 USME, UPZ:60 PARQUE ENTRENUBES</v>
          </cell>
          <cell r="R2609">
            <v>2872350</v>
          </cell>
          <cell r="S2609">
            <v>0</v>
          </cell>
          <cell r="T2609">
            <v>0</v>
          </cell>
          <cell r="U2609">
            <v>2872350</v>
          </cell>
          <cell r="V2609">
            <v>1148940</v>
          </cell>
        </row>
        <row r="2610">
          <cell r="J2610">
            <v>2226</v>
          </cell>
          <cell r="K2610">
            <v>43277</v>
          </cell>
          <cell r="L2610" t="str">
            <v>LUZ ANGELA CASTRO REYES</v>
          </cell>
          <cell r="M2610">
            <v>31</v>
          </cell>
          <cell r="N2610" t="str">
            <v>RESOLUCION</v>
          </cell>
          <cell r="O2610">
            <v>2507</v>
          </cell>
          <cell r="P2610">
            <v>43277</v>
          </cell>
          <cell r="Q2610" t="str">
            <v>AYUDA TEMPORAL A LAS FAMILIAS DE VARIAS LOCALIDADES, PARA LA RELOCALIZACIÓN DE HOGARES LOCALIZADOS EN ZONAS DE ALTO RIESGO NO MITIGABLE ID:2012-19-13954, LOCALIDAD:19 CIUDAD BOLÍVAR, UPZ:68 EL TESORO</v>
          </cell>
          <cell r="R2610">
            <v>4491802</v>
          </cell>
          <cell r="S2610">
            <v>0</v>
          </cell>
          <cell r="T2610">
            <v>0</v>
          </cell>
          <cell r="U2610">
            <v>4491802</v>
          </cell>
          <cell r="V2610">
            <v>1283372</v>
          </cell>
        </row>
        <row r="2611">
          <cell r="J2611">
            <v>2227</v>
          </cell>
          <cell r="K2611">
            <v>43277</v>
          </cell>
          <cell r="L2611" t="str">
            <v>SANDRA PATRICIA RODRIGUEZ ORTIZ</v>
          </cell>
          <cell r="M2611">
            <v>31</v>
          </cell>
          <cell r="N2611" t="str">
            <v>RESOLUCION</v>
          </cell>
          <cell r="O2611">
            <v>2506</v>
          </cell>
          <cell r="P2611">
            <v>43277</v>
          </cell>
          <cell r="Q2611" t="str">
            <v>AYUDA TEMPORAL A LAS FAMILIAS DE VARIAS LOCALIDADES, PARA LA RELOCALIZACIÓN DE HOGARES LOCALIZADOS EN ZONAS DE ALTO RIESGO NO MITIGABLE ID:2014-OTR-01170, LOCALIDAD:11 SUBA, UPZ:71 TIBABUYES, SECTOR:GAVILANES</v>
          </cell>
          <cell r="R2611">
            <v>3516527</v>
          </cell>
          <cell r="S2611">
            <v>0</v>
          </cell>
          <cell r="T2611">
            <v>0</v>
          </cell>
          <cell r="U2611">
            <v>3516527</v>
          </cell>
          <cell r="V2611">
            <v>1004722</v>
          </cell>
        </row>
        <row r="2612">
          <cell r="J2612">
            <v>2228</v>
          </cell>
          <cell r="K2612">
            <v>43278</v>
          </cell>
          <cell r="L2612" t="str">
            <v>MARTHA LILIANA SANCHEZ SANCHEZ</v>
          </cell>
          <cell r="M2612">
            <v>31</v>
          </cell>
          <cell r="N2612" t="str">
            <v>RESOLUCION</v>
          </cell>
          <cell r="O2612">
            <v>2495</v>
          </cell>
          <cell r="P2612">
            <v>43278</v>
          </cell>
          <cell r="Q2612" t="str">
            <v>AYUDA TEMPORAL A LAS FAMILIAS DE VARIAS LOCALIDADES, PARA LA RELOCALIZACIÓN DE HOGARES LOCALIZADOS EN ZONAS DE ALTO RIESGO NO MITIGABLE ID:2011-4-12673, LOCALIDAD:04 SAN CRISTÓBAL, UPZ:32 SAN BLAS</v>
          </cell>
          <cell r="R2612">
            <v>2796906</v>
          </cell>
          <cell r="S2612">
            <v>0</v>
          </cell>
          <cell r="T2612">
            <v>0</v>
          </cell>
          <cell r="U2612">
            <v>2796906</v>
          </cell>
          <cell r="V2612">
            <v>799116</v>
          </cell>
        </row>
        <row r="2613">
          <cell r="J2613">
            <v>2229</v>
          </cell>
          <cell r="K2613">
            <v>43278</v>
          </cell>
          <cell r="L2613" t="str">
            <v>DIANA PAOLA ARIAS CASTILLO</v>
          </cell>
          <cell r="M2613">
            <v>31</v>
          </cell>
          <cell r="N2613" t="str">
            <v>RESOLUCION</v>
          </cell>
          <cell r="O2613">
            <v>2494</v>
          </cell>
          <cell r="P2613">
            <v>43278</v>
          </cell>
          <cell r="Q2613" t="str">
            <v>AYUDA TEMPORAL A LAS FAMILIAS DE VARIAS LOCALIDADES, PARA LA RELOCALIZACIÓN DE HOGARES LOCALIZADOS EN ZONAS DE ALTO RIESGO NO MITIGABLE ID:2012-ALES-231, LOCALIDAD:19 CIUDAD BOLÍVAR, UPZ:69 ISMAEL PERDOMO</v>
          </cell>
          <cell r="R2613">
            <v>3157315</v>
          </cell>
          <cell r="S2613">
            <v>0</v>
          </cell>
          <cell r="T2613">
            <v>0</v>
          </cell>
          <cell r="U2613">
            <v>3157315</v>
          </cell>
          <cell r="V2613">
            <v>902090</v>
          </cell>
        </row>
        <row r="2614">
          <cell r="J2614">
            <v>2230</v>
          </cell>
          <cell r="K2614">
            <v>43278</v>
          </cell>
          <cell r="L2614" t="str">
            <v>GLADYS  JOAQUI DIAZ</v>
          </cell>
          <cell r="M2614">
            <v>31</v>
          </cell>
          <cell r="N2614" t="str">
            <v>RESOLUCION</v>
          </cell>
          <cell r="O2614">
            <v>2493</v>
          </cell>
          <cell r="P2614">
            <v>43278</v>
          </cell>
          <cell r="Q2614" t="str">
            <v>AYUDA TEMPORAL A LAS FAMILIAS DE VARIAS LOCALIDADES, PARA RELOCALIZACIÓN DE HOGARES LOCALIZADOS EN ZONAS DE ALTO RIESGO NO MITIGABLE ID:2002-4-2711, LOCALIDAD:04 SAN CRISTÓBAL, UPZ:32 SAN BLAS</v>
          </cell>
          <cell r="R2614">
            <v>3383254</v>
          </cell>
          <cell r="S2614">
            <v>0</v>
          </cell>
          <cell r="T2614">
            <v>0</v>
          </cell>
          <cell r="U2614">
            <v>3383254</v>
          </cell>
          <cell r="V2614">
            <v>966644</v>
          </cell>
        </row>
        <row r="2615">
          <cell r="J2615">
            <v>2231</v>
          </cell>
          <cell r="K2615">
            <v>43278</v>
          </cell>
          <cell r="L2615" t="str">
            <v>JENNY PAOLA CABALLERO TORRES</v>
          </cell>
          <cell r="M2615">
            <v>31</v>
          </cell>
          <cell r="N2615" t="str">
            <v>RESOLUCION</v>
          </cell>
          <cell r="O2615">
            <v>2446</v>
          </cell>
          <cell r="P2615">
            <v>43278</v>
          </cell>
          <cell r="Q2615" t="str">
            <v>AYUDA TEMPORAL A LAS FAMILIAS DE VARIAS LOCALIDADES, PARA LA RELOCALIZACIÓN DE HOGARES LOCALIZADOS EN ZONAS DE ALTO RIESGO NO MITIGABLE ID:2015-Q03-01432, LOCALIDAD:19 CIUDAD BOLÍVAR, UPZ:66 SAN FRANCISCO, SECTOR:LIMAS</v>
          </cell>
          <cell r="R2615">
            <v>3157315</v>
          </cell>
          <cell r="S2615">
            <v>0</v>
          </cell>
          <cell r="T2615">
            <v>0</v>
          </cell>
          <cell r="U2615">
            <v>3157315</v>
          </cell>
          <cell r="V2615">
            <v>902090</v>
          </cell>
        </row>
        <row r="2616">
          <cell r="J2616">
            <v>2232</v>
          </cell>
          <cell r="K2616">
            <v>43278</v>
          </cell>
          <cell r="L2616" t="str">
            <v>ALDEMAR  MALAVER CRUZ</v>
          </cell>
          <cell r="M2616">
            <v>31</v>
          </cell>
          <cell r="N2616" t="str">
            <v>RESOLUCION</v>
          </cell>
          <cell r="O2616">
            <v>2445</v>
          </cell>
          <cell r="P2616">
            <v>43278</v>
          </cell>
          <cell r="Q2616" t="str">
            <v>AYUDA TEMPORAL A LAS FAMILIAS DE VARIAS LOCALIDADES, PARA LA RELOCALIZACIÓN DE HOGARES LOCALIZADOS EN ZONAS DE ALTO RIESGO NO MITIGABLE ID:2015-Q03-01488, LOCALIDAD:19 CIUDAD BOLÍVAR, UPZ:66 SAN FRANCISCO, SECTOR:LIMAS</v>
          </cell>
          <cell r="R2616">
            <v>2582006</v>
          </cell>
          <cell r="S2616">
            <v>0</v>
          </cell>
          <cell r="T2616">
            <v>0</v>
          </cell>
          <cell r="U2616">
            <v>2582006</v>
          </cell>
          <cell r="V2616">
            <v>737716</v>
          </cell>
        </row>
        <row r="2617">
          <cell r="J2617">
            <v>2233</v>
          </cell>
          <cell r="K2617">
            <v>43278</v>
          </cell>
          <cell r="L2617" t="str">
            <v>LUIS AUDICEL MELO MARTIN</v>
          </cell>
          <cell r="M2617">
            <v>31</v>
          </cell>
          <cell r="N2617" t="str">
            <v>RESOLUCION</v>
          </cell>
          <cell r="O2617">
            <v>2444</v>
          </cell>
          <cell r="P2617">
            <v>43278</v>
          </cell>
          <cell r="Q2617" t="str">
            <v>AYUDA TEMPORAL A LAS FAMILIAS DE VARIAS LOCALIDADES, PARA LA RELOCALIZACIÓN DE HOGARES LOCALIZADOS EN ZONAS DE ALTO RIESGO NO MITIGABLE ID:2017-19-14969, LOCALIDAD:19 CIUDAD BOLÍVAR, UPZ:67 LUCERO, SECTOR:LAS MANITAS II</v>
          </cell>
          <cell r="R2617">
            <v>4131218</v>
          </cell>
          <cell r="S2617">
            <v>0</v>
          </cell>
          <cell r="T2617">
            <v>0</v>
          </cell>
          <cell r="U2617">
            <v>4131218</v>
          </cell>
          <cell r="V2617">
            <v>1180348</v>
          </cell>
        </row>
        <row r="2618">
          <cell r="J2618">
            <v>2234</v>
          </cell>
          <cell r="K2618">
            <v>43278</v>
          </cell>
          <cell r="L2618" t="str">
            <v>ANGIE CENID TAPIA LOZANO</v>
          </cell>
          <cell r="M2618">
            <v>31</v>
          </cell>
          <cell r="N2618" t="str">
            <v>RESOLUCION</v>
          </cell>
          <cell r="O2618">
            <v>2443</v>
          </cell>
          <cell r="P2618">
            <v>43278</v>
          </cell>
          <cell r="Q2618" t="str">
            <v>AYUDA TEMPORAL A LAS FAMILIAS DE VARIAS LOCALIDADES, PARA LA RELOCALIZACIÓN DE HOGARES LOCALIZADOS EN ZONAS DE ALTO RIESGO NO MITIGABLE ID:2015-Q03-01486, LOCALIDAD:19 CIUDAD BOLÍVAR, UPZ:66 SAN FRANCISCO, SECTOR:LIMAS</v>
          </cell>
          <cell r="R2618">
            <v>2582006</v>
          </cell>
          <cell r="S2618">
            <v>0</v>
          </cell>
          <cell r="T2618">
            <v>0</v>
          </cell>
          <cell r="U2618">
            <v>2582006</v>
          </cell>
          <cell r="V2618">
            <v>737716</v>
          </cell>
        </row>
        <row r="2619">
          <cell r="J2619">
            <v>2235</v>
          </cell>
          <cell r="K2619">
            <v>43278</v>
          </cell>
          <cell r="L2619" t="str">
            <v>ANGIE JULIETTE ROJAS CARRILLO</v>
          </cell>
          <cell r="M2619">
            <v>31</v>
          </cell>
          <cell r="N2619" t="str">
            <v>RESOLUCION</v>
          </cell>
          <cell r="O2619">
            <v>2442</v>
          </cell>
          <cell r="P2619">
            <v>43278</v>
          </cell>
          <cell r="Q2619" t="str">
            <v>AYUDA TEMPORAL A LAS FAMILIAS DE VARIAS LOCALIDADES, PARA LA RELOCALIZACIÓN DE HOGARES LOCALIZADOS EN ZONAS DE ALTO RIESGO NO MITIGABLE ID:2015-Q03-01433, LOCALIDAD:19 CIUDAD BOLÍVAR, UPZ:66 SAN FRANCISCO, SECTOR:LIMAS</v>
          </cell>
          <cell r="R2619">
            <v>3157315</v>
          </cell>
          <cell r="S2619">
            <v>0</v>
          </cell>
          <cell r="T2619">
            <v>0</v>
          </cell>
          <cell r="U2619">
            <v>3157315</v>
          </cell>
          <cell r="V2619">
            <v>902090</v>
          </cell>
        </row>
        <row r="2620">
          <cell r="J2620">
            <v>2236</v>
          </cell>
          <cell r="K2620">
            <v>43278</v>
          </cell>
          <cell r="L2620" t="str">
            <v>CONSUELO DEL CARMEN HERNANDEZ ARCIA</v>
          </cell>
          <cell r="M2620">
            <v>31</v>
          </cell>
          <cell r="N2620" t="str">
            <v>RESOLUCION</v>
          </cell>
          <cell r="O2620">
            <v>2441</v>
          </cell>
          <cell r="P2620">
            <v>43278</v>
          </cell>
          <cell r="Q2620" t="str">
            <v>AYUDA TEMPORAL A LAS FAMILIAS DE VARIAS LOCALIDADES, PARA LA RELOCALIZACIÓN DE HOGARES LOCALIZADOS EN ZONAS DE ALTO RIESGO NO MITIGABLE ID:2015-Q04-01434, LOCALIDAD:19 CIUDAD BOLÍVAR, UPZ:67 LUCERO, SECTOR:PEÑA COLORADA</v>
          </cell>
          <cell r="R2620">
            <v>3157315</v>
          </cell>
          <cell r="S2620">
            <v>0</v>
          </cell>
          <cell r="T2620">
            <v>0</v>
          </cell>
          <cell r="U2620">
            <v>3157315</v>
          </cell>
          <cell r="V2620">
            <v>902090</v>
          </cell>
        </row>
        <row r="2621">
          <cell r="J2621">
            <v>2237</v>
          </cell>
          <cell r="K2621">
            <v>43278</v>
          </cell>
          <cell r="L2621" t="str">
            <v>EDITH  MALAGON RINCON</v>
          </cell>
          <cell r="M2621">
            <v>31</v>
          </cell>
          <cell r="N2621" t="str">
            <v>RESOLUCION</v>
          </cell>
          <cell r="O2621">
            <v>2440</v>
          </cell>
          <cell r="P2621">
            <v>43278</v>
          </cell>
          <cell r="Q2621" t="str">
            <v>AYUDA TEMPORAL A LAS FAMILIAS DE VARIAS LOCALIDADES, PARA LA RELOCALIZACIÓN DE HOGARES LOCALIZADOS EN ZONAS DE ALTO RIESGO NO MITIGABLE ID:2016-08-14829, LOCALIDAD:08 KENNEDY, UPZ:82 PATIO BONITO, SECTOR:PALMITAS</v>
          </cell>
          <cell r="R2621">
            <v>3098410</v>
          </cell>
          <cell r="S2621">
            <v>0</v>
          </cell>
          <cell r="T2621">
            <v>0</v>
          </cell>
          <cell r="U2621">
            <v>3098410</v>
          </cell>
          <cell r="V2621">
            <v>885260</v>
          </cell>
        </row>
        <row r="2622">
          <cell r="J2622">
            <v>2238</v>
          </cell>
          <cell r="K2622">
            <v>43278</v>
          </cell>
          <cell r="L2622" t="str">
            <v>BENEDICTO  VALBUENA LEON</v>
          </cell>
          <cell r="M2622">
            <v>31</v>
          </cell>
          <cell r="N2622" t="str">
            <v>RESOLUCION</v>
          </cell>
          <cell r="O2622">
            <v>2439</v>
          </cell>
          <cell r="P2622">
            <v>43278</v>
          </cell>
          <cell r="Q2622" t="str">
            <v>AYUDA TEMPORAL A LAS FAMILIAS DE VARIAS LOCALIDADES, PARA LA RELOCALIZACIÓN DE HOGARES LOCALIZADOS EN ZONAS DE ALTO RIESGO NO MITIGABLE ID:2014-OTR-00978, LOCALIDAD:19 CIUDAD BOLÍVAR, UPZ:67 LUCERO, SECTOR:TABOR ALTALOMA</v>
          </cell>
          <cell r="R2622">
            <v>3017000</v>
          </cell>
          <cell r="S2622">
            <v>0</v>
          </cell>
          <cell r="T2622">
            <v>0</v>
          </cell>
          <cell r="U2622">
            <v>3017000</v>
          </cell>
          <cell r="V2622">
            <v>862000</v>
          </cell>
        </row>
        <row r="2623">
          <cell r="J2623">
            <v>2239</v>
          </cell>
          <cell r="K2623">
            <v>43278</v>
          </cell>
          <cell r="L2623" t="str">
            <v>FLOR ALBA ARIZA MOSQUERA</v>
          </cell>
          <cell r="M2623">
            <v>31</v>
          </cell>
          <cell r="N2623" t="str">
            <v>RESOLUCION</v>
          </cell>
          <cell r="O2623">
            <v>2438</v>
          </cell>
          <cell r="P2623">
            <v>43278</v>
          </cell>
          <cell r="Q2623" t="str">
            <v>AYUDA TEMPORAL A LAS FAMILIAS DE VARIAS LOCALIDADES, PARA LA RELOCALIZACIÓN DE HOGARES LOCALIZADOS EN ZONAS DE ALTO RIESGO NO MITIGABLE ID:2013-Q18-00093, LOCALIDAD:19 CIUDAD BOLÍVAR, UPZ:69 ISMAEL PERDOMO, SECTOR:ZANJÓN MURALLA</v>
          </cell>
          <cell r="R2623">
            <v>2843722</v>
          </cell>
          <cell r="S2623">
            <v>0</v>
          </cell>
          <cell r="T2623">
            <v>0</v>
          </cell>
          <cell r="U2623">
            <v>2843722</v>
          </cell>
          <cell r="V2623">
            <v>812492</v>
          </cell>
        </row>
        <row r="2624">
          <cell r="J2624">
            <v>2240</v>
          </cell>
          <cell r="K2624">
            <v>43278</v>
          </cell>
          <cell r="L2624" t="str">
            <v>NELSON  DELGADO LOPEZ</v>
          </cell>
          <cell r="M2624">
            <v>31</v>
          </cell>
          <cell r="N2624" t="str">
            <v>RESOLUCION</v>
          </cell>
          <cell r="O2624">
            <v>2437</v>
          </cell>
          <cell r="P2624">
            <v>43278</v>
          </cell>
          <cell r="Q2624" t="str">
            <v>AYUDA TEMPORAL A LAS FAMILIAS DE VARIAS LOCALIDADES, PARA LA RELOCALIZACIÓN DE HOGARES LOCALIZADOS EN ZONAS DE ALTO RIESGO NO MITIGABLE ID:2014-OTR-00884, LOCALIDAD:03 SANTA FE, UPZ:96 LOURDES, SECTOR:CASA 2</v>
          </cell>
          <cell r="R2624">
            <v>3516527</v>
          </cell>
          <cell r="S2624">
            <v>0</v>
          </cell>
          <cell r="T2624">
            <v>0</v>
          </cell>
          <cell r="U2624">
            <v>3516527</v>
          </cell>
          <cell r="V2624">
            <v>1004722</v>
          </cell>
        </row>
        <row r="2625">
          <cell r="J2625">
            <v>2241</v>
          </cell>
          <cell r="K2625">
            <v>43278</v>
          </cell>
          <cell r="L2625" t="str">
            <v>HECTOR GUILLERMO GOMEZ SALINAS</v>
          </cell>
          <cell r="M2625">
            <v>31</v>
          </cell>
          <cell r="N2625" t="str">
            <v>RESOLUCION</v>
          </cell>
          <cell r="O2625">
            <v>2436</v>
          </cell>
          <cell r="P2625">
            <v>43278</v>
          </cell>
          <cell r="Q2625" t="str">
            <v>AYUDA TEMPORAL A LAS FAMILIAS DE VARIAS LOCALIDADES, PARA LA RELOCALIZACIÓN DE HOGARES LOCALIZADOS EN ZONAS DE ALTO RIESGO NO MITIGABLE ID:2013-Q05-00009, LOCALIDAD:19 CIUDAD BOLÍVAR, UPZ:67 LUCERO, SECTOR:QUEBRADA CAÑO BAÚL</v>
          </cell>
          <cell r="R2625">
            <v>3363507</v>
          </cell>
          <cell r="S2625">
            <v>0</v>
          </cell>
          <cell r="T2625">
            <v>0</v>
          </cell>
          <cell r="U2625">
            <v>3363507</v>
          </cell>
          <cell r="V2625">
            <v>961002</v>
          </cell>
        </row>
        <row r="2626">
          <cell r="J2626">
            <v>2242</v>
          </cell>
          <cell r="K2626">
            <v>43278</v>
          </cell>
          <cell r="L2626" t="str">
            <v>MANUEL GUILLERMO PEÑA GONZALEZ</v>
          </cell>
          <cell r="M2626">
            <v>31</v>
          </cell>
          <cell r="N2626" t="str">
            <v>RESOLUCION</v>
          </cell>
          <cell r="O2626">
            <v>2435</v>
          </cell>
          <cell r="P2626">
            <v>43278</v>
          </cell>
          <cell r="Q2626" t="str">
            <v>AYUDA TEMPORAL A LAS FAMILIAS DE VARIAS LOCALIDADES, PARA LA RELOCALIZACIÓN DE HOGARES LOCALIZADOS EN ZONAS DE ALTO RIESGO NO MITIGABLE ID:2014-Q07-00924, LOCALIDAD:19 CIUDAD BOLÍVAR, UPZ:67 LUCERO, SECTOR:QUEBRADA TROMPETA</v>
          </cell>
          <cell r="R2626">
            <v>2582006</v>
          </cell>
          <cell r="S2626">
            <v>0</v>
          </cell>
          <cell r="T2626">
            <v>0</v>
          </cell>
          <cell r="U2626">
            <v>2582006</v>
          </cell>
          <cell r="V2626">
            <v>737716</v>
          </cell>
        </row>
        <row r="2627">
          <cell r="J2627">
            <v>2243</v>
          </cell>
          <cell r="K2627">
            <v>43278</v>
          </cell>
          <cell r="L2627" t="str">
            <v>JOSE NELSON BOCANEGRA SILVA</v>
          </cell>
          <cell r="M2627">
            <v>31</v>
          </cell>
          <cell r="N2627" t="str">
            <v>RESOLUCION</v>
          </cell>
          <cell r="O2627">
            <v>2434</v>
          </cell>
          <cell r="P2627">
            <v>43278</v>
          </cell>
          <cell r="Q2627" t="str">
            <v>AYUDA TEMPORAL A LAS FAMILIAS DE VARIAS LOCALIDADES, PARA LA RELOCALIZACIÓN DE HOGARES LOCALIZADOS EN ZONAS DE ALTO RIESGO NO MITIGABLE ID:2011-4-12633, LOCALIDAD:04 SAN CRISTÓBAL, UPZ:32 SAN BLAS</v>
          </cell>
          <cell r="R2627">
            <v>3557432</v>
          </cell>
          <cell r="S2627">
            <v>0</v>
          </cell>
          <cell r="T2627">
            <v>0</v>
          </cell>
          <cell r="U2627">
            <v>3557432</v>
          </cell>
          <cell r="V2627">
            <v>889358</v>
          </cell>
        </row>
        <row r="2628">
          <cell r="J2628">
            <v>2244</v>
          </cell>
          <cell r="K2628">
            <v>43278</v>
          </cell>
          <cell r="L2628" t="str">
            <v>LIZETH  FRANCO OLAYA</v>
          </cell>
          <cell r="M2628">
            <v>31</v>
          </cell>
          <cell r="N2628" t="str">
            <v>RESOLUCION</v>
          </cell>
          <cell r="O2628">
            <v>2433</v>
          </cell>
          <cell r="P2628">
            <v>43278</v>
          </cell>
          <cell r="Q2628" t="str">
            <v>AYUDA TEMPORAL A LAS FAMILIAS DE VARIAS LOCALIDADES, PARA LA RELOCALIZACIÓN DE HOGARES LOCALIZADOS EN ZONAS DE ALTO RIESGO NO MITIGABLE ID:2011-19-12905, LOCALIDAD:19 CIUDAD BOLÍVAR, UPZ:68 EL TESORO</v>
          </cell>
          <cell r="R2628">
            <v>2582006</v>
          </cell>
          <cell r="S2628">
            <v>0</v>
          </cell>
          <cell r="T2628">
            <v>0</v>
          </cell>
          <cell r="U2628">
            <v>2582006</v>
          </cell>
          <cell r="V2628">
            <v>737716</v>
          </cell>
        </row>
        <row r="2629">
          <cell r="J2629">
            <v>2245</v>
          </cell>
          <cell r="K2629">
            <v>43278</v>
          </cell>
          <cell r="L2629" t="str">
            <v>YESMY MILENA CRUZ GIL</v>
          </cell>
          <cell r="M2629">
            <v>31</v>
          </cell>
          <cell r="N2629" t="str">
            <v>RESOLUCION</v>
          </cell>
          <cell r="O2629">
            <v>2432</v>
          </cell>
          <cell r="P2629">
            <v>43278</v>
          </cell>
          <cell r="Q2629" t="str">
            <v>AYUDA TEMPORAL A LAS FAMILIAS DE VARIAS LOCALIDADES, PARA LA RELOCALIZACIÓN DE HOGARES LOCALIZADOS EN ZONAS DE ALTO RIESGO NO MITIGABLE ID:2011-4-12975, LOCALIDAD:04 SAN CRISTÓBAL, UPZ:32 SAN BLAS</v>
          </cell>
          <cell r="R2629">
            <v>3112599</v>
          </cell>
          <cell r="S2629">
            <v>0</v>
          </cell>
          <cell r="T2629">
            <v>0</v>
          </cell>
          <cell r="U2629">
            <v>3112599</v>
          </cell>
          <cell r="V2629">
            <v>889314</v>
          </cell>
        </row>
        <row r="2630">
          <cell r="J2630">
            <v>2246</v>
          </cell>
          <cell r="K2630">
            <v>43278</v>
          </cell>
          <cell r="L2630" t="str">
            <v>JHON FAVIO MORALES GUARNIZO</v>
          </cell>
          <cell r="M2630">
            <v>31</v>
          </cell>
          <cell r="N2630" t="str">
            <v>RESOLUCION</v>
          </cell>
          <cell r="O2630">
            <v>2431</v>
          </cell>
          <cell r="P2630">
            <v>43278</v>
          </cell>
          <cell r="Q2630" t="str">
            <v>AYUDA TEMPORAL A LAS FAMILIAS DE VARIAS LOCALIDADES, PARA LA RELOCALIZACIÓN DE HOGARES LOCALIZADOS EN ZONAS DE ALTO RIESGO NO MITIGABLE ID:2017-19-15043, LOCALIDAD:19 CIUDAD BOLÍVAR, UPZ:67 EL LUCERO, SECTOR:BELLA FLOR</v>
          </cell>
          <cell r="R2630">
            <v>3614814</v>
          </cell>
          <cell r="S2630">
            <v>0</v>
          </cell>
          <cell r="T2630">
            <v>0</v>
          </cell>
          <cell r="U2630">
            <v>3614814</v>
          </cell>
          <cell r="V2630">
            <v>1032804</v>
          </cell>
        </row>
        <row r="2631">
          <cell r="J2631">
            <v>2247</v>
          </cell>
          <cell r="K2631">
            <v>43278</v>
          </cell>
          <cell r="L2631" t="str">
            <v>LEONILDE  GARZON CORTES</v>
          </cell>
          <cell r="M2631">
            <v>31</v>
          </cell>
          <cell r="N2631" t="str">
            <v>RESOLUCION</v>
          </cell>
          <cell r="O2631">
            <v>2430</v>
          </cell>
          <cell r="P2631">
            <v>43278</v>
          </cell>
          <cell r="Q2631" t="str">
            <v>AYUDA TEMPORAL A LAS FAMILIAS DE VARIAS LOCALIDADES, PARA LA RELOCALIZACIÓN DE HOGARES LOCALIZADOS EN ZONAS DE ALTO RIESGO NO MITIGABLE ID:2012-19-14130, LOCALIDAD:19 CIUDAD BOLÍVAR, UPZ:68 EL TESORO, SECTOR:QUEBRADA TROMPETA</v>
          </cell>
          <cell r="R2631">
            <v>2734347</v>
          </cell>
          <cell r="S2631">
            <v>0</v>
          </cell>
          <cell r="T2631">
            <v>0</v>
          </cell>
          <cell r="U2631">
            <v>2734347</v>
          </cell>
          <cell r="V2631">
            <v>781242</v>
          </cell>
        </row>
        <row r="2632">
          <cell r="J2632">
            <v>2248</v>
          </cell>
          <cell r="K2632">
            <v>43278</v>
          </cell>
          <cell r="L2632" t="str">
            <v>JOSE JOAQUIN MONROY RODRIGUEZ</v>
          </cell>
          <cell r="M2632">
            <v>31</v>
          </cell>
          <cell r="N2632" t="str">
            <v>RESOLUCION</v>
          </cell>
          <cell r="O2632">
            <v>2429</v>
          </cell>
          <cell r="P2632">
            <v>43278</v>
          </cell>
          <cell r="Q2632" t="str">
            <v>AYUDA TEMPORAL A LAS FAMILIAS DE VARIAS LOCALIDADES, PARA LA RELOCALIZACIÓN DE HOGARES LOCALIZADOS EN ZONAS DE ALTO RIESGO NO MITIGABLE ID:2013-4-14662, LOCALIDAD:04 SAN CRISTÓBAL, UPZ:32 SAN BLAS</v>
          </cell>
          <cell r="R2632">
            <v>4324509</v>
          </cell>
          <cell r="S2632">
            <v>0</v>
          </cell>
          <cell r="T2632">
            <v>0</v>
          </cell>
          <cell r="U2632">
            <v>4324509</v>
          </cell>
          <cell r="V2632">
            <v>961002</v>
          </cell>
        </row>
        <row r="2633">
          <cell r="J2633">
            <v>2249</v>
          </cell>
          <cell r="K2633">
            <v>43278</v>
          </cell>
          <cell r="L2633" t="str">
            <v>SANDRA PILAR GUAVITA GAITAN</v>
          </cell>
          <cell r="M2633">
            <v>31</v>
          </cell>
          <cell r="N2633" t="str">
            <v>RESOLUCION</v>
          </cell>
          <cell r="O2633">
            <v>2428</v>
          </cell>
          <cell r="P2633">
            <v>43278</v>
          </cell>
          <cell r="Q2633" t="str">
            <v>AYUDA TEMPORAL A LAS FAMILIAS DE VARIAS LOCALIDADES, PARA LA RELOCALIZACIÓN DE HOGARES LOCALIZADOS EN ZONAS DE ALTO RIESGO NO MITIGABLE ID:2010-5-11643, LOCALIDAD:05 USME, UPZ:57 GRAN YOMASA, SECTOR:OLA INVERNAL 2010 FOPAE</v>
          </cell>
          <cell r="R2633">
            <v>2582006</v>
          </cell>
          <cell r="S2633">
            <v>0</v>
          </cell>
          <cell r="T2633">
            <v>0</v>
          </cell>
          <cell r="U2633">
            <v>2582006</v>
          </cell>
          <cell r="V2633">
            <v>737716</v>
          </cell>
        </row>
        <row r="2634">
          <cell r="J2634">
            <v>2250</v>
          </cell>
          <cell r="K2634">
            <v>43278</v>
          </cell>
          <cell r="L2634" t="str">
            <v>ISABEL  GOMEZ JIMENEZ</v>
          </cell>
          <cell r="M2634">
            <v>31</v>
          </cell>
          <cell r="N2634" t="str">
            <v>RESOLUCION</v>
          </cell>
          <cell r="O2634">
            <v>2427</v>
          </cell>
          <cell r="P2634">
            <v>43278</v>
          </cell>
          <cell r="Q2634" t="str">
            <v>AYUDA TEMPORAL A LAS FAMILIAS DE VARIAS LOCALIDADES, PARA LA RELOCALIZACIÓN DE HOGARES LOCALIZADOS EN ZONAS DE ALTO RIESGO NO MITIGABLE ID:2012-ALES-227, LOCALIDAD:19 CIUDAD BOLÍVAR, UPZ:69 ISMAEL PERDOMO, SECTOR:ALTOS DE LA ESTANCIA</v>
          </cell>
          <cell r="R2634">
            <v>3382995</v>
          </cell>
          <cell r="S2634">
            <v>0</v>
          </cell>
          <cell r="T2634">
            <v>0</v>
          </cell>
          <cell r="U2634">
            <v>3382995</v>
          </cell>
          <cell r="V2634">
            <v>966570</v>
          </cell>
        </row>
        <row r="2635">
          <cell r="J2635">
            <v>2251</v>
          </cell>
          <cell r="K2635">
            <v>43279</v>
          </cell>
          <cell r="L2635" t="str">
            <v>HERMENCIA EMILIA CASTAÑEDA BERNAL</v>
          </cell>
          <cell r="M2635">
            <v>31</v>
          </cell>
          <cell r="N2635" t="str">
            <v>RESOLUCION</v>
          </cell>
          <cell r="O2635">
            <v>2643</v>
          </cell>
          <cell r="P2635">
            <v>43279</v>
          </cell>
          <cell r="Q2635" t="str">
            <v>AYUDA TEMPORAL A LAS FAMILIAS DE VARIAS LOCALIDADES, PARA LA RELOCALIZACIÓN DE HOGARES LOCALIZADOS EN ZONAS DE ALTO RIESGO NO MITIGABLE ID:2012-19-14070, LOCALIDAD:19 CIUDAD BOLÍVAR, UPZ:68 EL TESORO, SECTOR:QUEBRADA TROMPETA</v>
          </cell>
          <cell r="R2635">
            <v>3374280</v>
          </cell>
          <cell r="S2635">
            <v>0</v>
          </cell>
          <cell r="T2635">
            <v>0</v>
          </cell>
          <cell r="U2635">
            <v>3374280</v>
          </cell>
          <cell r="V2635">
            <v>964080</v>
          </cell>
        </row>
        <row r="2636">
          <cell r="J2636">
            <v>2252</v>
          </cell>
          <cell r="K2636">
            <v>43279</v>
          </cell>
          <cell r="L2636" t="str">
            <v>GLORIA CECILIA QUIMBAYO SUAREZ</v>
          </cell>
          <cell r="M2636">
            <v>31</v>
          </cell>
          <cell r="N2636" t="str">
            <v>RESOLUCION</v>
          </cell>
          <cell r="O2636">
            <v>2725</v>
          </cell>
          <cell r="P2636">
            <v>43279</v>
          </cell>
          <cell r="Q2636" t="str">
            <v>AYUDA TEMPORAL A LAS FAMILIAS DE VARIAS LOCALIDADES, PARA LA RELOCALIZACIÓN DE HOGARES LOCALIZADOS EN ZONAS DE ALTO RIESGO NO MITIGABLE ID:2003-19-4618, LOCALIDAD:19 CIUDAD BOLÍVAR, UPZ:69 ISMAEL PERDOMO, SECTOR:ALTOS DE LA ESTANCIA</v>
          </cell>
          <cell r="R2636">
            <v>2845920</v>
          </cell>
          <cell r="S2636">
            <v>0</v>
          </cell>
          <cell r="T2636">
            <v>0</v>
          </cell>
          <cell r="U2636">
            <v>2845920</v>
          </cell>
          <cell r="V2636">
            <v>813120</v>
          </cell>
        </row>
        <row r="2637">
          <cell r="J2637">
            <v>2253</v>
          </cell>
          <cell r="K2637">
            <v>43279</v>
          </cell>
          <cell r="L2637" t="str">
            <v>NELIDA MARTHA CASTILLO HERNANDEZ</v>
          </cell>
          <cell r="M2637">
            <v>31</v>
          </cell>
          <cell r="N2637" t="str">
            <v>RESOLUCION</v>
          </cell>
          <cell r="O2637">
            <v>2724</v>
          </cell>
          <cell r="P2637">
            <v>43279</v>
          </cell>
          <cell r="Q2637" t="str">
            <v>AYUDA TEMPORAL A LAS FAMILIAS DE VARIAS LOCALIDADES, PARA LA RELOCALIZACIÓN DE HOGARES LOCALIZADOS EN ZONAS DE ALTO RIESGO NO MITIGABLE ID:2011-18-12496, LOCALIDAD:18 RAFAEL URIBE URIBE, UPZ:53 MARCO FIDEL SUÁREZ, SECTOR:OLA INVERNAL 2010 FOPAE</v>
          </cell>
          <cell r="R2637">
            <v>3100419</v>
          </cell>
          <cell r="S2637">
            <v>0</v>
          </cell>
          <cell r="T2637">
            <v>0</v>
          </cell>
          <cell r="U2637">
            <v>3100419</v>
          </cell>
          <cell r="V2637">
            <v>885834</v>
          </cell>
        </row>
        <row r="2638">
          <cell r="J2638">
            <v>2254</v>
          </cell>
          <cell r="K2638">
            <v>43279</v>
          </cell>
          <cell r="L2638" t="str">
            <v>ANADELIA  MELO JOYA</v>
          </cell>
          <cell r="M2638">
            <v>31</v>
          </cell>
          <cell r="N2638" t="str">
            <v>RESOLUCION</v>
          </cell>
          <cell r="O2638">
            <v>2723</v>
          </cell>
          <cell r="P2638">
            <v>43279</v>
          </cell>
          <cell r="Q2638" t="str">
            <v>AYUDA TEMPORAL A LAS FAMILIAS DE VARIAS LOCALIDADES, PARA LA RELOCALIZACIÓN DE HOGARES LOCALIZADOS EN ZONAS DE ALTO RIESGO NO MITIGABLE ID:2003-19-5220, LOCALIDAD:19 CIUDAD BOLÍVAR, UPZ:69 ISMAEL PERDOMO, SECTOR:ALTOS DE LA ESTANCIA</v>
          </cell>
          <cell r="R2638">
            <v>2883006</v>
          </cell>
          <cell r="S2638">
            <v>2883006</v>
          </cell>
          <cell r="T2638">
            <v>0</v>
          </cell>
          <cell r="U2638">
            <v>0</v>
          </cell>
          <cell r="V2638">
            <v>0</v>
          </cell>
        </row>
        <row r="2639">
          <cell r="J2639">
            <v>2255</v>
          </cell>
          <cell r="K2639">
            <v>43279</v>
          </cell>
          <cell r="L2639" t="str">
            <v>LUZ DARY VIRVIESCAS SANCHEZ</v>
          </cell>
          <cell r="M2639">
            <v>31</v>
          </cell>
          <cell r="N2639" t="str">
            <v>RESOLUCION</v>
          </cell>
          <cell r="O2639">
            <v>2722</v>
          </cell>
          <cell r="P2639">
            <v>43279</v>
          </cell>
          <cell r="Q2639" t="str">
            <v>AYUDA TEMPORAL A LAS FAMILIAS DE VARIAS LOCALIDADES, PARA LA RELOCALIZACIÓN DE HOGARES LOCALIZADOS EN ZONAS DE ALTO RIESGO NO MITIGABLE ID:2011-19-12751, LOCALIDAD:19 CIUDAD BOLÍVAR, UPZ:68 EL TESORO, SECTOR:QUEBRADA EL INFIERNO</v>
          </cell>
          <cell r="R2639">
            <v>2845920</v>
          </cell>
          <cell r="S2639">
            <v>0</v>
          </cell>
          <cell r="T2639">
            <v>0</v>
          </cell>
          <cell r="U2639">
            <v>2845920</v>
          </cell>
          <cell r="V2639">
            <v>813120</v>
          </cell>
        </row>
        <row r="2640">
          <cell r="J2640">
            <v>2256</v>
          </cell>
          <cell r="K2640">
            <v>43279</v>
          </cell>
          <cell r="L2640" t="str">
            <v>MARCELINA  VARGAS GONZALEZ</v>
          </cell>
          <cell r="M2640">
            <v>31</v>
          </cell>
          <cell r="N2640" t="str">
            <v>RESOLUCION</v>
          </cell>
          <cell r="O2640">
            <v>2721</v>
          </cell>
          <cell r="P2640">
            <v>43279</v>
          </cell>
          <cell r="Q2640" t="str">
            <v>AYUDA TEMPORAL A LAS FAMILIAS DE VARIAS LOCALIDADES, PARA LA RELOCALIZACIÓN DE HOGARES LOCALIZADOS EN ZONAS DE ALTO RIESGO NO MITIGABLE ID:2005-19-5791, LOCALIDAD:19 CIUDAD BOLÍVAR, UPZ:67 LUCERO, SECTOR:LIMAS</v>
          </cell>
          <cell r="R2640">
            <v>3563175</v>
          </cell>
          <cell r="S2640">
            <v>0</v>
          </cell>
          <cell r="T2640">
            <v>0</v>
          </cell>
          <cell r="U2640">
            <v>3563175</v>
          </cell>
          <cell r="V2640">
            <v>1018050</v>
          </cell>
        </row>
        <row r="2641">
          <cell r="J2641">
            <v>2257</v>
          </cell>
          <cell r="K2641">
            <v>43279</v>
          </cell>
          <cell r="L2641" t="str">
            <v>CAMPO ELIAS VELASCO DUARTE</v>
          </cell>
          <cell r="M2641">
            <v>31</v>
          </cell>
          <cell r="N2641" t="str">
            <v>RESOLUCION</v>
          </cell>
          <cell r="O2641">
            <v>2671</v>
          </cell>
          <cell r="P2641">
            <v>43279</v>
          </cell>
          <cell r="Q2641" t="str">
            <v>AYUDA TEMPORAL A LAS FAMILIAS DE VARIAS LOCALIDADES, PARA LA RELOCALIZACIÓN DE HOGARES LOCALIZADOS EN ZONAS DE ALTO RIESGO NO MITIGABLE ID:2014-OTR-01213, LOCALIDAD:11 SUBA, UPZ:71 TIBABUYES, SECTOR:GAVILANES</v>
          </cell>
          <cell r="R2641">
            <v>3017000</v>
          </cell>
          <cell r="S2641">
            <v>0</v>
          </cell>
          <cell r="T2641">
            <v>0</v>
          </cell>
          <cell r="U2641">
            <v>3017000</v>
          </cell>
          <cell r="V2641">
            <v>862000</v>
          </cell>
        </row>
        <row r="2642">
          <cell r="J2642">
            <v>2258</v>
          </cell>
          <cell r="K2642">
            <v>43279</v>
          </cell>
          <cell r="L2642" t="str">
            <v>EDGAR GERMAN LEON HERNANDEZ</v>
          </cell>
          <cell r="M2642">
            <v>31</v>
          </cell>
          <cell r="N2642" t="str">
            <v>RESOLUCION</v>
          </cell>
          <cell r="O2642">
            <v>2720</v>
          </cell>
          <cell r="P2642">
            <v>43279</v>
          </cell>
          <cell r="Q2642" t="str">
            <v>AYUDA TEMPORAL A LAS FAMILIAS DE VARIAS LOCALIDADES, PARA LA RELOCALIZACIÓN DE HOGARES LOCALIZADOS EN ZONAS DE ALTO RIESGO NO MITIGABLE ID:2011-19-13539, LOCALIDAD:19 CIUDAD BOLÍVAR, UPZ:68 EL TESORO</v>
          </cell>
          <cell r="R2642">
            <v>2582006</v>
          </cell>
          <cell r="S2642">
            <v>0</v>
          </cell>
          <cell r="T2642">
            <v>0</v>
          </cell>
          <cell r="U2642">
            <v>2582006</v>
          </cell>
          <cell r="V2642">
            <v>368858</v>
          </cell>
        </row>
        <row r="2643">
          <cell r="J2643">
            <v>2259</v>
          </cell>
          <cell r="K2643">
            <v>43279</v>
          </cell>
          <cell r="L2643" t="str">
            <v>MYRIAM JACQUELINE ABRIL CRUZ</v>
          </cell>
          <cell r="M2643">
            <v>31</v>
          </cell>
          <cell r="N2643" t="str">
            <v>RESOLUCION</v>
          </cell>
          <cell r="O2643">
            <v>2719</v>
          </cell>
          <cell r="P2643">
            <v>43279</v>
          </cell>
          <cell r="Q2643" t="str">
            <v>AYUDA TEMPORAL A LAS FAMILIAS DE VARIAS LOCALIDADES, PARA LA RELOCALIZACIÓN DE HOGARES LOCALIZADOS EN ZONAS DE ALTO RIESGO NO MITIGABLE ID:2012-18-14319, LOCALIDAD:18 RAFAEL URIBE URIBE, UPZ:55 DIANA TURBAY</v>
          </cell>
          <cell r="R2643">
            <v>3094182</v>
          </cell>
          <cell r="S2643">
            <v>0</v>
          </cell>
          <cell r="T2643">
            <v>0</v>
          </cell>
          <cell r="U2643">
            <v>3094182</v>
          </cell>
          <cell r="V2643">
            <v>442026</v>
          </cell>
        </row>
        <row r="2644">
          <cell r="J2644">
            <v>2260</v>
          </cell>
          <cell r="K2644">
            <v>43279</v>
          </cell>
          <cell r="L2644" t="str">
            <v>MARIA EMILIA CELY SANCHEZ</v>
          </cell>
          <cell r="M2644">
            <v>31</v>
          </cell>
          <cell r="N2644" t="str">
            <v>RESOLUCION</v>
          </cell>
          <cell r="O2644">
            <v>2718</v>
          </cell>
          <cell r="P2644">
            <v>43279</v>
          </cell>
          <cell r="Q2644" t="str">
            <v>AYUDA TEMPORAL A LAS FAMILIAS DE VARIAS LOCALIDADES, PARA LA RELOCALIZACIÓN DE HOGARES LOCALIZADOS EN ZONAS DE ALTO RIESGO NO MITIGABLE ID:2011-4-12634, LOCALIDAD:04 SAN CRISTÓBAL, UPZ:32 SAN BLAS</v>
          </cell>
          <cell r="R2644">
            <v>2796906</v>
          </cell>
          <cell r="S2644">
            <v>0</v>
          </cell>
          <cell r="T2644">
            <v>0</v>
          </cell>
          <cell r="U2644">
            <v>2796906</v>
          </cell>
          <cell r="V2644">
            <v>799116</v>
          </cell>
        </row>
        <row r="2645">
          <cell r="J2645">
            <v>2261</v>
          </cell>
          <cell r="K2645">
            <v>43279</v>
          </cell>
          <cell r="L2645" t="str">
            <v>JOSE DE LOS SANTOS RIOS SALGADO</v>
          </cell>
          <cell r="M2645">
            <v>31</v>
          </cell>
          <cell r="N2645" t="str">
            <v>RESOLUCION</v>
          </cell>
          <cell r="O2645">
            <v>2642</v>
          </cell>
          <cell r="P2645">
            <v>43279</v>
          </cell>
          <cell r="Q2645" t="str">
            <v>AYUDA TEMPORAL A LAS FAMILIAS DE VARIAS LOCALIDADES, PARA LA RELOCALIZACIÓN DE HOGARES LOCALIZADOS EN ZONAS DE ALTO RIESGO NO MITIGABLE ID:2012-ALES-261, LOCALIDAD:19 CIUDAD BOLÍVAR, UPZ:69 ISMAEL PERDOMO, SECTOR:ALTOS DE LA ESTANCIA</v>
          </cell>
          <cell r="R2645">
            <v>3788778</v>
          </cell>
          <cell r="S2645">
            <v>0</v>
          </cell>
          <cell r="T2645">
            <v>0</v>
          </cell>
          <cell r="U2645">
            <v>3788778</v>
          </cell>
          <cell r="V2645">
            <v>1082508</v>
          </cell>
        </row>
        <row r="2646">
          <cell r="J2646">
            <v>2262</v>
          </cell>
          <cell r="K2646">
            <v>43279</v>
          </cell>
          <cell r="L2646" t="str">
            <v>ROSA MARIA MUÑOZ QUISABONI</v>
          </cell>
          <cell r="M2646">
            <v>31</v>
          </cell>
          <cell r="N2646" t="str">
            <v>RESOLUCION</v>
          </cell>
          <cell r="O2646">
            <v>2641</v>
          </cell>
          <cell r="P2646">
            <v>43279</v>
          </cell>
          <cell r="Q2646" t="str">
            <v>AYUDA TEMPORAL A LAS FAMILIAS DE VARIAS LOCALIDADES, PARA LA RELOCALIZACIÓN DE HOGARES LOCALIZADOS EN ZONAS DE ALTO RIESGO NO MITIGABLE ID:2012-18-14308, LOCALIDAD:18 RAFAEL URIBE URIBE, UPZ:55 DIANA TURBAY</v>
          </cell>
          <cell r="R2646">
            <v>3094175</v>
          </cell>
          <cell r="S2646">
            <v>0</v>
          </cell>
          <cell r="T2646">
            <v>0</v>
          </cell>
          <cell r="U2646">
            <v>3094175</v>
          </cell>
          <cell r="V2646">
            <v>884050</v>
          </cell>
        </row>
        <row r="2647">
          <cell r="J2647">
            <v>2263</v>
          </cell>
          <cell r="K2647">
            <v>43279</v>
          </cell>
          <cell r="L2647" t="str">
            <v>YANID ASTRID DIAZ MONTAÑEZ</v>
          </cell>
          <cell r="M2647">
            <v>31</v>
          </cell>
          <cell r="N2647" t="str">
            <v>RESOLUCION</v>
          </cell>
          <cell r="O2647">
            <v>2640</v>
          </cell>
          <cell r="P2647">
            <v>43279</v>
          </cell>
          <cell r="Q2647" t="str">
            <v>AYUDA TEMPORAL A LAS FAMILIAS DE VARIAS LOCALIDADES, PARA LA RELOCALIZACIÓN DE HOGARES LOCALIZADOS EN ZONAS DE ALTO RIESGO NO MITIGABLE ID:2011-4-12709, LOCALIDAD:04 SAN CRISTÓBAL, UPZ:32 SAN BLAS</v>
          </cell>
          <cell r="R2647">
            <v>2582006</v>
          </cell>
          <cell r="S2647">
            <v>0</v>
          </cell>
          <cell r="T2647">
            <v>0</v>
          </cell>
          <cell r="U2647">
            <v>2582006</v>
          </cell>
          <cell r="V2647">
            <v>737716</v>
          </cell>
        </row>
        <row r="2648">
          <cell r="J2648">
            <v>2264</v>
          </cell>
          <cell r="K2648">
            <v>43279</v>
          </cell>
          <cell r="L2648" t="str">
            <v>LUZ MARINA GARCIA</v>
          </cell>
          <cell r="M2648">
            <v>31</v>
          </cell>
          <cell r="N2648" t="str">
            <v>RESOLUCION</v>
          </cell>
          <cell r="O2648">
            <v>2639</v>
          </cell>
          <cell r="P2648">
            <v>43279</v>
          </cell>
          <cell r="Q2648" t="str">
            <v>AYUDA TEMPORAL A LAS FAMILIAS DE VARIAS LOCALIDADES, PARA LA RELOCALIZACIÓN DE HOGARES LOCALIZADOS EN ZONAS DE ALTO RIESGO NO MITIGABLE ID:2011-5-13414, LOCALIDAD:05 USME, UPZ:58 COMUNEROS</v>
          </cell>
          <cell r="R2648">
            <v>3363360</v>
          </cell>
          <cell r="S2648">
            <v>0</v>
          </cell>
          <cell r="T2648">
            <v>0</v>
          </cell>
          <cell r="U2648">
            <v>3363360</v>
          </cell>
          <cell r="V2648">
            <v>960960</v>
          </cell>
        </row>
        <row r="2649">
          <cell r="J2649">
            <v>2265</v>
          </cell>
          <cell r="K2649">
            <v>43279</v>
          </cell>
          <cell r="L2649" t="str">
            <v>DORIS  DIAZ CASTILLO</v>
          </cell>
          <cell r="M2649">
            <v>31</v>
          </cell>
          <cell r="N2649" t="str">
            <v>RESOLUCION</v>
          </cell>
          <cell r="O2649">
            <v>2638</v>
          </cell>
          <cell r="P2649">
            <v>43279</v>
          </cell>
          <cell r="Q2649" t="str">
            <v>AYUDA TEMPORAL A LAS FAMILIAS DE VARIAS LOCALIDADES, PARA LA RELOCALIZACIÓN DE HOGARES LOCALIZADOS EN ZONAS DE ALTO RIESGO NO MITIGABLE ID:2011-4-12721, LOCALIDAD:04 SAN CRISTÓBAL, UPZ:32 SAN BLAS</v>
          </cell>
          <cell r="R2649">
            <v>2530367</v>
          </cell>
          <cell r="S2649">
            <v>0</v>
          </cell>
          <cell r="T2649">
            <v>0</v>
          </cell>
          <cell r="U2649">
            <v>2530367</v>
          </cell>
          <cell r="V2649">
            <v>722962</v>
          </cell>
        </row>
        <row r="2650">
          <cell r="J2650">
            <v>2266</v>
          </cell>
          <cell r="K2650">
            <v>43279</v>
          </cell>
          <cell r="L2650" t="str">
            <v>JUAN CARLOS DUEÑAS HERNANDEZ</v>
          </cell>
          <cell r="M2650">
            <v>31</v>
          </cell>
          <cell r="N2650" t="str">
            <v>RESOLUCION</v>
          </cell>
          <cell r="O2650">
            <v>2637</v>
          </cell>
          <cell r="P2650">
            <v>43279</v>
          </cell>
          <cell r="Q2650" t="str">
            <v>AYUDA TEMPORAL A LAS FAMILIAS DE VARIAS LOCALIDADES, PARA LA RELOCALIZACIÓN DE HOGARES LOCALIZADOS EN ZONAS DE ALTO RIESGO NO MITIGABLE ID:2012-19-13977, LOCALIDAD:19 CIUDAD BOLÍVAR, UPZ:68 EL TESORO</v>
          </cell>
          <cell r="R2650">
            <v>3098410</v>
          </cell>
          <cell r="S2650">
            <v>0</v>
          </cell>
          <cell r="T2650">
            <v>0</v>
          </cell>
          <cell r="U2650">
            <v>3098410</v>
          </cell>
          <cell r="V2650">
            <v>885260</v>
          </cell>
        </row>
        <row r="2651">
          <cell r="J2651">
            <v>2267</v>
          </cell>
          <cell r="K2651">
            <v>43279</v>
          </cell>
          <cell r="L2651" t="str">
            <v>JONATHAN JULIAN GUZMAN RODRIGUEZ</v>
          </cell>
          <cell r="M2651">
            <v>31</v>
          </cell>
          <cell r="N2651" t="str">
            <v>RESOLUCION</v>
          </cell>
          <cell r="O2651">
            <v>2636</v>
          </cell>
          <cell r="P2651">
            <v>43279</v>
          </cell>
          <cell r="Q2651" t="str">
            <v>AYUDA TEMPORAL A LAS FAMILIAS DE VARIAS LOCALIDADES, PARA LA RELOCALIZACIÓN DE HOGARES LOCALIZADOS EN ZONAS DE ALTO RIESGO NO MITIGABLE ID:2013-Q04-00277, LOCALIDAD:19 CIUDAD BOLÍVAR, UPZ:67 LUCERO, SECTOR:PEÑA COLORADA</v>
          </cell>
          <cell r="R2651">
            <v>3046771</v>
          </cell>
          <cell r="S2651">
            <v>0</v>
          </cell>
          <cell r="T2651">
            <v>0</v>
          </cell>
          <cell r="U2651">
            <v>3046771</v>
          </cell>
          <cell r="V2651">
            <v>870506</v>
          </cell>
        </row>
        <row r="2652">
          <cell r="J2652">
            <v>2268</v>
          </cell>
          <cell r="K2652">
            <v>43279</v>
          </cell>
          <cell r="L2652" t="str">
            <v>NELSON  GALEANO CORZO</v>
          </cell>
          <cell r="M2652">
            <v>31</v>
          </cell>
          <cell r="N2652" t="str">
            <v>RESOLUCION</v>
          </cell>
          <cell r="O2652">
            <v>2635</v>
          </cell>
          <cell r="P2652">
            <v>43279</v>
          </cell>
          <cell r="Q2652" t="str">
            <v>AYUDA TEMPORAL A LAS FAMILIAS DE VARIAS LOCALIDADES, PARA LA RELOCALIZACIÓN DE HOGARES LOCALIZADOS EN ZONAS DE ALTO RIESGO NO MITIGABLE ID:2013-Q05-00054, LOCALIDAD:19 CIUDAD BOLÍVAR, UPZ:68 EL TESORO, SECTOR:QUEBRADA GALINDO</v>
          </cell>
          <cell r="R2652">
            <v>1947573</v>
          </cell>
          <cell r="S2652">
            <v>0</v>
          </cell>
          <cell r="T2652">
            <v>0</v>
          </cell>
          <cell r="U2652">
            <v>1947573</v>
          </cell>
          <cell r="V2652">
            <v>1298382</v>
          </cell>
        </row>
        <row r="2653">
          <cell r="J2653">
            <v>2269</v>
          </cell>
          <cell r="K2653">
            <v>43279</v>
          </cell>
          <cell r="L2653" t="str">
            <v>ADOLFO  DAZA CAMARGO</v>
          </cell>
          <cell r="M2653">
            <v>31</v>
          </cell>
          <cell r="N2653" t="str">
            <v>RESOLUCION</v>
          </cell>
          <cell r="O2653">
            <v>2717</v>
          </cell>
          <cell r="P2653">
            <v>43279</v>
          </cell>
          <cell r="Q2653" t="str">
            <v>AYUDA TEMPORAL A LAS FAMILIAS DE VARIAS LOCALIDADES, PARA LA RELOCALIZACIÓN DE HOGARES LOCALIZADOS EN ZONAS DE ALTO RIESGO NO MITIGABLE ID:2013-Q21-00671, LOCALIDAD:19 CIUDAD BOLÍVAR, UPZ:67 LUCERO, SECTOR:BRAZO DERECHO DE LIMAS</v>
          </cell>
          <cell r="R2653">
            <v>2734347</v>
          </cell>
          <cell r="S2653">
            <v>0</v>
          </cell>
          <cell r="T2653">
            <v>0</v>
          </cell>
          <cell r="U2653">
            <v>2734347</v>
          </cell>
          <cell r="V2653">
            <v>781242</v>
          </cell>
        </row>
        <row r="2654">
          <cell r="J2654">
            <v>2270</v>
          </cell>
          <cell r="K2654">
            <v>43279</v>
          </cell>
          <cell r="L2654" t="str">
            <v>INGRID YULIET BARRAGAN CARVAJAL</v>
          </cell>
          <cell r="M2654">
            <v>31</v>
          </cell>
          <cell r="N2654" t="str">
            <v>RESOLUCION</v>
          </cell>
          <cell r="O2654">
            <v>2634</v>
          </cell>
          <cell r="P2654">
            <v>43279</v>
          </cell>
          <cell r="Q2654" t="str">
            <v>AYUDA TEMPORAL A LAS FAMILIAS DE VARIAS LOCALIDADES, PARA LA RELOCALIZACIÓN DE HOGARES LOCALIZADOS EN ZONAS DE ALTO RIESGO NO MITIGABLE ID:2014-LC-00792, LOCALIDAD:19 CIUDAD BOLÍVAR, UPZ:69 ISMAEL PERDOMO</v>
          </cell>
          <cell r="R2654">
            <v>2846620</v>
          </cell>
          <cell r="S2654">
            <v>0</v>
          </cell>
          <cell r="T2654">
            <v>0</v>
          </cell>
          <cell r="U2654">
            <v>2846620</v>
          </cell>
          <cell r="V2654">
            <v>813320</v>
          </cell>
        </row>
        <row r="2655">
          <cell r="J2655">
            <v>2271</v>
          </cell>
          <cell r="K2655">
            <v>43279</v>
          </cell>
          <cell r="L2655" t="str">
            <v>MARIA DANIELA MORTIGO BOCANEGRA</v>
          </cell>
          <cell r="M2655">
            <v>31</v>
          </cell>
          <cell r="N2655" t="str">
            <v>RESOLUCION</v>
          </cell>
          <cell r="O2655">
            <v>2716</v>
          </cell>
          <cell r="P2655">
            <v>43279</v>
          </cell>
          <cell r="Q2655" t="str">
            <v>AYUDA TEMPORAL A LAS FAMILIAS DE VARIAS LOCALIDADES, PARA LA RELOCALIZACIÓN DE HOGARES LOCALIZADOS EN ZONAS DE ALTO RIESGO NO MITIGABLE ID:2011-18-13337, LOCALIDAD:18 RAFAEL URIBE URIBE, UPZ:54 MARRUECOS</v>
          </cell>
          <cell r="R2655">
            <v>914770</v>
          </cell>
          <cell r="S2655">
            <v>0</v>
          </cell>
          <cell r="T2655">
            <v>0</v>
          </cell>
          <cell r="U2655">
            <v>914770</v>
          </cell>
          <cell r="V2655">
            <v>457385</v>
          </cell>
        </row>
        <row r="2656">
          <cell r="J2656">
            <v>2272</v>
          </cell>
          <cell r="K2656">
            <v>43279</v>
          </cell>
          <cell r="L2656" t="str">
            <v>ANA MARIA JIMENEZ MARTINEZ</v>
          </cell>
          <cell r="M2656">
            <v>31</v>
          </cell>
          <cell r="N2656" t="str">
            <v>RESOLUCION</v>
          </cell>
          <cell r="O2656">
            <v>2633</v>
          </cell>
          <cell r="P2656">
            <v>43279</v>
          </cell>
          <cell r="Q2656" t="str">
            <v>AYUDA TEMPORAL A LAS FAMILIAS DE VARIAS LOCALIDADES, PARA LA RELOCALIZACIÓN DE HOGARES LOCALIZADOS EN ZONAS DE ALTO RIESGO NO MITIGABLE ID:2013-4-14643, LOCALIDAD:04 SAN CRISTÓBAL, UPZ:32 SAN BLAS</v>
          </cell>
          <cell r="R2656">
            <v>3619000</v>
          </cell>
          <cell r="S2656">
            <v>0</v>
          </cell>
          <cell r="T2656">
            <v>0</v>
          </cell>
          <cell r="U2656">
            <v>3619000</v>
          </cell>
          <cell r="V2656">
            <v>1034000</v>
          </cell>
        </row>
        <row r="2657">
          <cell r="J2657">
            <v>2273</v>
          </cell>
          <cell r="K2657">
            <v>43279</v>
          </cell>
          <cell r="L2657" t="str">
            <v>JOEL ANTONIO VARELA LUGO</v>
          </cell>
          <cell r="M2657">
            <v>31</v>
          </cell>
          <cell r="N2657" t="str">
            <v>RESOLUCION</v>
          </cell>
          <cell r="O2657">
            <v>2632</v>
          </cell>
          <cell r="P2657">
            <v>43279</v>
          </cell>
          <cell r="Q2657" t="str">
            <v>AYUDA TEMPORAL A LAS FAMILIAS DE VARIAS LOCALIDADES, PARA LA RELOCALIZACIÓN DE HOGARES LOCALIZADOS EN ZONAS DE ALTO RIESGO NO MITIGABLE ID:2012-T314-16, LOCALIDAD:04 SAN CRISTÓBAL, UPZ:50 LA GLORIA</v>
          </cell>
          <cell r="R2657">
            <v>2723490</v>
          </cell>
          <cell r="S2657">
            <v>0</v>
          </cell>
          <cell r="T2657">
            <v>0</v>
          </cell>
          <cell r="U2657">
            <v>2723490</v>
          </cell>
          <cell r="V2657">
            <v>778140</v>
          </cell>
        </row>
        <row r="2658">
          <cell r="J2658">
            <v>2274</v>
          </cell>
          <cell r="K2658">
            <v>43279</v>
          </cell>
          <cell r="L2658" t="str">
            <v>NELSON  BERMUDEZ RAMIREZ</v>
          </cell>
          <cell r="M2658">
            <v>31</v>
          </cell>
          <cell r="N2658" t="str">
            <v>RESOLUCION</v>
          </cell>
          <cell r="O2658">
            <v>2715</v>
          </cell>
          <cell r="P2658">
            <v>43279</v>
          </cell>
          <cell r="Q2658" t="str">
            <v>AYUDA TEMPORAL A LAS FAMILIAS DE VARIAS LOCALIDADES, PARA LA RELOCALIZACIÓN DE HOGARES LOCALIZADOS EN ZONAS DE ALTO RIESGO NO MITIGABLE ID:2011-4-12636, LOCALIDAD:04 SAN CRISTÓBAL, UPZ:32 SAN BLAS</v>
          </cell>
          <cell r="R2658">
            <v>3022327</v>
          </cell>
          <cell r="S2658">
            <v>0</v>
          </cell>
          <cell r="T2658">
            <v>0</v>
          </cell>
          <cell r="U2658">
            <v>3022327</v>
          </cell>
          <cell r="V2658">
            <v>863522</v>
          </cell>
        </row>
        <row r="2659">
          <cell r="J2659">
            <v>2275</v>
          </cell>
          <cell r="K2659">
            <v>43279</v>
          </cell>
          <cell r="L2659" t="str">
            <v>BLANCA CONSUELO BEJARANO</v>
          </cell>
          <cell r="M2659">
            <v>31</v>
          </cell>
          <cell r="N2659" t="str">
            <v>RESOLUCION</v>
          </cell>
          <cell r="O2659">
            <v>2714</v>
          </cell>
          <cell r="P2659">
            <v>43279</v>
          </cell>
          <cell r="Q2659" t="str">
            <v>AYUDA TEMPORAL A LAS FAMILIAS DE VARIAS LOCALIDADES, PARA LA RELOCALIZACIÓN DE HOGARES LOCALIZADOS EN ZONAS DE ALTO RIESGO NO MITIGABLE ID:2005-4-6465, LOCALIDAD:04 SAN CRISTÓBAL, UPZ:51 LOS LIBERTADORES</v>
          </cell>
          <cell r="R2659">
            <v>2582006</v>
          </cell>
          <cell r="S2659">
            <v>0</v>
          </cell>
          <cell r="T2659">
            <v>0</v>
          </cell>
          <cell r="U2659">
            <v>2582006</v>
          </cell>
          <cell r="V2659">
            <v>737716</v>
          </cell>
        </row>
        <row r="2660">
          <cell r="J2660">
            <v>2276</v>
          </cell>
          <cell r="K2660">
            <v>43279</v>
          </cell>
          <cell r="L2660" t="str">
            <v>JAIME ORLANDO CHECA MORA</v>
          </cell>
          <cell r="M2660">
            <v>31</v>
          </cell>
          <cell r="N2660" t="str">
            <v>RESOLUCION</v>
          </cell>
          <cell r="O2660">
            <v>2631</v>
          </cell>
          <cell r="P2660">
            <v>43279</v>
          </cell>
          <cell r="Q2660" t="str">
            <v>AYUDA TEMPORAL A LAS FAMILIAS DE VARIAS LOCALIDADES, PARA LA RELOCALIZACIÓN DE HOGARES LOCALIZADOS EN ZONAS DE ALTO RIESGO NO MITIGABLE ID:2011-4-13653, LOCALIDAD:04 SAN CRISTÓBAL, UPZ:34 20 DE JULIO</v>
          </cell>
          <cell r="R2660">
            <v>2943493</v>
          </cell>
          <cell r="S2660">
            <v>0</v>
          </cell>
          <cell r="T2660">
            <v>0</v>
          </cell>
          <cell r="U2660">
            <v>2943493</v>
          </cell>
          <cell r="V2660">
            <v>840998</v>
          </cell>
        </row>
        <row r="2661">
          <cell r="J2661">
            <v>2277</v>
          </cell>
          <cell r="K2661">
            <v>43279</v>
          </cell>
          <cell r="L2661" t="str">
            <v>LUZ MARINA MESA MOLINA</v>
          </cell>
          <cell r="M2661">
            <v>31</v>
          </cell>
          <cell r="N2661" t="str">
            <v>RESOLUCION</v>
          </cell>
          <cell r="O2661">
            <v>2713</v>
          </cell>
          <cell r="P2661">
            <v>43279</v>
          </cell>
          <cell r="Q2661" t="str">
            <v>AYUDA TEMPORAL A LAS FAMILIAS DE VARIAS LOCALIDADES, PARA LA RELOCALIZACIÓN DE HOGARES LOCALIZADOS EN ZONAS DE ALTO RIESGO NO MITIGABLE ID:2007-4-10615, LOCALIDAD:04 SAN CRISTÓBAL, UPZ:34 20 DE JULIO</v>
          </cell>
          <cell r="R2661">
            <v>3201695</v>
          </cell>
          <cell r="S2661">
            <v>0</v>
          </cell>
          <cell r="T2661">
            <v>0</v>
          </cell>
          <cell r="U2661">
            <v>3201695</v>
          </cell>
          <cell r="V2661">
            <v>914770</v>
          </cell>
        </row>
        <row r="2662">
          <cell r="J2662">
            <v>2278</v>
          </cell>
          <cell r="K2662">
            <v>43279</v>
          </cell>
          <cell r="L2662" t="str">
            <v>ORFA MARIA MURCIA GUZMAN</v>
          </cell>
          <cell r="M2662">
            <v>31</v>
          </cell>
          <cell r="N2662" t="str">
            <v>RESOLUCION</v>
          </cell>
          <cell r="O2662">
            <v>2630</v>
          </cell>
          <cell r="P2662">
            <v>43279</v>
          </cell>
          <cell r="Q2662" t="str">
            <v>AYUDA TEMPORAL A LAS FAMILIAS DE VARIAS LOCALIDADES, PARA LA RELOCALIZACIÓN DE HOGARES LOCALIZADOS EN ZONAS DE ALTO RIESGO NO MITIGABLE ID:2013-Q21-00634, LOCALIDAD:19 CIUDAD BOLÍVAR, UPZ:67 LUCERO, SECTOR:BRAZO DERECHO DE LIMAS</v>
          </cell>
          <cell r="R2662">
            <v>2788569</v>
          </cell>
          <cell r="S2662">
            <v>0</v>
          </cell>
          <cell r="T2662">
            <v>0</v>
          </cell>
          <cell r="U2662">
            <v>2788569</v>
          </cell>
          <cell r="V2662">
            <v>796734</v>
          </cell>
        </row>
        <row r="2663">
          <cell r="J2663">
            <v>2279</v>
          </cell>
          <cell r="K2663">
            <v>43279</v>
          </cell>
          <cell r="L2663" t="str">
            <v>MARTHA CECILIA LASSO MACHADO</v>
          </cell>
          <cell r="M2663">
            <v>31</v>
          </cell>
          <cell r="N2663" t="str">
            <v>RESOLUCION</v>
          </cell>
          <cell r="O2663">
            <v>2712</v>
          </cell>
          <cell r="P2663">
            <v>43279</v>
          </cell>
          <cell r="Q2663" t="str">
            <v>AYUDA TEMPORAL A LAS FAMILIAS DE VARIAS LOCALIDADES, PARA LA RELOCALIZACIÓN DE HOGARES LOCALIZADOS EN ZONAS DE ALTO RIESGO NO MITIGABLE ID:2011-19-12867, LOCALIDAD:19 CIUDAD BOLÍVAR, UPZ:67 LUCERO</v>
          </cell>
          <cell r="R2663">
            <v>2924376</v>
          </cell>
          <cell r="S2663">
            <v>0</v>
          </cell>
          <cell r="T2663">
            <v>0</v>
          </cell>
          <cell r="U2663">
            <v>2924376</v>
          </cell>
          <cell r="V2663">
            <v>417768</v>
          </cell>
        </row>
        <row r="2664">
          <cell r="J2664">
            <v>2280</v>
          </cell>
          <cell r="K2664">
            <v>43279</v>
          </cell>
          <cell r="L2664" t="str">
            <v>LUIS CARLOS COY GUIO</v>
          </cell>
          <cell r="M2664">
            <v>31</v>
          </cell>
          <cell r="N2664" t="str">
            <v>RESOLUCION</v>
          </cell>
          <cell r="O2664">
            <v>2711</v>
          </cell>
          <cell r="P2664">
            <v>43279</v>
          </cell>
          <cell r="Q2664" t="str">
            <v>AYUDA TEMPORAL A LAS FAMILIAS DE VARIAS LOCALIDADES, PARA LA RELOCALIZACIÓN DE HOGARES LOCALIZADOS EN ZONAS DE ALTO RIESGO NO MITIGABLE ID:2011-4-12631, LOCALIDAD:04 SAN CRISTÓBAL, UPZ:32 SAN BLAS</v>
          </cell>
          <cell r="R2664">
            <v>2661239</v>
          </cell>
          <cell r="S2664">
            <v>0</v>
          </cell>
          <cell r="T2664">
            <v>0</v>
          </cell>
          <cell r="U2664">
            <v>2661239</v>
          </cell>
          <cell r="V2664">
            <v>760354</v>
          </cell>
        </row>
        <row r="2665">
          <cell r="J2665">
            <v>2281</v>
          </cell>
          <cell r="K2665">
            <v>43279</v>
          </cell>
          <cell r="L2665" t="str">
            <v>RUBELIA  JARAMILLO ATEHORTUA</v>
          </cell>
          <cell r="M2665">
            <v>31</v>
          </cell>
          <cell r="N2665" t="str">
            <v>RESOLUCION</v>
          </cell>
          <cell r="O2665">
            <v>2710</v>
          </cell>
          <cell r="P2665">
            <v>43279</v>
          </cell>
          <cell r="Q2665" t="str">
            <v>AYUDA TEMPORAL A LAS FAMILIAS DE VARIAS LOCALIDADES, PARA LA RELOCALIZACIÓN DE HOGARES LOCALIZADOS EN ZONAS DE ALTO RIESGO NO MITIGABLE ID:2014-C01-00687, LOCALIDAD:19 CIUDAD BOLÍVAR, UPZ:68 EL TESORO</v>
          </cell>
          <cell r="R2665">
            <v>2846046</v>
          </cell>
          <cell r="S2665">
            <v>0</v>
          </cell>
          <cell r="T2665">
            <v>0</v>
          </cell>
          <cell r="U2665">
            <v>2846046</v>
          </cell>
          <cell r="V2665">
            <v>813156</v>
          </cell>
        </row>
        <row r="2666">
          <cell r="J2666">
            <v>2282</v>
          </cell>
          <cell r="K2666">
            <v>43279</v>
          </cell>
          <cell r="L2666" t="str">
            <v>SANDRA PATRICIA ADAN</v>
          </cell>
          <cell r="M2666">
            <v>31</v>
          </cell>
          <cell r="N2666" t="str">
            <v>RESOLUCION</v>
          </cell>
          <cell r="O2666">
            <v>2709</v>
          </cell>
          <cell r="P2666">
            <v>43279</v>
          </cell>
          <cell r="Q2666" t="str">
            <v>AYUDA TEMPORAL A LAS FAMILIAS DE VARIAS LOCALIDADES, PARA LA RELOCALIZACIÓN DE HOGARES LOCALIZADOS EN ZONAS DE ALTO RIESGO NO MITIGABLE ID:2014-OTR-00870, LOCALIDAD:03 SANTA FE, UPZ:96 LOURDES, SECTOR:CASA 1</v>
          </cell>
          <cell r="R2666">
            <v>3606526</v>
          </cell>
          <cell r="S2666">
            <v>0</v>
          </cell>
          <cell r="T2666">
            <v>0</v>
          </cell>
          <cell r="U2666">
            <v>3606526</v>
          </cell>
          <cell r="V2666">
            <v>1030436</v>
          </cell>
        </row>
        <row r="2667">
          <cell r="J2667">
            <v>2283</v>
          </cell>
          <cell r="K2667">
            <v>43279</v>
          </cell>
          <cell r="L2667" t="str">
            <v>MANUEL LIBARDO ARIAS MARQUEZ</v>
          </cell>
          <cell r="M2667">
            <v>31</v>
          </cell>
          <cell r="N2667" t="str">
            <v>RESOLUCION</v>
          </cell>
          <cell r="O2667">
            <v>2698</v>
          </cell>
          <cell r="P2667">
            <v>43279</v>
          </cell>
          <cell r="Q2667" t="str">
            <v>AYUDA TEMPORAL A LAS FAMILIAS DE VARIAS LOCALIDADES, PARA LA RELOCALIZACIÓN DE HOGARES LOCALIZADOS EN ZONAS DE ALTO RIESGO NO MITIGABLE ID:2007-19-9702, LOCALIDAD:19 CIUDAD BOLÍVAR, UPZ:69 ISMAEL PERDOMO</v>
          </cell>
          <cell r="R2667">
            <v>2582006</v>
          </cell>
          <cell r="S2667">
            <v>0</v>
          </cell>
          <cell r="T2667">
            <v>0</v>
          </cell>
          <cell r="U2667">
            <v>2582006</v>
          </cell>
          <cell r="V2667">
            <v>737716</v>
          </cell>
        </row>
        <row r="2668">
          <cell r="J2668">
            <v>2284</v>
          </cell>
          <cell r="K2668">
            <v>43279</v>
          </cell>
          <cell r="L2668" t="str">
            <v>ELVIRA  FAJARDO</v>
          </cell>
          <cell r="M2668">
            <v>31</v>
          </cell>
          <cell r="N2668" t="str">
            <v>RESOLUCION</v>
          </cell>
          <cell r="O2668">
            <v>2697</v>
          </cell>
          <cell r="P2668">
            <v>43279</v>
          </cell>
          <cell r="Q2668" t="str">
            <v>AYUDA TEMPORAL A LAS FAMILIAS DE VARIAS LOCALIDADES, PARA LA RELOCALIZACIÓN DE HOGARES LOCALIZADOS EN ZONAS DE ALTO RIESGO NO MITIGABLE ID:2013000529, LOCALIDAD:19 CIUDAD BOLÍVAR, UPZ:67 LUCERO, SECTOR:BRAZO DERECHO DE LIMAS</v>
          </cell>
          <cell r="R2668">
            <v>3773399</v>
          </cell>
          <cell r="S2668">
            <v>0</v>
          </cell>
          <cell r="T2668">
            <v>0</v>
          </cell>
          <cell r="U2668">
            <v>3773399</v>
          </cell>
          <cell r="V2668">
            <v>1078114</v>
          </cell>
        </row>
        <row r="2669">
          <cell r="J2669">
            <v>2285</v>
          </cell>
          <cell r="K2669">
            <v>43279</v>
          </cell>
          <cell r="L2669" t="str">
            <v>ANA MILENA JIMENEZ VARGAS</v>
          </cell>
          <cell r="M2669">
            <v>31</v>
          </cell>
          <cell r="N2669" t="str">
            <v>RESOLUCION</v>
          </cell>
          <cell r="O2669">
            <v>2708</v>
          </cell>
          <cell r="P2669">
            <v>43279</v>
          </cell>
          <cell r="Q2669" t="str">
            <v>AYUDA TEMPORAL A LAS FAMILIAS DE VARIAS LOCALIDADES, PARA LA RELOCALIZACIÓN DE HOGARES LOCALIZADOS EN ZONAS DE ALTO RIESGO NO MITIGABLE ID:2014-OTR-00867, LOCALIDAD:03 SANTA FE, UPZ:96 LOURDES, SECTOR:CASA 1</v>
          </cell>
          <cell r="R2669">
            <v>2975525</v>
          </cell>
          <cell r="S2669">
            <v>0</v>
          </cell>
          <cell r="T2669">
            <v>0</v>
          </cell>
          <cell r="U2669">
            <v>2975525</v>
          </cell>
          <cell r="V2669">
            <v>850150</v>
          </cell>
        </row>
        <row r="2670">
          <cell r="J2670">
            <v>2286</v>
          </cell>
          <cell r="K2670">
            <v>43279</v>
          </cell>
          <cell r="L2670" t="str">
            <v>MARIA WFELMIDA ANZOLA GALINDO</v>
          </cell>
          <cell r="M2670">
            <v>31</v>
          </cell>
          <cell r="N2670" t="str">
            <v>RESOLUCION</v>
          </cell>
          <cell r="O2670">
            <v>2696</v>
          </cell>
          <cell r="P2670">
            <v>43279</v>
          </cell>
          <cell r="Q2670" t="str">
            <v>AYUDA TEMPORAL A LAS FAMILIAS DE VARIAS LOCALIDADES, PARA LA RELOCALIZACIÓN DE HOGARES LOCALIZADOS EN ZONAS DE ALTO RIESGO NO MITIGABLE ID:2012-19-14192, LOCALIDAD:19 CIUDAD BOLÍVAR, UPZ:68 EL TESORO, SECTOR:QUEBRADA TROMPETA</v>
          </cell>
          <cell r="R2670">
            <v>2582006</v>
          </cell>
          <cell r="S2670">
            <v>0</v>
          </cell>
          <cell r="T2670">
            <v>0</v>
          </cell>
          <cell r="U2670">
            <v>2582006</v>
          </cell>
          <cell r="V2670">
            <v>737716</v>
          </cell>
        </row>
        <row r="2671">
          <cell r="J2671">
            <v>2287</v>
          </cell>
          <cell r="K2671">
            <v>43279</v>
          </cell>
          <cell r="L2671" t="str">
            <v>ADRIANA PATRICIA QUIÑONES BUSTOS</v>
          </cell>
          <cell r="M2671">
            <v>31</v>
          </cell>
          <cell r="N2671" t="str">
            <v>RESOLUCION</v>
          </cell>
          <cell r="O2671">
            <v>2707</v>
          </cell>
          <cell r="P2671">
            <v>43279</v>
          </cell>
          <cell r="Q2671" t="str">
            <v>AYUDA TEMPORAL A LAS FAMILIAS DE VARIAS LOCALIDADES, PARA LA RELOCALIZACIÓN DE HOGARES LOCALIZADOS EN ZONAS DE ALTO RIESGO NO MITIGABLE ID:2013-Q04-00528, LOCALIDAD:19 CIUDAD BOLÍVAR, UPZ:67 LUCERO, SECTOR:PEÑA COLORADA</v>
          </cell>
          <cell r="R2671">
            <v>3788778</v>
          </cell>
          <cell r="S2671">
            <v>0</v>
          </cell>
          <cell r="T2671">
            <v>0</v>
          </cell>
          <cell r="U2671">
            <v>3788778</v>
          </cell>
          <cell r="V2671">
            <v>1082508</v>
          </cell>
        </row>
        <row r="2672">
          <cell r="J2672">
            <v>2288</v>
          </cell>
          <cell r="K2672">
            <v>43279</v>
          </cell>
          <cell r="L2672" t="str">
            <v>CILVINA  RODRIGUEZ ROMERO</v>
          </cell>
          <cell r="M2672">
            <v>31</v>
          </cell>
          <cell r="N2672" t="str">
            <v>RESOLUCION</v>
          </cell>
          <cell r="O2672">
            <v>2695</v>
          </cell>
          <cell r="P2672">
            <v>43279</v>
          </cell>
          <cell r="Q2672" t="str">
            <v>AYUDA TEMPORAL A LAS FAMILIAS DE VARIAS LOCALIDADES, PARA LA RELOCALIZACIÓN DE HOGARES LOCALIZADOS EN ZONAS DE ALTO RIESGO NO MITIGABLE ID:2011-4-12707, LOCALIDAD:04 SAN CRISTÓBAL, UPZ:32 SAN BLAS</v>
          </cell>
          <cell r="R2672">
            <v>2977345</v>
          </cell>
          <cell r="S2672">
            <v>0</v>
          </cell>
          <cell r="T2672">
            <v>0</v>
          </cell>
          <cell r="U2672">
            <v>2977345</v>
          </cell>
          <cell r="V2672">
            <v>850670</v>
          </cell>
        </row>
        <row r="2673">
          <cell r="J2673">
            <v>2289</v>
          </cell>
          <cell r="K2673">
            <v>43279</v>
          </cell>
          <cell r="L2673" t="str">
            <v>ROSARIO  PINO PEREZ</v>
          </cell>
          <cell r="M2673">
            <v>31</v>
          </cell>
          <cell r="N2673" t="str">
            <v>RESOLUCION</v>
          </cell>
          <cell r="O2673">
            <v>2694</v>
          </cell>
          <cell r="P2673">
            <v>43279</v>
          </cell>
          <cell r="Q2673" t="str">
            <v>AYUDA TEMPORAL A LAS FAMILIAS DE VARIAS LOCALIDADES, PARA LA RELOCALIZACIÓN DE HOGARES LOCALIZADOS EN ZONAS DE ALTO RIESGO NO MITIGABLE ID:2012-T314-03, LOCALIDAD:04 SAN CRISTÓBAL, UPZ:50 LA GLORIA</v>
          </cell>
          <cell r="R2673">
            <v>2582006</v>
          </cell>
          <cell r="S2673">
            <v>0</v>
          </cell>
          <cell r="T2673">
            <v>0</v>
          </cell>
          <cell r="U2673">
            <v>2582006</v>
          </cell>
          <cell r="V2673">
            <v>737716</v>
          </cell>
        </row>
        <row r="2674">
          <cell r="J2674">
            <v>2290</v>
          </cell>
          <cell r="K2674">
            <v>43279</v>
          </cell>
          <cell r="L2674" t="str">
            <v>YURI ALEJANDRA VISCAYA COPAJITA</v>
          </cell>
          <cell r="M2674">
            <v>31</v>
          </cell>
          <cell r="N2674" t="str">
            <v>RESOLUCION</v>
          </cell>
          <cell r="O2674">
            <v>2693</v>
          </cell>
          <cell r="P2674">
            <v>43279</v>
          </cell>
          <cell r="Q2674" t="str">
            <v>AYUDA TEMPORAL A LAS FAMILIAS DE VARIAS LOCALIDADES, PARA LA RELOCALIZACIÓN DE HOGARES LOCALIZADOS EN ZONAS DE ALTO RIESGO NO MITIGABLE ID:2014-OTR-01214, LOCALIDAD:11 SUBA, UPZ:71 TIBABUYES, SECTOR:GAVILANES</v>
          </cell>
          <cell r="R2674">
            <v>2975525</v>
          </cell>
          <cell r="S2674">
            <v>0</v>
          </cell>
          <cell r="T2674">
            <v>0</v>
          </cell>
          <cell r="U2674">
            <v>2975525</v>
          </cell>
          <cell r="V2674">
            <v>850150</v>
          </cell>
        </row>
        <row r="2675">
          <cell r="J2675">
            <v>2291</v>
          </cell>
          <cell r="K2675">
            <v>43279</v>
          </cell>
          <cell r="L2675" t="str">
            <v>GERTRUDIS  MORALES TOMBE</v>
          </cell>
          <cell r="M2675">
            <v>31</v>
          </cell>
          <cell r="N2675" t="str">
            <v>RESOLUCION</v>
          </cell>
          <cell r="O2675">
            <v>2706</v>
          </cell>
          <cell r="P2675">
            <v>43279</v>
          </cell>
          <cell r="Q2675" t="str">
            <v>AYUDA TEMPORAL A LAS FAMILIAS DE VARIAS LOCALIDADES, PARA LA RELOCALIZACIÓN DE HOGARES LOCALIZADOS EN ZONAS DE ALTO RIESGO NO MITIGABLE ID:2013-Q09-00429, LOCALIDAD:19 CIUDAD BOLÍVAR, UPZ:67 LUCERO, SECTOR:QUEBRADA TROMPETA</v>
          </cell>
          <cell r="R2675">
            <v>3459890</v>
          </cell>
          <cell r="S2675">
            <v>0</v>
          </cell>
          <cell r="T2675">
            <v>0</v>
          </cell>
          <cell r="U2675">
            <v>3459890</v>
          </cell>
          <cell r="V2675">
            <v>988540</v>
          </cell>
        </row>
        <row r="2676">
          <cell r="J2676">
            <v>2292</v>
          </cell>
          <cell r="K2676">
            <v>43279</v>
          </cell>
          <cell r="L2676" t="str">
            <v>GEIMAR ARLEY NIÑO SANCHEZ</v>
          </cell>
          <cell r="M2676">
            <v>31</v>
          </cell>
          <cell r="N2676" t="str">
            <v>RESOLUCION</v>
          </cell>
          <cell r="O2676">
            <v>2692</v>
          </cell>
          <cell r="P2676">
            <v>43279</v>
          </cell>
          <cell r="Q2676" t="str">
            <v>AYUDA TEMPORAL A LAS FAMILIAS DE VARIAS LOCALIDADES, PARA LA RELOCALIZACIÓN DE HOGARES LOCALIZADOS EN ZONAS DE ALTO RIESGO NO MITIGABLE ID:2014-Q03-01077, LOCALIDAD:19 CIUDAD BOLÍVAR, UPZ:66 SAN FRANCISCO, SECTOR:LIMAS</v>
          </cell>
          <cell r="R2676">
            <v>3712008</v>
          </cell>
          <cell r="S2676">
            <v>0</v>
          </cell>
          <cell r="T2676">
            <v>0</v>
          </cell>
          <cell r="U2676">
            <v>3712008</v>
          </cell>
          <cell r="V2676">
            <v>928002</v>
          </cell>
        </row>
        <row r="2677">
          <cell r="J2677">
            <v>2293</v>
          </cell>
          <cell r="K2677">
            <v>43279</v>
          </cell>
          <cell r="L2677" t="str">
            <v>ORLANDO  COTRINA COTRINA</v>
          </cell>
          <cell r="M2677">
            <v>31</v>
          </cell>
          <cell r="N2677" t="str">
            <v>RESOLUCION</v>
          </cell>
          <cell r="O2677">
            <v>2691</v>
          </cell>
          <cell r="P2677">
            <v>43279</v>
          </cell>
          <cell r="Q2677" t="str">
            <v>AYUDA TEMPORAL A LAS FAMILIAS DE VARIAS LOCALIDADES, PARA LA RELOCALIZACIÓN DE HOGARES LOCALIZADOS EN ZONAS DE ALTO RIESGO NO MITIGABLE ID:2015-Q03-03408, LOCALIDAD:19 CIUDAD BOLÍVAR, UPZ:66 SAN FRANCISCO, SECTOR:LIMAS</v>
          </cell>
          <cell r="R2677">
            <v>2685291</v>
          </cell>
          <cell r="S2677">
            <v>0</v>
          </cell>
          <cell r="T2677">
            <v>0</v>
          </cell>
          <cell r="U2677">
            <v>2685291</v>
          </cell>
          <cell r="V2677">
            <v>767226</v>
          </cell>
        </row>
        <row r="2678">
          <cell r="J2678">
            <v>2294</v>
          </cell>
          <cell r="K2678">
            <v>43279</v>
          </cell>
          <cell r="L2678" t="str">
            <v>NUBIA ENID MENDEZ CORREDOR</v>
          </cell>
          <cell r="M2678">
            <v>31</v>
          </cell>
          <cell r="N2678" t="str">
            <v>RESOLUCION</v>
          </cell>
          <cell r="O2678">
            <v>2629</v>
          </cell>
          <cell r="P2678">
            <v>43279</v>
          </cell>
          <cell r="Q2678" t="str">
            <v>AYUDA TEMPORAL A LAS FAMILIAS DE VARIAS LOCALIDADES, PARA LA RELOCALIZACIÓN DE HOGARES LOCALIZADOS EN ZONAS DE ALTO RIESGO NO MITIGABLE ID:2014-LC-00812, LOCALIDAD:19 CIUDAD BOLÍVAR, UPZ:69 ISMAEL PERDOMO</v>
          </cell>
          <cell r="R2678">
            <v>3363360</v>
          </cell>
          <cell r="S2678">
            <v>0</v>
          </cell>
          <cell r="T2678">
            <v>0</v>
          </cell>
          <cell r="U2678">
            <v>3363360</v>
          </cell>
          <cell r="V2678">
            <v>960960</v>
          </cell>
        </row>
        <row r="2679">
          <cell r="J2679">
            <v>2295</v>
          </cell>
          <cell r="K2679">
            <v>43279</v>
          </cell>
          <cell r="L2679" t="str">
            <v>LIDIA RUTH DAZA BUSTOS</v>
          </cell>
          <cell r="M2679">
            <v>31</v>
          </cell>
          <cell r="N2679" t="str">
            <v>RESOLUCION</v>
          </cell>
          <cell r="O2679">
            <v>2690</v>
          </cell>
          <cell r="P2679">
            <v>43279</v>
          </cell>
          <cell r="Q2679" t="str">
            <v>AYUDA TEMPORAL A LAS FAMILIAS DE VARIAS LOCALIDADES, PARA LA RELOCALIZACIÓN DE HOGARES LOCALIZADOS EN ZONAS DE ALTO RIESGO NO MITIGABLE ID:2014-Q04-00915, LOCALIDAD:19 CIUDAD BOLÍVAR, UPZ:67 LUCERO, SECTOR:PEÑA COLORADA</v>
          </cell>
          <cell r="R2679">
            <v>3098403</v>
          </cell>
          <cell r="S2679">
            <v>0</v>
          </cell>
          <cell r="T2679">
            <v>0</v>
          </cell>
          <cell r="U2679">
            <v>3098403</v>
          </cell>
          <cell r="V2679">
            <v>885258</v>
          </cell>
        </row>
        <row r="2680">
          <cell r="J2680">
            <v>2296</v>
          </cell>
          <cell r="K2680">
            <v>43279</v>
          </cell>
          <cell r="L2680" t="str">
            <v>ROSA ELENA GUTIERREZ</v>
          </cell>
          <cell r="M2680">
            <v>31</v>
          </cell>
          <cell r="N2680" t="str">
            <v>RESOLUCION</v>
          </cell>
          <cell r="O2680">
            <v>2705</v>
          </cell>
          <cell r="P2680">
            <v>43279</v>
          </cell>
          <cell r="Q2680" t="str">
            <v>AYUDA TEMPORAL A LAS FAMILIAS DE VARIAS LOCALIDADES, PARA LA RELOCALIZACIÓN DE HOGARES LOCALIZADOS EN ZONAS DE ALTO RIESGO NO MITIGABLE ID:2011-4-12651, LOCALIDAD:04 SAN CRISTÓBAL, UPZ:32 SAN BLAS</v>
          </cell>
          <cell r="R2680">
            <v>2661239</v>
          </cell>
          <cell r="S2680">
            <v>0</v>
          </cell>
          <cell r="T2680">
            <v>0</v>
          </cell>
          <cell r="U2680">
            <v>2661239</v>
          </cell>
          <cell r="V2680">
            <v>760354</v>
          </cell>
        </row>
        <row r="2681">
          <cell r="J2681">
            <v>2297</v>
          </cell>
          <cell r="K2681">
            <v>43279</v>
          </cell>
          <cell r="L2681" t="str">
            <v>ALBENIS  TORRES</v>
          </cell>
          <cell r="M2681">
            <v>31</v>
          </cell>
          <cell r="N2681" t="str">
            <v>RESOLUCION</v>
          </cell>
          <cell r="O2681">
            <v>2628</v>
          </cell>
          <cell r="P2681">
            <v>43279</v>
          </cell>
          <cell r="Q2681" t="str">
            <v>AYUDA TEMPORAL A LAS FAMILIAS DE VARIAS LOCALIDADES, PARA LA RELOCALIZACIÓN DE HOGARES LOCALIZADOS EN ZONAS DE ALTO RIESGO NO MITIGABLE ID:2013-Q10-00213, LOCALIDAD:04 SAN CRISTÓBAL, UPZ:51 LOS LIBERTADORES, SECTOR:QUEBRADA VEREJONES</v>
          </cell>
          <cell r="R2681">
            <v>2887073</v>
          </cell>
          <cell r="S2681">
            <v>0</v>
          </cell>
          <cell r="T2681">
            <v>0</v>
          </cell>
          <cell r="U2681">
            <v>2887073</v>
          </cell>
          <cell r="V2681">
            <v>824878</v>
          </cell>
        </row>
        <row r="2682">
          <cell r="J2682">
            <v>2298</v>
          </cell>
          <cell r="K2682">
            <v>43279</v>
          </cell>
          <cell r="L2682" t="str">
            <v>EDGAR  FRANCO GAONA</v>
          </cell>
          <cell r="M2682">
            <v>31</v>
          </cell>
          <cell r="N2682" t="str">
            <v>RESOLUCION</v>
          </cell>
          <cell r="O2682">
            <v>2689</v>
          </cell>
          <cell r="P2682">
            <v>43279</v>
          </cell>
          <cell r="Q2682" t="str">
            <v>AYUDA TEMPORAL A LAS FAMILIAS DE VARIAS LOCALIDADES, PARA LA RELOCALIZACIÓN DE HOGARES LOCALIZADOS EN ZONAS DE ALTO RIESGO NO MITIGABLE ID:2013-19-14624, LOCALIDAD:19 CIUDAD BOLÍVAR, UPZ:68 EL TESORO</v>
          </cell>
          <cell r="R2682">
            <v>2661659</v>
          </cell>
          <cell r="S2682">
            <v>0</v>
          </cell>
          <cell r="T2682">
            <v>0</v>
          </cell>
          <cell r="U2682">
            <v>2661659</v>
          </cell>
          <cell r="V2682">
            <v>760474</v>
          </cell>
        </row>
        <row r="2683">
          <cell r="J2683">
            <v>2299</v>
          </cell>
          <cell r="K2683">
            <v>43279</v>
          </cell>
          <cell r="L2683" t="str">
            <v>GUSTAVO  PARRA CORTES</v>
          </cell>
          <cell r="M2683">
            <v>31</v>
          </cell>
          <cell r="N2683" t="str">
            <v>RESOLUCION</v>
          </cell>
          <cell r="O2683">
            <v>2627</v>
          </cell>
          <cell r="P2683">
            <v>43279</v>
          </cell>
          <cell r="Q2683" t="str">
            <v>AYUDA TEMPORAL A LAS FAMILIAS DE VARIAS LOCALIDADES, PARA LA RELOCALIZACIÓN DE HOGARES LOCALIZADOS EN ZONAS DE ALTO RIESGO NO MITIGABLE ID:2013-Q09-00082, LOCALIDAD:19 CIUDAD BOLÍVAR, UPZ:67 LUCERO, SECTOR:QUEBRADA HONDA</v>
          </cell>
          <cell r="R2683">
            <v>3098410</v>
          </cell>
          <cell r="S2683">
            <v>0</v>
          </cell>
          <cell r="T2683">
            <v>0</v>
          </cell>
          <cell r="U2683">
            <v>3098410</v>
          </cell>
          <cell r="V2683">
            <v>885260</v>
          </cell>
        </row>
        <row r="2684">
          <cell r="J2684">
            <v>2300</v>
          </cell>
          <cell r="K2684">
            <v>43279</v>
          </cell>
          <cell r="L2684" t="str">
            <v>SILVIA ESPERANZA ALDANA PULIDO</v>
          </cell>
          <cell r="M2684">
            <v>31</v>
          </cell>
          <cell r="N2684" t="str">
            <v>RESOLUCION</v>
          </cell>
          <cell r="O2684">
            <v>2688</v>
          </cell>
          <cell r="P2684">
            <v>43279</v>
          </cell>
          <cell r="Q2684" t="str">
            <v>AYUDA TEMPORAL A LAS FAMILIAS DE VARIAS LOCALIDADES, PARA LA RELOCALIZACIÓN DE HOGARES LOCALIZADOS EN ZONAS DE ALTO RIESGO NO MITIGABLE ID:2012-T314-12, LOCALIDAD:04 SAN CRISTÓBAL, UPZ:50 LA GLORIA</v>
          </cell>
          <cell r="R2684">
            <v>2723490</v>
          </cell>
          <cell r="S2684">
            <v>0</v>
          </cell>
          <cell r="T2684">
            <v>0</v>
          </cell>
          <cell r="U2684">
            <v>2723490</v>
          </cell>
          <cell r="V2684">
            <v>778140</v>
          </cell>
        </row>
        <row r="2685">
          <cell r="J2685">
            <v>2301</v>
          </cell>
          <cell r="K2685">
            <v>43279</v>
          </cell>
          <cell r="L2685" t="str">
            <v>OSWALDO ANTONIO GARCIA GOMEZ</v>
          </cell>
          <cell r="M2685">
            <v>31</v>
          </cell>
          <cell r="N2685" t="str">
            <v>RESOLUCION</v>
          </cell>
          <cell r="O2685">
            <v>2704</v>
          </cell>
          <cell r="P2685">
            <v>43279</v>
          </cell>
          <cell r="Q2685" t="str">
            <v>AYUDA TEMPORAL A LAS FAMILIAS DE VARIAS LOCALIDADES, PARA LA RELOCALIZACIÓN DE HOGARES LOCALIZADOS EN ZONAS DE ALTO RIESGO NO MITIGABLE ID:2011-4-12691, LOCALIDAD:04 SAN CRISTÓBAL, UPZ:32 SAN BLAS</v>
          </cell>
          <cell r="R2685">
            <v>3608675</v>
          </cell>
          <cell r="S2685">
            <v>0</v>
          </cell>
          <cell r="T2685">
            <v>0</v>
          </cell>
          <cell r="U2685">
            <v>3608675</v>
          </cell>
          <cell r="V2685">
            <v>1031050</v>
          </cell>
        </row>
        <row r="2686">
          <cell r="J2686">
            <v>2302</v>
          </cell>
          <cell r="K2686">
            <v>43279</v>
          </cell>
          <cell r="L2686" t="str">
            <v>MARIA DEL CARMEN MANCILLA LADINO</v>
          </cell>
          <cell r="M2686">
            <v>31</v>
          </cell>
          <cell r="N2686" t="str">
            <v>RESOLUCION</v>
          </cell>
          <cell r="O2686">
            <v>2626</v>
          </cell>
          <cell r="P2686">
            <v>43279</v>
          </cell>
          <cell r="Q2686" t="str">
            <v>AYUDA TEMPORAL A LAS FAMILIAS DE VARIAS LOCALIDADES, PARA LA RELOCALIZACIÓN DE HOGARES LOCALIZADOS EN ZONAS DE ALTO RIESGO NO MITIGABLE ID:2013-Q04-00299, LOCALIDAD:19 CIUDAD BOLÍVAR, UPZ:67 LUCERO, SECTOR:PEÑA COLORADA</v>
          </cell>
          <cell r="R2686">
            <v>3017000</v>
          </cell>
          <cell r="S2686">
            <v>0</v>
          </cell>
          <cell r="T2686">
            <v>0</v>
          </cell>
          <cell r="U2686">
            <v>3017000</v>
          </cell>
          <cell r="V2686">
            <v>862000</v>
          </cell>
        </row>
        <row r="2687">
          <cell r="J2687">
            <v>2303</v>
          </cell>
          <cell r="K2687">
            <v>43279</v>
          </cell>
          <cell r="L2687" t="str">
            <v>ALBA RUBI TORRES FORERO</v>
          </cell>
          <cell r="M2687">
            <v>31</v>
          </cell>
          <cell r="N2687" t="str">
            <v>RESOLUCION</v>
          </cell>
          <cell r="O2687">
            <v>2687</v>
          </cell>
          <cell r="P2687">
            <v>43279</v>
          </cell>
          <cell r="Q2687" t="str">
            <v>AYUDA TEMPORAL A LAS FAMILIAS DE VARIAS LOCALIDADES, PARA LA RELOCALIZACIÓN DE HOGARES LOCALIZADOS EN ZONAS DE ALTO RIESGO NO MITIGABLE ID:2014-5-14734, LOCALIDAD:05 USME, UPZ:57 GRAN YOMASA</v>
          </cell>
          <cell r="R2687">
            <v>3038112</v>
          </cell>
          <cell r="S2687">
            <v>0</v>
          </cell>
          <cell r="T2687">
            <v>0</v>
          </cell>
          <cell r="U2687">
            <v>3038112</v>
          </cell>
          <cell r="V2687">
            <v>868032</v>
          </cell>
        </row>
        <row r="2688">
          <cell r="J2688">
            <v>2304</v>
          </cell>
          <cell r="K2688">
            <v>43279</v>
          </cell>
          <cell r="L2688" t="str">
            <v>LUZ MARINA TUNJUELO BARBOSA</v>
          </cell>
          <cell r="M2688">
            <v>31</v>
          </cell>
          <cell r="N2688" t="str">
            <v>RESOLUCION</v>
          </cell>
          <cell r="O2688">
            <v>2703</v>
          </cell>
          <cell r="P2688">
            <v>43279</v>
          </cell>
          <cell r="Q2688" t="str">
            <v>AYUDA TEMPORAL A LAS FAMILIAS DE VARIAS LOCALIDADES, PARA LA RELOCALIZACIÓN DE HOGARES LOCALIZADOS EN ZONAS DE ALTO RIESGO NO MITIGABLE ID:2011-4-12662, LOCALIDAD:04 SAN CRISTÓBAL, UPZ:32 SAN BLAS</v>
          </cell>
          <cell r="R2688">
            <v>3022327</v>
          </cell>
          <cell r="S2688">
            <v>0</v>
          </cell>
          <cell r="T2688">
            <v>0</v>
          </cell>
          <cell r="U2688">
            <v>3022327</v>
          </cell>
          <cell r="V2688">
            <v>863522</v>
          </cell>
        </row>
        <row r="2689">
          <cell r="J2689">
            <v>2305</v>
          </cell>
          <cell r="K2689">
            <v>43279</v>
          </cell>
          <cell r="L2689" t="str">
            <v>ELIANA PATRICIA MORENO ARDILA</v>
          </cell>
          <cell r="M2689">
            <v>31</v>
          </cell>
          <cell r="N2689" t="str">
            <v>RESOLUCION</v>
          </cell>
          <cell r="O2689">
            <v>2686</v>
          </cell>
          <cell r="P2689">
            <v>43279</v>
          </cell>
          <cell r="Q2689" t="str">
            <v>AYUDA TEMPORAL A LAS FAMILIAS DE VARIAS LOCALIDADES, PARA LA RELOCALIZACIÓN DE HOGARES LOCALIZADOS EN ZONAS DE ALTO RIESGO NO MITIGABLE ID:2013-Q10-00650, LOCALIDAD:04 SAN CRISTÓBAL, UPZ:51 LOS LIBERTADORES, SECTOR:QUEBRADA VEREJONES</v>
          </cell>
          <cell r="R2689">
            <v>3017000</v>
          </cell>
          <cell r="S2689">
            <v>0</v>
          </cell>
          <cell r="T2689">
            <v>0</v>
          </cell>
          <cell r="U2689">
            <v>3017000</v>
          </cell>
          <cell r="V2689">
            <v>862000</v>
          </cell>
        </row>
        <row r="2690">
          <cell r="J2690">
            <v>2306</v>
          </cell>
          <cell r="K2690">
            <v>43279</v>
          </cell>
          <cell r="L2690" t="str">
            <v>GLADYS  OCAMPO ESPINOSA</v>
          </cell>
          <cell r="M2690">
            <v>31</v>
          </cell>
          <cell r="N2690" t="str">
            <v>RESOLUCION</v>
          </cell>
          <cell r="O2690">
            <v>2702</v>
          </cell>
          <cell r="P2690">
            <v>43279</v>
          </cell>
          <cell r="Q2690" t="str">
            <v>AYUDA TEMPORAL A LAS FAMILIAS DE VARIAS LOCALIDADES, PARA LA RELOCALIZACIÓN DE HOGARES LOCALIZADOS EN ZONAS DE ALTO RIESGO NO MITIGABLE ID:2014-Q01-01064, LOCALIDAD:05 USME, UPZ:56 DANUBIO, SECTOR:HOYA DEL RAMO</v>
          </cell>
          <cell r="R2690">
            <v>4131218</v>
          </cell>
          <cell r="S2690">
            <v>0</v>
          </cell>
          <cell r="T2690">
            <v>0</v>
          </cell>
          <cell r="U2690">
            <v>4131218</v>
          </cell>
          <cell r="V2690">
            <v>1180348</v>
          </cell>
        </row>
        <row r="2691">
          <cell r="J2691">
            <v>2307</v>
          </cell>
          <cell r="K2691">
            <v>43279</v>
          </cell>
          <cell r="L2691" t="str">
            <v>ADRIANA  SIERRA</v>
          </cell>
          <cell r="M2691">
            <v>31</v>
          </cell>
          <cell r="N2691" t="str">
            <v>RESOLUCION</v>
          </cell>
          <cell r="O2691">
            <v>2685</v>
          </cell>
          <cell r="P2691">
            <v>43279</v>
          </cell>
          <cell r="Q2691" t="str">
            <v>AYUDA TEMPORAL A LAS FAMILIAS DE VARIAS LOCALIDADES, PARA LA RELOCALIZACIÓN DE HOGARES LOCALIZADOS EN ZONAS DE ALTO RIESGO NO MITIGABLE ID:2014-OTR-00952, LOCALIDAD:19 CIUDAD BOLÍVAR, UPZ:67 LUCERO, SECTOR:TABOR ALTALOMA</v>
          </cell>
          <cell r="R2691">
            <v>3017000</v>
          </cell>
          <cell r="S2691">
            <v>0</v>
          </cell>
          <cell r="T2691">
            <v>0</v>
          </cell>
          <cell r="U2691">
            <v>3017000</v>
          </cell>
          <cell r="V2691">
            <v>862000</v>
          </cell>
        </row>
        <row r="2692">
          <cell r="J2692">
            <v>2308</v>
          </cell>
          <cell r="K2692">
            <v>43279</v>
          </cell>
          <cell r="L2692" t="str">
            <v>HEIDY CAROLINA CONTRERAS GONZALEZ</v>
          </cell>
          <cell r="M2692">
            <v>31</v>
          </cell>
          <cell r="N2692" t="str">
            <v>RESOLUCION</v>
          </cell>
          <cell r="O2692">
            <v>2670</v>
          </cell>
          <cell r="P2692">
            <v>43279</v>
          </cell>
          <cell r="Q2692" t="str">
            <v>AYUDA TEMPORAL A LAS FAMILIAS DE VARIAS LOCALIDADES, PARA LA RELOCALIZACIÓN DE HOGARES LOCALIZADOS EN ZONAS DE ALTO RIESGO NO MITIGABLE ID:2014-OTR-01216, LOCALIDAD:11 SUBA, UPZ:71 TIBABUYES, SECTOR:GAVILANES</v>
          </cell>
          <cell r="R2692">
            <v>3873016</v>
          </cell>
          <cell r="S2692">
            <v>0</v>
          </cell>
          <cell r="T2692">
            <v>0</v>
          </cell>
          <cell r="U2692">
            <v>3873016</v>
          </cell>
          <cell r="V2692">
            <v>553288</v>
          </cell>
        </row>
        <row r="2693">
          <cell r="J2693">
            <v>2309</v>
          </cell>
          <cell r="K2693">
            <v>43279</v>
          </cell>
          <cell r="L2693" t="str">
            <v>MARIA ALEJANDRA SANCHEZ MENESES</v>
          </cell>
          <cell r="M2693">
            <v>31</v>
          </cell>
          <cell r="N2693" t="str">
            <v>RESOLUCION</v>
          </cell>
          <cell r="O2693">
            <v>2684</v>
          </cell>
          <cell r="P2693">
            <v>43279</v>
          </cell>
          <cell r="Q2693" t="str">
            <v>AYUDA TEMPORAL A LAS FAMILIAS DE VARIAS LOCALIDADES, PARA LA RELOCALIZACIÓN DE HOGARES LOCALIZADOS EN ZONAS DE ALTO RIESGO NO MITIGABLE ID:2014-OTR-01167, LOCALIDAD:11 SUBA, UPZ:71 TIBABUYES, SECTOR:GAVILANES</v>
          </cell>
          <cell r="R2693">
            <v>3017000</v>
          </cell>
          <cell r="S2693">
            <v>0</v>
          </cell>
          <cell r="T2693">
            <v>0</v>
          </cell>
          <cell r="U2693">
            <v>3017000</v>
          </cell>
          <cell r="V2693">
            <v>862000</v>
          </cell>
        </row>
        <row r="2694">
          <cell r="J2694">
            <v>2310</v>
          </cell>
          <cell r="K2694">
            <v>43279</v>
          </cell>
          <cell r="L2694" t="str">
            <v>DIEGO FERNANDO TOCANCIPA CORREA</v>
          </cell>
          <cell r="M2694">
            <v>31</v>
          </cell>
          <cell r="N2694" t="str">
            <v>RESOLUCION</v>
          </cell>
          <cell r="O2694">
            <v>2669</v>
          </cell>
          <cell r="P2694">
            <v>43279</v>
          </cell>
          <cell r="Q2694" t="str">
            <v>AYUDA TEMPORAL A LAS FAMILIAS DE VARIAS LOCALIDADES, PARA LA RELOCALIZACIÓN DE HOGARES LOCALIZADOS EN ZONAS DE ALTO RIESGO NO MITIGABLE ID:2016-4-00007, LOCALIDAD:04 SAN CRISTÓBAL, UPZ:32 SAN BLAS, SECTOR:TRIANGULO ALTO</v>
          </cell>
          <cell r="R2694">
            <v>3253334</v>
          </cell>
          <cell r="S2694">
            <v>0</v>
          </cell>
          <cell r="T2694">
            <v>0</v>
          </cell>
          <cell r="U2694">
            <v>3253334</v>
          </cell>
          <cell r="V2694">
            <v>929524</v>
          </cell>
        </row>
        <row r="2695">
          <cell r="J2695">
            <v>2311</v>
          </cell>
          <cell r="K2695">
            <v>43279</v>
          </cell>
          <cell r="L2695" t="str">
            <v>ROSMIRA  ASPRILLA MOSQUERA</v>
          </cell>
          <cell r="M2695">
            <v>31</v>
          </cell>
          <cell r="N2695" t="str">
            <v>RESOLUCION</v>
          </cell>
          <cell r="O2695">
            <v>2701</v>
          </cell>
          <cell r="P2695">
            <v>43279</v>
          </cell>
          <cell r="Q2695" t="str">
            <v>AYUDA TEMPORAL A LAS FAMILIAS DE VARIAS LOCALIDADES, PARA LA RELOCALIZACIÓN DE HOGARES LOCALIZADOS EN ZONAS DE ALTO RIESGO NO MITIGABLE ID:2011-4-12712, LOCALIDAD:04 SAN CRISTÓBAL, UPZ:32 SAN BLAS</v>
          </cell>
          <cell r="R2695">
            <v>2582006</v>
          </cell>
          <cell r="S2695">
            <v>0</v>
          </cell>
          <cell r="T2695">
            <v>0</v>
          </cell>
          <cell r="U2695">
            <v>2582006</v>
          </cell>
          <cell r="V2695">
            <v>737716</v>
          </cell>
        </row>
        <row r="2696">
          <cell r="J2696">
            <v>2312</v>
          </cell>
          <cell r="K2696">
            <v>43279</v>
          </cell>
          <cell r="L2696" t="str">
            <v>MERY LILIA FURQUE VEGA</v>
          </cell>
          <cell r="M2696">
            <v>31</v>
          </cell>
          <cell r="N2696" t="str">
            <v>RESOLUCION</v>
          </cell>
          <cell r="O2696">
            <v>2625</v>
          </cell>
          <cell r="P2696">
            <v>43279</v>
          </cell>
          <cell r="Q2696" t="str">
            <v>AYUDA TEMPORAL A LAS FAMILIAS DE VARIAS LOCALIDADES, PARA LA RELOCALIZACIÓN DE HOGARES LOCALIZADOS EN ZONAS DE ALTO RIESGO NO MITIGABLE ID:2007-4-9376, LOCALIDAD:04 SAN CRISTÓBAL, UPZ:32 SAN BLAS</v>
          </cell>
          <cell r="R2696">
            <v>3983670</v>
          </cell>
          <cell r="S2696">
            <v>0</v>
          </cell>
          <cell r="T2696">
            <v>0</v>
          </cell>
          <cell r="U2696">
            <v>3983670</v>
          </cell>
          <cell r="V2696">
            <v>885260</v>
          </cell>
        </row>
        <row r="2697">
          <cell r="J2697">
            <v>2313</v>
          </cell>
          <cell r="K2697">
            <v>43279</v>
          </cell>
          <cell r="L2697" t="str">
            <v>PEDRO ANTONIO RODRIGUEZ CIFUENTES</v>
          </cell>
          <cell r="M2697">
            <v>31</v>
          </cell>
          <cell r="N2697" t="str">
            <v>RESOLUCION</v>
          </cell>
          <cell r="O2697">
            <v>2700</v>
          </cell>
          <cell r="P2697">
            <v>43279</v>
          </cell>
          <cell r="Q2697" t="str">
            <v>AYUDA TEMPORAL A LAS FAMILIAS DE VARIAS LOCALIDADES, PARA LA RELOCALIZACIÓN DE HOGARES LOCALIZADOS EN ZONAS DE ALTO RIESGO NO MITIGABLE ID:2012-19-13964, LOCALIDAD:19 CIUDAD BOLÍVAR, UPZ:67 LUCERO, SECTOR:ZANJÓN DE LA ESTRELLA</v>
          </cell>
          <cell r="R2697">
            <v>3017000</v>
          </cell>
          <cell r="S2697">
            <v>0</v>
          </cell>
          <cell r="T2697">
            <v>0</v>
          </cell>
          <cell r="U2697">
            <v>3017000</v>
          </cell>
          <cell r="V2697">
            <v>862000</v>
          </cell>
        </row>
        <row r="2698">
          <cell r="J2698">
            <v>2314</v>
          </cell>
          <cell r="K2698">
            <v>43279</v>
          </cell>
          <cell r="L2698" t="str">
            <v>ANA VICTORIA MOLINA VARGAS</v>
          </cell>
          <cell r="M2698">
            <v>31</v>
          </cell>
          <cell r="N2698" t="str">
            <v>RESOLUCION</v>
          </cell>
          <cell r="O2698">
            <v>2667</v>
          </cell>
          <cell r="P2698">
            <v>43279</v>
          </cell>
          <cell r="Q2698" t="str">
            <v>AYUDA TEMPORAL A LAS FAMILIAS DE VARIAS LOCALIDADES, PARA LA RELOCALIZACIÓN DE HOGARES LOCALIZADOS EN ZONAS DE ALTO RIESGO NO MITIGABLE ID:2016-4-14767, LOCALIDAD:04 SAN CRISTÓBAL, UPZ:32 SAN BLAS</v>
          </cell>
          <cell r="R2698">
            <v>3614814</v>
          </cell>
          <cell r="S2698">
            <v>0</v>
          </cell>
          <cell r="T2698">
            <v>0</v>
          </cell>
          <cell r="U2698">
            <v>3614814</v>
          </cell>
          <cell r="V2698">
            <v>1032804</v>
          </cell>
        </row>
        <row r="2699">
          <cell r="J2699">
            <v>2315</v>
          </cell>
          <cell r="K2699">
            <v>43279</v>
          </cell>
          <cell r="L2699" t="str">
            <v>ROSA MARIA MONTENEGRO DE SAYAGO</v>
          </cell>
          <cell r="M2699">
            <v>31</v>
          </cell>
          <cell r="N2699" t="str">
            <v>RESOLUCION</v>
          </cell>
          <cell r="O2699">
            <v>2699</v>
          </cell>
          <cell r="P2699">
            <v>43279</v>
          </cell>
          <cell r="Q2699" t="str">
            <v>AYUDA TEMPORAL A LAS FAMILIAS DE VARIAS LOCALIDADES, PARA LA RELOCALIZACIÓN DE HOGARES LOCALIZADOS EN ZONAS DE ALTO RIESGO NO MITIGABLE ID:2011-5-13264, LOCALIDAD:05 USME, UPZ:56 DANUBIO</v>
          </cell>
          <cell r="R2699">
            <v>4288472</v>
          </cell>
          <cell r="S2699">
            <v>0</v>
          </cell>
          <cell r="T2699">
            <v>0</v>
          </cell>
          <cell r="U2699">
            <v>4288472</v>
          </cell>
          <cell r="V2699">
            <v>1072118</v>
          </cell>
        </row>
        <row r="2700">
          <cell r="J2700">
            <v>2316</v>
          </cell>
          <cell r="K2700">
            <v>43279</v>
          </cell>
          <cell r="L2700" t="str">
            <v>NOHORA LIGIA LONDOÑO RINCON</v>
          </cell>
          <cell r="M2700">
            <v>31</v>
          </cell>
          <cell r="N2700" t="str">
            <v>RESOLUCION</v>
          </cell>
          <cell r="O2700">
            <v>2666</v>
          </cell>
          <cell r="P2700">
            <v>43279</v>
          </cell>
          <cell r="Q2700" t="str">
            <v>AYUDA TEMPORAL A LAS FAMILIAS DE VARIAS LOCALIDADES, PARA LA RELOCALIZACIÓN DE HOGARES LOCALIZADOS EN ZONAS DE ALTO RIESGO NO MITIGABLE ID:2012-19-14388, LOCALIDAD:19 CIUDAD BOLÍVAR, UPZ:68 EL TESORO</v>
          </cell>
          <cell r="R2700">
            <v>3584160</v>
          </cell>
          <cell r="S2700">
            <v>0</v>
          </cell>
          <cell r="T2700">
            <v>0</v>
          </cell>
          <cell r="U2700">
            <v>3584160</v>
          </cell>
          <cell r="V2700">
            <v>896040</v>
          </cell>
        </row>
        <row r="2701">
          <cell r="J2701">
            <v>2317</v>
          </cell>
          <cell r="K2701">
            <v>43279</v>
          </cell>
          <cell r="L2701" t="str">
            <v>OLGA LUCIA ANDRADE SANCHEZ</v>
          </cell>
          <cell r="M2701">
            <v>31</v>
          </cell>
          <cell r="N2701" t="str">
            <v>RESOLUCION</v>
          </cell>
          <cell r="O2701">
            <v>2665</v>
          </cell>
          <cell r="P2701">
            <v>43279</v>
          </cell>
          <cell r="Q2701" t="str">
            <v>AYUDA TEMPORAL A LAS FAMILIAS DE VARIAS LOCALIDADES, PARA LA RELOCALIZACIÓN DE HOGARES LOCALIZADOS EN ZONAS DE ALTO RIESGO NO MITIGABLE ID:2013000459, LOCALIDAD:04 SAN CRISTÓBAL, UPZ:51 LOS LIBERTADORES, SECTOR:QUEBRADA VEREJONES</v>
          </cell>
          <cell r="R2701">
            <v>3828083</v>
          </cell>
          <cell r="S2701">
            <v>0</v>
          </cell>
          <cell r="T2701">
            <v>0</v>
          </cell>
          <cell r="U2701">
            <v>3828083</v>
          </cell>
          <cell r="V2701">
            <v>1093738</v>
          </cell>
        </row>
        <row r="2702">
          <cell r="J2702">
            <v>2318</v>
          </cell>
          <cell r="K2702">
            <v>43279</v>
          </cell>
          <cell r="L2702" t="str">
            <v>JACOBA  MORENO GUERRERO</v>
          </cell>
          <cell r="M2702">
            <v>31</v>
          </cell>
          <cell r="N2702" t="str">
            <v>RESOLUCION</v>
          </cell>
          <cell r="O2702">
            <v>2683</v>
          </cell>
          <cell r="P2702">
            <v>43279</v>
          </cell>
          <cell r="Q2702" t="str">
            <v>AYUDA TEMPORAL A LAS FAMILIAS DE VARIAS LOCALIDADES, PARA LA RELOCALIZACIÓN DE HOGARES LOCALIZADOS EN ZONAS DE ALTO RIESGO NO MITIGABLE ID:2014-OTR-00893, LOCALIDAD:03 SANTA FE, UPZ:96 LOURDES, SECTOR:CASA 3</v>
          </cell>
          <cell r="R2702">
            <v>2975525</v>
          </cell>
          <cell r="S2702">
            <v>0</v>
          </cell>
          <cell r="T2702">
            <v>0</v>
          </cell>
          <cell r="U2702">
            <v>2975525</v>
          </cell>
          <cell r="V2702">
            <v>850150</v>
          </cell>
        </row>
        <row r="2703">
          <cell r="J2703">
            <v>2319</v>
          </cell>
          <cell r="K2703">
            <v>43279</v>
          </cell>
          <cell r="L2703" t="str">
            <v>LEIDY JOHANA GUTIERREZ ABELLO</v>
          </cell>
          <cell r="M2703">
            <v>31</v>
          </cell>
          <cell r="N2703" t="str">
            <v>RESOLUCION</v>
          </cell>
          <cell r="O2703">
            <v>2664</v>
          </cell>
          <cell r="P2703">
            <v>43279</v>
          </cell>
          <cell r="Q2703" t="str">
            <v>AYUDA TEMPORAL A LAS FAMILIAS DE VARIAS LOCALIDADES, PARA LA RELOCALIZACIÓN DE HOGARES LOCALIZADOS EN ZONAS DE ALTO RIESGO NO MITIGABLE ID:2010-19-11937, LOCALIDAD:19 CIUDAD BOLÍVAR, UPZ:67 LUCERO, SECTOR:LIMAS</v>
          </cell>
          <cell r="R2703">
            <v>2845920</v>
          </cell>
          <cell r="S2703">
            <v>0</v>
          </cell>
          <cell r="T2703">
            <v>0</v>
          </cell>
          <cell r="U2703">
            <v>2845920</v>
          </cell>
          <cell r="V2703">
            <v>813120</v>
          </cell>
        </row>
        <row r="2704">
          <cell r="J2704">
            <v>2320</v>
          </cell>
          <cell r="K2704">
            <v>43279</v>
          </cell>
          <cell r="L2704" t="str">
            <v>LUZ AMANDA CASTRO</v>
          </cell>
          <cell r="M2704">
            <v>31</v>
          </cell>
          <cell r="N2704" t="str">
            <v>RESOLUCION</v>
          </cell>
          <cell r="O2704">
            <v>2682</v>
          </cell>
          <cell r="P2704">
            <v>43279</v>
          </cell>
          <cell r="Q2704" t="str">
            <v>AYUDA TEMPORAL A LAS FAMILIAS DE VARIAS LOCALIDADES, PARA LA RELOCALIZACIÓN DE HOGARES LOCALIZADOS EN ZONAS DE ALTO RIESGO NO MITIGABLE ID:2014-LC-00811, LOCALIDAD:19 CIUDAD BOLÍVAR, UPZ:69 ISMAEL PERDOMO</v>
          </cell>
          <cell r="R2704">
            <v>2842000</v>
          </cell>
          <cell r="S2704">
            <v>0</v>
          </cell>
          <cell r="T2704">
            <v>0</v>
          </cell>
          <cell r="U2704">
            <v>2842000</v>
          </cell>
          <cell r="V2704">
            <v>812000</v>
          </cell>
        </row>
        <row r="2705">
          <cell r="J2705">
            <v>2321</v>
          </cell>
          <cell r="K2705">
            <v>43279</v>
          </cell>
          <cell r="L2705" t="str">
            <v>SOLEDAD  PINO PEREZ</v>
          </cell>
          <cell r="M2705">
            <v>31</v>
          </cell>
          <cell r="N2705" t="str">
            <v>RESOLUCION</v>
          </cell>
          <cell r="O2705">
            <v>2681</v>
          </cell>
          <cell r="P2705">
            <v>43279</v>
          </cell>
          <cell r="Q2705" t="str">
            <v>AYUDA TEMPORAL A LAS FAMILIAS DE VARIAS LOCALIDADES, PARA LA RELOCALIZACIÓN DE HOGARES LOCALIZADOS EN ZONAS DE ALTO RIESGO NO MITIGABLE ID:2012-T314-15, LOCALIDAD:04 SAN CRISTÓBAL, UPZ:50 LA GLORIA</v>
          </cell>
          <cell r="R2705">
            <v>3157574</v>
          </cell>
          <cell r="S2705">
            <v>0</v>
          </cell>
          <cell r="T2705">
            <v>0</v>
          </cell>
          <cell r="U2705">
            <v>3157574</v>
          </cell>
          <cell r="V2705">
            <v>902164</v>
          </cell>
        </row>
        <row r="2706">
          <cell r="J2706">
            <v>2322</v>
          </cell>
          <cell r="K2706">
            <v>43279</v>
          </cell>
          <cell r="L2706" t="str">
            <v>ANA CLAUDINA ESCOBAR ROJAS</v>
          </cell>
          <cell r="M2706">
            <v>31</v>
          </cell>
          <cell r="N2706" t="str">
            <v>RESOLUCION</v>
          </cell>
          <cell r="O2706">
            <v>2663</v>
          </cell>
          <cell r="P2706">
            <v>43279</v>
          </cell>
          <cell r="Q2706" t="str">
            <v>AYUDA TEMPORAL A LAS FAMILIAS DE VARIAS LOCALIDADES, PARA LA RELOCALIZACIÓN DE HOGARES LOCALIZADOS EN ZONAS DE ALTO RIESGO NO MITIGABLE ID:2013000468, LOCALIDAD:04 SAN CRISTÓBAL, UPZ:51 LOS LIBERTADORES, SECTOR:QUEBRADA VEREJONES</v>
          </cell>
          <cell r="R2706">
            <v>3335906</v>
          </cell>
          <cell r="S2706">
            <v>0</v>
          </cell>
          <cell r="T2706">
            <v>0</v>
          </cell>
          <cell r="U2706">
            <v>3335906</v>
          </cell>
          <cell r="V2706">
            <v>953116</v>
          </cell>
        </row>
        <row r="2707">
          <cell r="J2707">
            <v>2323</v>
          </cell>
          <cell r="K2707">
            <v>43279</v>
          </cell>
          <cell r="L2707" t="str">
            <v>NORALBA  OYOLA BOTACHE</v>
          </cell>
          <cell r="M2707">
            <v>31</v>
          </cell>
          <cell r="N2707" t="str">
            <v>RESOLUCION</v>
          </cell>
          <cell r="O2707">
            <v>2662</v>
          </cell>
          <cell r="P2707">
            <v>43279</v>
          </cell>
          <cell r="Q2707" t="str">
            <v>AYUDA TEMPORAL A LAS FAMILIAS DE VARIAS LOCALIDADES, PARA LA RELOCALIZACIÓN DE HOGARES LOCALIZADOS EN ZONAS DE ALTO RIESGO NO MITIGABLE ID:2013000169, LOCALIDAD:19 CIUDAD BOLÍVAR, UPZ:67 LUCERO, SECTOR:QUEBRADA TROMPETA</v>
          </cell>
          <cell r="R2707">
            <v>3022327</v>
          </cell>
          <cell r="S2707">
            <v>0</v>
          </cell>
          <cell r="T2707">
            <v>0</v>
          </cell>
          <cell r="U2707">
            <v>3022327</v>
          </cell>
          <cell r="V2707">
            <v>863522</v>
          </cell>
        </row>
        <row r="2708">
          <cell r="J2708">
            <v>2324</v>
          </cell>
          <cell r="K2708">
            <v>43279</v>
          </cell>
          <cell r="L2708" t="str">
            <v>HARRISON DAVID BARBOSA RINCON</v>
          </cell>
          <cell r="M2708">
            <v>31</v>
          </cell>
          <cell r="N2708" t="str">
            <v>RESOLUCION</v>
          </cell>
          <cell r="O2708">
            <v>2661</v>
          </cell>
          <cell r="P2708">
            <v>43279</v>
          </cell>
          <cell r="Q2708" t="str">
            <v>AYUDA TEMPORAL A LAS FAMILIAS DE VARIAS LOCALIDADES, PARA LA RELOCALIZACIÓN DE HOGARES LOCALIZADOS EN ZONAS DE ALTO RIESGO NO MITIGABLE ID:2010-18-12342, LOCALIDAD:18 RAFAEL URIBE URIBE, UPZ:55 DIANA TURBAY, SECTOR:OLA INVERNAL 2010 FOPAE</v>
          </cell>
          <cell r="R2708">
            <v>1237317</v>
          </cell>
          <cell r="S2708">
            <v>0</v>
          </cell>
          <cell r="T2708">
            <v>0</v>
          </cell>
          <cell r="U2708">
            <v>1237317</v>
          </cell>
          <cell r="V2708">
            <v>412439</v>
          </cell>
        </row>
        <row r="2709">
          <cell r="J2709">
            <v>2325</v>
          </cell>
          <cell r="K2709">
            <v>43279</v>
          </cell>
          <cell r="L2709" t="str">
            <v>YANETH  QUIÑONES PRIETO</v>
          </cell>
          <cell r="M2709">
            <v>31</v>
          </cell>
          <cell r="N2709" t="str">
            <v>RESOLUCION</v>
          </cell>
          <cell r="O2709">
            <v>2660</v>
          </cell>
          <cell r="P2709">
            <v>43279</v>
          </cell>
          <cell r="Q2709" t="str">
            <v>AYUDA TEMPORAL A LAS FAMILIAS DE VARIAS LOCALIDADES, PARA LA RELOCALIZACIÓN DE HOGARES LOCALIZADOS EN ZONAS DE ALTO RIESGO NO MITIGABLE ID:2012-ALES-223, LOCALIDAD:19 CIUDAD BOLÍVAR, UPZ:69 ISMAEL PERDOMO</v>
          </cell>
          <cell r="R2709">
            <v>3017000</v>
          </cell>
          <cell r="S2709">
            <v>0</v>
          </cell>
          <cell r="T2709">
            <v>0</v>
          </cell>
          <cell r="U2709">
            <v>3017000</v>
          </cell>
          <cell r="V2709">
            <v>862000</v>
          </cell>
        </row>
        <row r="2710">
          <cell r="J2710">
            <v>2326</v>
          </cell>
          <cell r="K2710">
            <v>43279</v>
          </cell>
          <cell r="L2710" t="str">
            <v>MARIA DEL PILAR PINO PEREZ</v>
          </cell>
          <cell r="M2710">
            <v>31</v>
          </cell>
          <cell r="N2710" t="str">
            <v>RESOLUCION</v>
          </cell>
          <cell r="O2710">
            <v>2659</v>
          </cell>
          <cell r="P2710">
            <v>43279</v>
          </cell>
          <cell r="Q2710" t="str">
            <v>AYUDA TEMPORAL A LAS FAMILIAS DE VARIAS LOCALIDADES, PARA LA RELOCALIZACIÓN DE HOGARES LOCALIZADOS EN ZONAS DE ALTO RIESGO NO MITIGABLE ID:2012-T314-06, LOCALIDAD:04 SAN CRISTÓBAL, UPZ:50 LA GLORIA</v>
          </cell>
          <cell r="R2710">
            <v>3022327</v>
          </cell>
          <cell r="S2710">
            <v>0</v>
          </cell>
          <cell r="T2710">
            <v>0</v>
          </cell>
          <cell r="U2710">
            <v>3022327</v>
          </cell>
          <cell r="V2710">
            <v>863522</v>
          </cell>
        </row>
        <row r="2711">
          <cell r="J2711">
            <v>2327</v>
          </cell>
          <cell r="K2711">
            <v>43279</v>
          </cell>
          <cell r="L2711" t="str">
            <v>JAQUELINE  LOPEZ PEREZ</v>
          </cell>
          <cell r="M2711">
            <v>31</v>
          </cell>
          <cell r="N2711" t="str">
            <v>RESOLUCION</v>
          </cell>
          <cell r="O2711">
            <v>2658</v>
          </cell>
          <cell r="P2711">
            <v>43279</v>
          </cell>
          <cell r="Q2711" t="str">
            <v>AYUDA TEMPORAL A LAS FAMILIAS DE VARIAS LOCALIDADES, PARA LA RELOCALIZACIÓN DE HOGARES LOCALIZADOS EN ZONAS DE ALTO RIESGO NO MITIGABLE ID:2012-T314-10, LOCALIDAD:04 SAN CRISTÓBAL, UPZ:50 LA GLORIA</v>
          </cell>
          <cell r="R2711">
            <v>2618154</v>
          </cell>
          <cell r="S2711">
            <v>0</v>
          </cell>
          <cell r="T2711">
            <v>0</v>
          </cell>
          <cell r="U2711">
            <v>2618154</v>
          </cell>
          <cell r="V2711">
            <v>748044</v>
          </cell>
        </row>
        <row r="2712">
          <cell r="J2712">
            <v>2328</v>
          </cell>
          <cell r="K2712">
            <v>43279</v>
          </cell>
          <cell r="L2712" t="str">
            <v>GLORIA INES MEJIA VARGAS</v>
          </cell>
          <cell r="M2712">
            <v>31</v>
          </cell>
          <cell r="N2712" t="str">
            <v>RESOLUCION</v>
          </cell>
          <cell r="O2712">
            <v>2657</v>
          </cell>
          <cell r="P2712">
            <v>43279</v>
          </cell>
          <cell r="Q2712" t="str">
            <v>AYUDA TEMPORAL A LAS FAMILIAS DE VARIAS LOCALIDADES, PARA LA RELOCALIZACIÓN DE HOGARES LOCALIZADOS EN ZONAS DE ALTO RIESGO NO MITIGABLE ID:2012-T314-11, LOCALIDAD:04 SAN CRISTÓBAL, UPZ:50 LA GLORIA</v>
          </cell>
          <cell r="R2712">
            <v>3022327</v>
          </cell>
          <cell r="S2712">
            <v>0</v>
          </cell>
          <cell r="T2712">
            <v>0</v>
          </cell>
          <cell r="U2712">
            <v>3022327</v>
          </cell>
          <cell r="V2712">
            <v>863522</v>
          </cell>
        </row>
        <row r="2713">
          <cell r="J2713">
            <v>2329</v>
          </cell>
          <cell r="K2713">
            <v>43279</v>
          </cell>
          <cell r="L2713" t="str">
            <v>ANGELA MARIA RODRIGUEZ RUBIANO</v>
          </cell>
          <cell r="M2713">
            <v>31</v>
          </cell>
          <cell r="N2713" t="str">
            <v>RESOLUCION</v>
          </cell>
          <cell r="O2713">
            <v>2656</v>
          </cell>
          <cell r="P2713">
            <v>43279</v>
          </cell>
          <cell r="Q2713" t="str">
            <v>AYUDA TEMPORAL A LAS FAMILIAS DE VARIAS LOCALIDADES, PARA LA RELOCALIZACIÓN DE HOGARES LOCALIZADOS EN ZONAS DE ALTO RIESGO NO MITIGABLE ID:2014-Q09-00805, LOCALIDAD:19 CIUDAD BOLÍVAR, UPZ:67 LUCERO, SECTOR:QUEBRADA TROMPETA</v>
          </cell>
          <cell r="R2713">
            <v>3017000</v>
          </cell>
          <cell r="S2713">
            <v>0</v>
          </cell>
          <cell r="T2713">
            <v>0</v>
          </cell>
          <cell r="U2713">
            <v>3017000</v>
          </cell>
          <cell r="V2713">
            <v>862000</v>
          </cell>
        </row>
        <row r="2714">
          <cell r="J2714">
            <v>2330</v>
          </cell>
          <cell r="K2714">
            <v>43279</v>
          </cell>
          <cell r="L2714" t="str">
            <v>MABEL YADIRA ABRIL</v>
          </cell>
          <cell r="M2714">
            <v>31</v>
          </cell>
          <cell r="N2714" t="str">
            <v>RESOLUCION</v>
          </cell>
          <cell r="O2714">
            <v>2655</v>
          </cell>
          <cell r="P2714">
            <v>43279</v>
          </cell>
          <cell r="Q2714" t="str">
            <v>AYUDA TEMPORAL A LAS FAMILIAS DE VARIAS LOCALIDADES, PARA LA RELOCALIZACIÓN DE HOGARES LOCALIZADOS EN ZONAS DE ALTO RIESGO NO MITIGABLE ID:2015-OTR-01307, LOCALIDAD:19 CIUDAD BOLÍVAR, UPZ:68 EL TESORO, SECTOR:QUEBRADA TROMPETA</v>
          </cell>
          <cell r="R2714">
            <v>3471279</v>
          </cell>
          <cell r="S2714">
            <v>0</v>
          </cell>
          <cell r="T2714">
            <v>0</v>
          </cell>
          <cell r="U2714">
            <v>3471279</v>
          </cell>
          <cell r="V2714">
            <v>991794</v>
          </cell>
        </row>
        <row r="2715">
          <cell r="J2715">
            <v>2331</v>
          </cell>
          <cell r="K2715">
            <v>43279</v>
          </cell>
          <cell r="L2715" t="str">
            <v>LEONARDO FABIO ROJAS PEREZ</v>
          </cell>
          <cell r="M2715">
            <v>31</v>
          </cell>
          <cell r="N2715" t="str">
            <v>RESOLUCION</v>
          </cell>
          <cell r="O2715">
            <v>2654</v>
          </cell>
          <cell r="P2715">
            <v>43279</v>
          </cell>
          <cell r="Q2715" t="str">
            <v>AYUDA TEMPORAL A LAS FAMILIAS DE VARIAS LOCALIDADES, PARA LA RELOCALIZACIÓN DE HOGARES LOCALIZADOS EN ZONAS DE ALTO RIESGO NO MITIGABLE ID:2014-OTR-00894, LOCALIDAD:03 SANTA FE, UPZ:96 LOURDES, SECTOR:CASA 3</v>
          </cell>
          <cell r="R2715">
            <v>3714368</v>
          </cell>
          <cell r="S2715">
            <v>0</v>
          </cell>
          <cell r="T2715">
            <v>0</v>
          </cell>
          <cell r="U2715">
            <v>3714368</v>
          </cell>
          <cell r="V2715">
            <v>1061248</v>
          </cell>
        </row>
        <row r="2716">
          <cell r="J2716">
            <v>2332</v>
          </cell>
          <cell r="K2716">
            <v>43279</v>
          </cell>
          <cell r="L2716" t="str">
            <v>MARIA HELENA GONZALEZ MENA</v>
          </cell>
          <cell r="M2716">
            <v>31</v>
          </cell>
          <cell r="N2716" t="str">
            <v>RESOLUCION</v>
          </cell>
          <cell r="O2716">
            <v>2653</v>
          </cell>
          <cell r="P2716">
            <v>43279</v>
          </cell>
          <cell r="Q2716" t="str">
            <v>AYUDA TEMPORAL A LAS FAMILIAS DE VARIAS LOCALIDADES, PARA LA RELOCALIZACIÓN DE HOGARES LOCALIZADOS EN ZONAS DE ALTO RIESGO NO MITIGABLE ID:2015-OTR-01462, LOCALIDAD:02 CHAPINERO, UPZ:90 PARDO RUBIO</v>
          </cell>
          <cell r="R2716">
            <v>4014528</v>
          </cell>
          <cell r="S2716">
            <v>0</v>
          </cell>
          <cell r="T2716">
            <v>0</v>
          </cell>
          <cell r="U2716">
            <v>4014528</v>
          </cell>
          <cell r="V2716">
            <v>1147008</v>
          </cell>
        </row>
        <row r="2717">
          <cell r="J2717">
            <v>2333</v>
          </cell>
          <cell r="K2717">
            <v>43279</v>
          </cell>
          <cell r="L2717" t="str">
            <v>FRANCY YAMILE NIÑO GARCIA</v>
          </cell>
          <cell r="M2717">
            <v>31</v>
          </cell>
          <cell r="N2717" t="str">
            <v>RESOLUCION</v>
          </cell>
          <cell r="O2717">
            <v>2652</v>
          </cell>
          <cell r="P2717">
            <v>43279</v>
          </cell>
          <cell r="Q2717" t="str">
            <v>AYUDA TEMPORAL A LAS FAMILIAS DE VARIAS LOCALIDADES, PARA LA RELOCALIZACIÓN DE HOGARES LOCALIZADOS EN ZONAS DE ALTO RIESGO NO MITIGABLE ID:2014-5-14735, LOCALIDAD:05 USME, UPZ:57 GRAN YOMASA</v>
          </cell>
          <cell r="R2717">
            <v>3038112</v>
          </cell>
          <cell r="S2717">
            <v>0</v>
          </cell>
          <cell r="T2717">
            <v>0</v>
          </cell>
          <cell r="U2717">
            <v>3038112</v>
          </cell>
          <cell r="V2717">
            <v>868032</v>
          </cell>
        </row>
        <row r="2718">
          <cell r="J2718">
            <v>2334</v>
          </cell>
          <cell r="K2718">
            <v>43279</v>
          </cell>
          <cell r="L2718" t="str">
            <v>ROSA CECILIA LOPEZ PATARROYO</v>
          </cell>
          <cell r="M2718">
            <v>31</v>
          </cell>
          <cell r="N2718" t="str">
            <v>RESOLUCION</v>
          </cell>
          <cell r="O2718">
            <v>2651</v>
          </cell>
          <cell r="P2718">
            <v>43279</v>
          </cell>
          <cell r="Q2718" t="str">
            <v>AYUDA TEMPORAL A LAS FAMILIAS DE VARIAS LOCALIDADES, PARA LA RELOCALIZACIÓN DE HOGARES LOCALIZADOS EN ZONAS DE ALTO RIESGO NO MITIGABLE ID:2014-OTR-00885, LOCALIDAD:03 SANTA FE, UPZ:96 LOURDES, SECTOR:CASA 2</v>
          </cell>
          <cell r="R2718">
            <v>2976771</v>
          </cell>
          <cell r="S2718">
            <v>0</v>
          </cell>
          <cell r="T2718">
            <v>0</v>
          </cell>
          <cell r="U2718">
            <v>2976771</v>
          </cell>
          <cell r="V2718">
            <v>850506</v>
          </cell>
        </row>
        <row r="2719">
          <cell r="J2719">
            <v>2335</v>
          </cell>
          <cell r="K2719">
            <v>43279</v>
          </cell>
          <cell r="L2719" t="str">
            <v>MARTHA LILIANA PINO PEREZ</v>
          </cell>
          <cell r="M2719">
            <v>31</v>
          </cell>
          <cell r="N2719" t="str">
            <v>RESOLUCION</v>
          </cell>
          <cell r="O2719">
            <v>2680</v>
          </cell>
          <cell r="P2719">
            <v>43279</v>
          </cell>
          <cell r="Q2719" t="str">
            <v>AYUDA TEMPORAL A LAS FAMILIAS DE VARIAS LOCALIDADES, PARA LA RELOCALIZACIÓN DE HOGARES LOCALIZADOS EN ZONAS DE ALTO RIESGO NO MITIGABLE ID:2012-T314-14, LOCALIDAD:04 SAN CRISTÓBAL, UPZ:50 LA GLORIA</v>
          </cell>
          <cell r="R2719">
            <v>2887073</v>
          </cell>
          <cell r="S2719">
            <v>0</v>
          </cell>
          <cell r="T2719">
            <v>0</v>
          </cell>
          <cell r="U2719">
            <v>2887073</v>
          </cell>
          <cell r="V2719">
            <v>824878</v>
          </cell>
        </row>
        <row r="2720">
          <cell r="J2720">
            <v>2336</v>
          </cell>
          <cell r="K2720">
            <v>43279</v>
          </cell>
          <cell r="L2720" t="str">
            <v>ROSA YOHANA DELGADO LOPEZ</v>
          </cell>
          <cell r="M2720">
            <v>31</v>
          </cell>
          <cell r="N2720" t="str">
            <v>RESOLUCION</v>
          </cell>
          <cell r="O2720">
            <v>2650</v>
          </cell>
          <cell r="P2720">
            <v>43279</v>
          </cell>
          <cell r="Q2720" t="str">
            <v>AYUDA TEMPORAL A LAS FAMILIAS DE VARIAS LOCALIDADES, PARA LA RELOCALIZACIÓN DE HOGARES LOCALIZADOS EN ZONAS DE ALTO RIESGO NO MITIGABLE ID:2014-OTR-00881, LOCALIDAD:03 SANTA FE, UPZ:96 LOURDES, SECTOR:CASA 2</v>
          </cell>
          <cell r="R2720">
            <v>2976771</v>
          </cell>
          <cell r="S2720">
            <v>0</v>
          </cell>
          <cell r="T2720">
            <v>0</v>
          </cell>
          <cell r="U2720">
            <v>2976771</v>
          </cell>
          <cell r="V2720">
            <v>850506</v>
          </cell>
        </row>
        <row r="2721">
          <cell r="J2721">
            <v>2337</v>
          </cell>
          <cell r="K2721">
            <v>43279</v>
          </cell>
          <cell r="L2721" t="str">
            <v>ANDREA MILENA PRIETO</v>
          </cell>
          <cell r="M2721">
            <v>31</v>
          </cell>
          <cell r="N2721" t="str">
            <v>RESOLUCION</v>
          </cell>
          <cell r="O2721">
            <v>2649</v>
          </cell>
          <cell r="P2721">
            <v>43279</v>
          </cell>
          <cell r="Q2721" t="str">
            <v>AYUDA TEMPORAL A LAS FAMILIAS DE VARIAS LOCALIDADES, PARA LA RELOCALIZACIÓN DE HOGARES LOCALIZADOS EN ZONAS DE ALTO RIESGO NO MITIGABLE ID:2013-Q10-00207, LOCALIDAD:19 CIUDAD BOLÍVAR, UPZ:67 LUCERO, SECTOR:PEÑA COLORADA</v>
          </cell>
          <cell r="R2721">
            <v>3843840</v>
          </cell>
          <cell r="S2721">
            <v>0</v>
          </cell>
          <cell r="T2721">
            <v>0</v>
          </cell>
          <cell r="U2721">
            <v>3843840</v>
          </cell>
          <cell r="V2721">
            <v>960960</v>
          </cell>
        </row>
        <row r="2722">
          <cell r="J2722">
            <v>2338</v>
          </cell>
          <cell r="K2722">
            <v>43279</v>
          </cell>
          <cell r="L2722" t="str">
            <v>MABIL  BOBADILLA</v>
          </cell>
          <cell r="M2722">
            <v>31</v>
          </cell>
          <cell r="N2722" t="str">
            <v>RESOLUCION</v>
          </cell>
          <cell r="O2722">
            <v>2648</v>
          </cell>
          <cell r="P2722">
            <v>43279</v>
          </cell>
          <cell r="Q2722" t="str">
            <v>AYUDA TEMPORAL A LAS FAMILIAS DE VARIAS LOCALIDADES, PARA LA RELOCALIZACIÓN DE HOGARES LOCALIZADOS EN ZONAS DE ALTO RIESGO NO MITIGABLE ID:2014-OTR-00873, LOCALIDAD:03 SANTA FE, UPZ:96 LOURDES, SECTOR:CASA 1</v>
          </cell>
          <cell r="R2722">
            <v>3518186</v>
          </cell>
          <cell r="S2722">
            <v>0</v>
          </cell>
          <cell r="T2722">
            <v>0</v>
          </cell>
          <cell r="U2722">
            <v>3518186</v>
          </cell>
          <cell r="V2722">
            <v>1005196</v>
          </cell>
        </row>
        <row r="2723">
          <cell r="J2723">
            <v>2339</v>
          </cell>
          <cell r="K2723">
            <v>43279</v>
          </cell>
          <cell r="L2723" t="str">
            <v>ALONSO  HERRERA CARPIO</v>
          </cell>
          <cell r="M2723">
            <v>31</v>
          </cell>
          <cell r="N2723" t="str">
            <v>RESOLUCION</v>
          </cell>
          <cell r="O2723">
            <v>2647</v>
          </cell>
          <cell r="P2723">
            <v>43279</v>
          </cell>
          <cell r="Q2723" t="str">
            <v>AYUDA TEMPORAL A LAS FAMILIAS DE VARIAS LOCALIDADES, PARA LA RELOCALIZACIÓN DE HOGARES LOCALIZADOS EN ZONAS DE ALTO RIESGO NO MITIGABLE ID:2011-4-12695, LOCALIDAD:04 SAN CRISTÓBAL, UPZ:32 SAN BLAS</v>
          </cell>
          <cell r="R2723">
            <v>2685291</v>
          </cell>
          <cell r="S2723">
            <v>0</v>
          </cell>
          <cell r="T2723">
            <v>0</v>
          </cell>
          <cell r="U2723">
            <v>2685291</v>
          </cell>
          <cell r="V2723">
            <v>767226</v>
          </cell>
        </row>
        <row r="2724">
          <cell r="J2724">
            <v>2340</v>
          </cell>
          <cell r="K2724">
            <v>43279</v>
          </cell>
          <cell r="L2724" t="str">
            <v>BLANCA NELLY SANCHEZ VARGAS</v>
          </cell>
          <cell r="M2724">
            <v>31</v>
          </cell>
          <cell r="N2724" t="str">
            <v>RESOLUCION</v>
          </cell>
          <cell r="O2724">
            <v>2646</v>
          </cell>
          <cell r="P2724">
            <v>43279</v>
          </cell>
          <cell r="Q2724" t="str">
            <v>AYUDA TEMPORAL A LAS FAMILIAS DE VARIAS LOCALIDADES, PARA LA RELOCALIZACIÓN DE HOGARES LOCALIZADOS EN ZONAS DE ALTO RIESGO NO MITIGABLE ID:2012-ALES-83, LOCALIDAD:19 CIUDAD BOLÍVAR, UPZ:69 ISMAEL PERDOMO, SECTOR:ALTOS DE LA ESTANCIA</v>
          </cell>
          <cell r="R2724">
            <v>3844008</v>
          </cell>
          <cell r="S2724">
            <v>0</v>
          </cell>
          <cell r="T2724">
            <v>0</v>
          </cell>
          <cell r="U2724">
            <v>3844008</v>
          </cell>
          <cell r="V2724">
            <v>961002</v>
          </cell>
        </row>
        <row r="2725">
          <cell r="J2725">
            <v>2341</v>
          </cell>
          <cell r="K2725">
            <v>43279</v>
          </cell>
          <cell r="L2725" t="str">
            <v>NUBIA XIMENA CAMACHO PUENTES</v>
          </cell>
          <cell r="M2725">
            <v>31</v>
          </cell>
          <cell r="N2725" t="str">
            <v>RESOLUCION</v>
          </cell>
          <cell r="O2725">
            <v>2645</v>
          </cell>
          <cell r="P2725">
            <v>43279</v>
          </cell>
          <cell r="Q2725" t="str">
            <v>AYUDA TEMPORAL A LAS FAMILIAS DE VARIAS LOCALIDADES, PARA LA RELOCALIZACIÓN DE HOGARES LOCALIZADOS EN ZONAS DE ALTO RIESGO NO MITIGABLE ID:2012-T314-02, LOCALIDAD:04 SAN CRISTÓBAL, UPZ:50 LA GLORIA</v>
          </cell>
          <cell r="R2725">
            <v>2887073</v>
          </cell>
          <cell r="S2725">
            <v>0</v>
          </cell>
          <cell r="T2725">
            <v>0</v>
          </cell>
          <cell r="U2725">
            <v>2887073</v>
          </cell>
          <cell r="V2725">
            <v>824878</v>
          </cell>
        </row>
        <row r="2726">
          <cell r="J2726">
            <v>2342</v>
          </cell>
          <cell r="K2726">
            <v>43279</v>
          </cell>
          <cell r="L2726" t="str">
            <v>RODRIGO  CORREDOR</v>
          </cell>
          <cell r="M2726">
            <v>31</v>
          </cell>
          <cell r="N2726" t="str">
            <v>RESOLUCION</v>
          </cell>
          <cell r="O2726">
            <v>2679</v>
          </cell>
          <cell r="P2726">
            <v>43279</v>
          </cell>
          <cell r="Q2726" t="str">
            <v>AYUDA TEMPORAL A LAS FAMILIAS DE VARIAS LOCALIDADES, PARA LA RELOCALIZACIÓN DE HOGARES LOCALIZADOS EN ZONAS DE ALTO RIESGO NO MITIGABLE ID:2013-Q09-00577, LOCALIDAD:19 CIUDAD BOLÍVAR, UPZ:67 LUCERO, SECTOR:QUEBRADA TROMPETA</v>
          </cell>
          <cell r="R2726">
            <v>3619000</v>
          </cell>
          <cell r="S2726">
            <v>0</v>
          </cell>
          <cell r="T2726">
            <v>0</v>
          </cell>
          <cell r="U2726">
            <v>3619000</v>
          </cell>
          <cell r="V2726">
            <v>1034000</v>
          </cell>
        </row>
        <row r="2727">
          <cell r="J2727">
            <v>2343</v>
          </cell>
          <cell r="K2727">
            <v>43279</v>
          </cell>
          <cell r="L2727" t="str">
            <v>MARIA ADELIA LOPEZ QUINTERO</v>
          </cell>
          <cell r="M2727">
            <v>31</v>
          </cell>
          <cell r="N2727" t="str">
            <v>RESOLUCION</v>
          </cell>
          <cell r="O2727">
            <v>2644</v>
          </cell>
          <cell r="P2727">
            <v>43279</v>
          </cell>
          <cell r="Q2727" t="str">
            <v>AYUDA TEMPORAL A LAS FAMILIAS DE VARIAS LOCALIDADES, PARA LA RELOCALIZACIÓN DE HOGARES LOCALIZADOS EN ZONAS DE ALTO RIESGO NO MITIGABLE ID:2012-19-13791, LOCALIDAD:19 CIUDAD BOLÍVAR, UPZ:67 LUCERO</v>
          </cell>
          <cell r="R2727">
            <v>2924376</v>
          </cell>
          <cell r="S2727">
            <v>0</v>
          </cell>
          <cell r="T2727">
            <v>0</v>
          </cell>
          <cell r="U2727">
            <v>2924376</v>
          </cell>
          <cell r="V2727">
            <v>835536</v>
          </cell>
        </row>
        <row r="2728">
          <cell r="J2728">
            <v>2344</v>
          </cell>
          <cell r="K2728">
            <v>43279</v>
          </cell>
          <cell r="L2728" t="str">
            <v>JULIO ERNESTO LAGOS MOJICA</v>
          </cell>
          <cell r="M2728">
            <v>31</v>
          </cell>
          <cell r="N2728" t="str">
            <v>RESOLUCION</v>
          </cell>
          <cell r="O2728">
            <v>2678</v>
          </cell>
          <cell r="P2728">
            <v>43279</v>
          </cell>
          <cell r="Q2728" t="str">
            <v>AYUDA TEMPORAL A LAS FAMILIAS DE VARIAS LOCALIDADES, PARA LA RELOCALIZACIÓN DE HOGARES LOCALIZADOS EN ZONAS DE ALTO RIESGO NO MITIGABLE ID:2012-ALES-15, LOCALIDAD:19 CIUDAD BOLÍVAR, UPZ:69 ISMAEL PERDOMO</v>
          </cell>
          <cell r="R2728">
            <v>3157315</v>
          </cell>
          <cell r="S2728">
            <v>0</v>
          </cell>
          <cell r="T2728">
            <v>0</v>
          </cell>
          <cell r="U2728">
            <v>3157315</v>
          </cell>
          <cell r="V2728">
            <v>902090</v>
          </cell>
        </row>
        <row r="2729">
          <cell r="J2729">
            <v>2345</v>
          </cell>
          <cell r="K2729">
            <v>43279</v>
          </cell>
          <cell r="L2729" t="str">
            <v>HERNANDO  CASTRO MERGAREJO</v>
          </cell>
          <cell r="M2729">
            <v>31</v>
          </cell>
          <cell r="N2729" t="str">
            <v>RESOLUCION</v>
          </cell>
          <cell r="O2729">
            <v>2677</v>
          </cell>
          <cell r="P2729">
            <v>43279</v>
          </cell>
          <cell r="Q2729" t="str">
            <v>AYUDA TEMPORAL A LAS FAMILIAS DE VARIAS LOCALIDADES, PARA LA RELOCALIZACIÓN DE HOGARES LOCALIZADOS EN ZONAS DE ALTO RIESGO NO MITIGABLE ID:2013-Q09-00479, LOCALIDAD:19 CIUDAD BOLÍVAR, UPZ:67 LUCERO, SECTOR:QUEBRADA TROMPETA</v>
          </cell>
          <cell r="R2729">
            <v>3157315</v>
          </cell>
          <cell r="S2729">
            <v>0</v>
          </cell>
          <cell r="T2729">
            <v>0</v>
          </cell>
          <cell r="U2729">
            <v>3157315</v>
          </cell>
          <cell r="V2729">
            <v>902090</v>
          </cell>
        </row>
        <row r="2730">
          <cell r="J2730">
            <v>2346</v>
          </cell>
          <cell r="K2730">
            <v>43279</v>
          </cell>
          <cell r="L2730" t="str">
            <v>ALEXANDRA  REY GUTIERREZ</v>
          </cell>
          <cell r="M2730">
            <v>31</v>
          </cell>
          <cell r="N2730" t="str">
            <v>RESOLUCION</v>
          </cell>
          <cell r="O2730">
            <v>2676</v>
          </cell>
          <cell r="P2730">
            <v>43279</v>
          </cell>
          <cell r="Q2730" t="str">
            <v>AYUDA TEMPORAL A LAS FAMILIAS DE VARIAS LOCALIDADES, PARA LA RELOCALIZACIÓN DE HOGARES LOCALIZADOS EN ZONAS DE ALTO RIESGO NO MITIGABLE ID:2012-T314-05, LOCALIDAD:04 SAN CRISTÓBAL, UPZ:50 LA GLORIA</v>
          </cell>
          <cell r="R2730">
            <v>3570210</v>
          </cell>
          <cell r="S2730">
            <v>0</v>
          </cell>
          <cell r="T2730">
            <v>0</v>
          </cell>
          <cell r="U2730">
            <v>3570210</v>
          </cell>
          <cell r="V2730">
            <v>1020060</v>
          </cell>
        </row>
        <row r="2731">
          <cell r="J2731">
            <v>2347</v>
          </cell>
          <cell r="K2731">
            <v>43279</v>
          </cell>
          <cell r="L2731" t="str">
            <v>CLARA LILIA AREVALO</v>
          </cell>
          <cell r="M2731">
            <v>31</v>
          </cell>
          <cell r="N2731" t="str">
            <v>RESOLUCION</v>
          </cell>
          <cell r="O2731">
            <v>2675</v>
          </cell>
          <cell r="P2731">
            <v>43279</v>
          </cell>
          <cell r="Q2731" t="str">
            <v>AYUDA TEMPORAL A LAS FAMILIAS DE VARIAS LOCALIDADES, PARA LA RELOCALIZACIÓN DE HOGARES LOCALIZADOS EN ZONAS DE ALTO RIESGO NO MITIGABLE ID:2011-5-13260, LOCALIDAD:05 USME, UPZ:56 DANUBIO</v>
          </cell>
          <cell r="R2731">
            <v>2953097</v>
          </cell>
          <cell r="S2731">
            <v>0</v>
          </cell>
          <cell r="T2731">
            <v>0</v>
          </cell>
          <cell r="U2731">
            <v>2953097</v>
          </cell>
          <cell r="V2731">
            <v>843742</v>
          </cell>
        </row>
        <row r="2732">
          <cell r="J2732">
            <v>2348</v>
          </cell>
          <cell r="K2732">
            <v>43279</v>
          </cell>
          <cell r="L2732" t="str">
            <v>JHON ALEXANDER SARMIENTO</v>
          </cell>
          <cell r="M2732">
            <v>31</v>
          </cell>
          <cell r="N2732" t="str">
            <v>RESOLUCION</v>
          </cell>
          <cell r="O2732">
            <v>2674</v>
          </cell>
          <cell r="P2732">
            <v>43279</v>
          </cell>
          <cell r="Q2732" t="str">
            <v>AYUDA TEMPORAL A LAS FAMILIAS DE VARIAS LOCALIDADES, PARA LA RELOCALIZACIÓN DE HOGARES LOCALIZADOS EN ZONAS DE ALTO RIESGO NO MITIGABLE ID:2012-T314-04, LOCALIDAD:04 SAN CRISTÓBAL, UPZ:50 LA GLORIA</v>
          </cell>
          <cell r="R2732">
            <v>3248007</v>
          </cell>
          <cell r="S2732">
            <v>0</v>
          </cell>
          <cell r="T2732">
            <v>0</v>
          </cell>
          <cell r="U2732">
            <v>3248007</v>
          </cell>
          <cell r="V2732">
            <v>928002</v>
          </cell>
        </row>
        <row r="2733">
          <cell r="J2733">
            <v>2349</v>
          </cell>
          <cell r="K2733">
            <v>43279</v>
          </cell>
          <cell r="L2733" t="str">
            <v>GILBERTO  FORERO</v>
          </cell>
          <cell r="M2733">
            <v>31</v>
          </cell>
          <cell r="N2733" t="str">
            <v>RESOLUCION</v>
          </cell>
          <cell r="O2733">
            <v>2673</v>
          </cell>
          <cell r="P2733">
            <v>43279</v>
          </cell>
          <cell r="Q2733" t="str">
            <v>AYUDA TEMPORAL A LAS FAMILIAS DE VARIAS LOCALIDADES, PARA LA RELOCALIZACIÓN DE HOGARES LOCALIZADOS EN ZONAS DE ALTO RIESGO NO MITIGABLE ID:2012-ALES-190, LOCALIDAD:19 CIUDAD BOLÍVAR, UPZ:69 ISMAEL PERDOMO, SECTOR:ALTOS DE LA ESTANCIA</v>
          </cell>
          <cell r="R2733">
            <v>2390202</v>
          </cell>
          <cell r="S2733">
            <v>0</v>
          </cell>
          <cell r="T2733">
            <v>0</v>
          </cell>
          <cell r="U2733">
            <v>2390202</v>
          </cell>
          <cell r="V2733">
            <v>796734</v>
          </cell>
        </row>
        <row r="2734">
          <cell r="J2734">
            <v>2350</v>
          </cell>
          <cell r="K2734">
            <v>43279</v>
          </cell>
          <cell r="L2734" t="str">
            <v>EFRAIN  TORRES</v>
          </cell>
          <cell r="M2734">
            <v>31</v>
          </cell>
          <cell r="N2734" t="str">
            <v>RESOLUCION</v>
          </cell>
          <cell r="O2734">
            <v>2672</v>
          </cell>
          <cell r="P2734">
            <v>43279</v>
          </cell>
          <cell r="Q2734" t="str">
            <v>AYUDA TEMPORAL A LAS FAMILIAS DE VARIAS LOCALIDADES, PARA LA RELOCALIZACIÓN DE HOGARES LOCALIZADOS EN ZONAS DE ALTO RIESGO NO MITIGABLE ID:2012-19-14090, LOCALIDAD:19 CIUDAD BOLÍVAR, UPZ:68 EL TESORO, SECTOR:QUEBRADA TROMPETA</v>
          </cell>
          <cell r="R2734">
            <v>3247176</v>
          </cell>
          <cell r="S2734">
            <v>0</v>
          </cell>
          <cell r="T2734">
            <v>0</v>
          </cell>
          <cell r="U2734">
            <v>3247176</v>
          </cell>
          <cell r="V2734">
            <v>811794</v>
          </cell>
        </row>
        <row r="2735">
          <cell r="J2735">
            <v>2351</v>
          </cell>
          <cell r="K2735">
            <v>43279</v>
          </cell>
          <cell r="L2735" t="str">
            <v>MERCEDES  CHAPARRO ROJAS</v>
          </cell>
          <cell r="M2735">
            <v>31</v>
          </cell>
          <cell r="N2735" t="str">
            <v>RESOLUCION</v>
          </cell>
          <cell r="O2735">
            <v>2554</v>
          </cell>
          <cell r="P2735">
            <v>43279</v>
          </cell>
          <cell r="Q2735" t="str">
            <v>AYUDA TEMPORAL A LAS FAMILIAS DE VARIAS LOCALIDADES, PARA LA RELOCALIZACIÓN DE HOGARES LOCALIZADOS EN ZONAS DE ALTO RIESGO NO MITIGABLE ID:2013-Q10-00520, LOCALIDAD:04 SAN CRISTÓBAL, UPZ:51 LOS LIBERTADORES, SECTOR:QUEBRADA VEREJONES</v>
          </cell>
          <cell r="R2735">
            <v>2685291</v>
          </cell>
          <cell r="S2735">
            <v>0</v>
          </cell>
          <cell r="T2735">
            <v>0</v>
          </cell>
          <cell r="U2735">
            <v>2685291</v>
          </cell>
          <cell r="V2735">
            <v>767226</v>
          </cell>
        </row>
        <row r="2736">
          <cell r="J2736">
            <v>2352</v>
          </cell>
          <cell r="K2736">
            <v>43279</v>
          </cell>
          <cell r="L2736" t="str">
            <v>CARMEN ROSA POVEDA VDA DE CAMACHO</v>
          </cell>
          <cell r="M2736">
            <v>31</v>
          </cell>
          <cell r="N2736" t="str">
            <v>RESOLUCION</v>
          </cell>
          <cell r="O2736">
            <v>2750</v>
          </cell>
          <cell r="P2736">
            <v>43279</v>
          </cell>
          <cell r="Q2736" t="str">
            <v>AYUDA TEMPORAL A LAS FAMILIAS DE VARIAS LOCALIDADES, PARA RELOCALIZACIÓN DE HOGARES LOCALIZADOS EN ZONAS DE ALTO RIESGO NO MITIGABLE ID:2014-Q07-00795, LOCALIDAD:19 CIUDAD BOLÍVAR, UPZ:68 EL TESORO, SECTOR:QUEBRADA GALINDO</v>
          </cell>
          <cell r="R2736">
            <v>3805784</v>
          </cell>
          <cell r="S2736">
            <v>0</v>
          </cell>
          <cell r="T2736">
            <v>0</v>
          </cell>
          <cell r="U2736">
            <v>3805784</v>
          </cell>
          <cell r="V2736">
            <v>951446</v>
          </cell>
        </row>
        <row r="2737">
          <cell r="J2737">
            <v>2353</v>
          </cell>
          <cell r="K2737">
            <v>43279</v>
          </cell>
          <cell r="L2737" t="str">
            <v>HECTOR JULIO GOMEZ HERRERA</v>
          </cell>
          <cell r="M2737">
            <v>31</v>
          </cell>
          <cell r="N2737" t="str">
            <v>RESOLUCION</v>
          </cell>
          <cell r="O2737">
            <v>2749</v>
          </cell>
          <cell r="P2737">
            <v>43279</v>
          </cell>
          <cell r="Q2737" t="str">
            <v>AYUDA TEMPORAL A LAS FAMILIAS DE VARIAS LOCALIDADES, PARA LA RELOCALIZACIÓN DE HOGARES LOCALIZADOS EN ZONAS DE ALTO RIESGO NO MITIGABLE ID:2010-5-11595, LOCALIDAD:05 USME, UPZ:57 GRAN YOMASA, SECTOR:OLA INVERNAL 2010 FOPAE</v>
          </cell>
          <cell r="R2737">
            <v>2582006</v>
          </cell>
          <cell r="S2737">
            <v>0</v>
          </cell>
          <cell r="T2737">
            <v>0</v>
          </cell>
          <cell r="U2737">
            <v>2582006</v>
          </cell>
          <cell r="V2737">
            <v>737716</v>
          </cell>
        </row>
        <row r="2738">
          <cell r="J2738">
            <v>2354</v>
          </cell>
          <cell r="K2738">
            <v>43279</v>
          </cell>
          <cell r="L2738" t="str">
            <v>PATRICIA  MALAGON RINCON</v>
          </cell>
          <cell r="M2738">
            <v>31</v>
          </cell>
          <cell r="N2738" t="str">
            <v>RESOLUCION</v>
          </cell>
          <cell r="O2738">
            <v>2748</v>
          </cell>
          <cell r="P2738">
            <v>43279</v>
          </cell>
          <cell r="Q2738" t="str">
            <v>AYUDA TEMPORAL A LAS FAMILIAS DE VARIAS LOCALIDADES, PARA RELOCALIZACIÓN DE HOGARES LOCALIZADOS EN ZONAS DE ALTO RIESGO NO MITIGABLE ID:2016-08-14840, LOCALIDAD:08 KENNEDY, UPZ:82 PATIO BONITO, SECTOR:PALMITAS</v>
          </cell>
          <cell r="R2738">
            <v>3098410</v>
          </cell>
          <cell r="S2738">
            <v>0</v>
          </cell>
          <cell r="T2738">
            <v>0</v>
          </cell>
          <cell r="U2738">
            <v>3098410</v>
          </cell>
          <cell r="V2738">
            <v>885260</v>
          </cell>
        </row>
        <row r="2739">
          <cell r="J2739">
            <v>2355</v>
          </cell>
          <cell r="K2739">
            <v>43279</v>
          </cell>
          <cell r="L2739" t="str">
            <v>MARLEN  BELTRAN CASTELLANOS</v>
          </cell>
          <cell r="M2739">
            <v>31</v>
          </cell>
          <cell r="N2739" t="str">
            <v>RESOLUCION</v>
          </cell>
          <cell r="O2739">
            <v>2747</v>
          </cell>
          <cell r="P2739">
            <v>43279</v>
          </cell>
          <cell r="Q2739" t="str">
            <v>AYUDA TEMPORAL A LAS FAMILIAS DE VARIAS LOCALIDADES, PARA RELOCALIZACIÓN DE HOGARES LOCALIZADOS EN ZONAS DE ALTO RIESGO NO MITIGABLE ID:2011-4-12671, LOCALIDAD:04 SAN CRISTÓBAL, UPZ:32 SAN BLAS</v>
          </cell>
          <cell r="R2739">
            <v>3022327</v>
          </cell>
          <cell r="S2739">
            <v>0</v>
          </cell>
          <cell r="T2739">
            <v>0</v>
          </cell>
          <cell r="U2739">
            <v>3022327</v>
          </cell>
          <cell r="V2739">
            <v>863522</v>
          </cell>
        </row>
        <row r="2740">
          <cell r="J2740">
            <v>2356</v>
          </cell>
          <cell r="K2740">
            <v>43279</v>
          </cell>
          <cell r="L2740" t="str">
            <v>JOSE DE JESUS RODRIGUEZ RODRIGUEZ</v>
          </cell>
          <cell r="M2740">
            <v>31</v>
          </cell>
          <cell r="N2740" t="str">
            <v>RESOLUCION</v>
          </cell>
          <cell r="O2740">
            <v>2746</v>
          </cell>
          <cell r="P2740">
            <v>43279</v>
          </cell>
          <cell r="Q2740" t="str">
            <v>AYUDA TEMPORAL A LAS FAMILIAS DE VARIAS LOCALIDADES, PARA RELOCALIZACIÓN DE HOGARES LOCALIZADOS EN ZONAS DE ALTO RIESGO NO MITIGABLE ID:2015-Q03-01427, LOCALIDAD:19 CIUDAD BOLÍVAR, UPZ:66 SAN FRANCISCO, SECTOR:LIMAS</v>
          </cell>
          <cell r="R2740">
            <v>4059405</v>
          </cell>
          <cell r="S2740">
            <v>0</v>
          </cell>
          <cell r="T2740">
            <v>0</v>
          </cell>
          <cell r="U2740">
            <v>4059405</v>
          </cell>
          <cell r="V2740">
            <v>902090</v>
          </cell>
        </row>
        <row r="2741">
          <cell r="J2741">
            <v>2357</v>
          </cell>
          <cell r="K2741">
            <v>43279</v>
          </cell>
          <cell r="L2741" t="str">
            <v>FABIAN  CASTRO CASTAÑEDA</v>
          </cell>
          <cell r="M2741">
            <v>31</v>
          </cell>
          <cell r="N2741" t="str">
            <v>RESOLUCION</v>
          </cell>
          <cell r="O2741">
            <v>2745</v>
          </cell>
          <cell r="P2741">
            <v>43279</v>
          </cell>
          <cell r="Q2741" t="str">
            <v>AYUDA TEMPORAL A LAS FAMILIAS DE VARIAS LOCALIDADES, PARA RELOCALIZACIÓN DE HOGARES LOCALIZADOS EN ZONAS DE ALTO RIESGO NO MITIGABLE ID:2015-OTR-01494, LOCALIDAD:11 SUBA, UPZ:71 TIBABUYES, SECTOR:GAVILANES</v>
          </cell>
          <cell r="R2741">
            <v>3585303</v>
          </cell>
          <cell r="S2741">
            <v>0</v>
          </cell>
          <cell r="T2741">
            <v>0</v>
          </cell>
          <cell r="U2741">
            <v>3585303</v>
          </cell>
          <cell r="V2741">
            <v>796734</v>
          </cell>
        </row>
        <row r="2742">
          <cell r="J2742">
            <v>2358</v>
          </cell>
          <cell r="K2742">
            <v>43279</v>
          </cell>
          <cell r="L2742" t="str">
            <v>ANADELIA  MELO JOYA</v>
          </cell>
          <cell r="M2742">
            <v>31</v>
          </cell>
          <cell r="N2742" t="str">
            <v>RESOLUCION</v>
          </cell>
          <cell r="O2742">
            <v>2723</v>
          </cell>
          <cell r="P2742">
            <v>43279</v>
          </cell>
          <cell r="Q2742" t="str">
            <v>AYUDA TEMPORAL A LAS FAMILIAS DE VARIAS LOCALIDADES, PARA LA RELOCALIZACIÓN DE HOGARES LOCALIZADOS EN ZONAS DE ALTO RIESGO NO MITIGABLE ID:2003-19-5220, LOCALIDAD:19 CIUDAD BOLÍVAR, UPZ:69 ISMAEL PERDOMO, SECTOR:ALTOS DE LA ESTANCIA</v>
          </cell>
          <cell r="R2742">
            <v>3363507</v>
          </cell>
          <cell r="S2742">
            <v>0</v>
          </cell>
          <cell r="T2742">
            <v>0</v>
          </cell>
          <cell r="U2742">
            <v>3363507</v>
          </cell>
          <cell r="V2742">
            <v>480501</v>
          </cell>
        </row>
        <row r="2743">
          <cell r="J2743">
            <v>2359</v>
          </cell>
          <cell r="K2743">
            <v>43279</v>
          </cell>
          <cell r="L2743" t="str">
            <v>JORGE RAUL BERMUDEZ ROMERO</v>
          </cell>
          <cell r="M2743">
            <v>31</v>
          </cell>
          <cell r="N2743" t="str">
            <v>RESOLUCION</v>
          </cell>
          <cell r="O2743">
            <v>2744</v>
          </cell>
          <cell r="P2743">
            <v>43279</v>
          </cell>
          <cell r="Q2743" t="str">
            <v>AYUDA TEMPORAL A LAS FAMILIAS DE VARIAS LOCALIDADES, PARA RELOCALIZACIÓN DE HOGARES LOCALIZADOS EN ZONAS DE ALTO RIESGO NO MITIGABLE ID:2009-4-11182, LOCALIDAD:04 SAN CRISTÓBAL, UPZ:50 LA GLORIA</v>
          </cell>
          <cell r="R2743">
            <v>4374958</v>
          </cell>
          <cell r="S2743">
            <v>0</v>
          </cell>
          <cell r="T2743">
            <v>0</v>
          </cell>
          <cell r="U2743">
            <v>4374958</v>
          </cell>
          <cell r="V2743">
            <v>1249988</v>
          </cell>
        </row>
        <row r="2744">
          <cell r="J2744">
            <v>2360</v>
          </cell>
          <cell r="K2744">
            <v>43279</v>
          </cell>
          <cell r="L2744" t="str">
            <v>YENNY PAOLA DAZA MOTTA</v>
          </cell>
          <cell r="M2744">
            <v>31</v>
          </cell>
          <cell r="N2744" t="str">
            <v>RESOLUCION</v>
          </cell>
          <cell r="O2744">
            <v>2743</v>
          </cell>
          <cell r="P2744">
            <v>43279</v>
          </cell>
          <cell r="Q2744" t="str">
            <v>AYUDA TEMPORAL A LAS FAMILIAS DE VARIAS LOCALIDADES, PARA RELOCALIZACIÓN DE HOGARES LOCALIZADOS EN ZONAS DE ALTO RIESGO NO MITIGABLE ID:2014-4-14720, LOCALIDAD:04 SAN CRISTÓBAL, UPZ:32 SAN BLAS</v>
          </cell>
          <cell r="R2744">
            <v>3796839</v>
          </cell>
          <cell r="S2744">
            <v>0</v>
          </cell>
          <cell r="T2744">
            <v>0</v>
          </cell>
          <cell r="U2744">
            <v>3796839</v>
          </cell>
          <cell r="V2744">
            <v>843742</v>
          </cell>
        </row>
        <row r="2745">
          <cell r="J2745">
            <v>2361</v>
          </cell>
          <cell r="K2745">
            <v>43279</v>
          </cell>
          <cell r="L2745" t="str">
            <v>CLEOFELINA  GARCIA DE CASTRO</v>
          </cell>
          <cell r="M2745">
            <v>31</v>
          </cell>
          <cell r="N2745" t="str">
            <v>RESOLUCION</v>
          </cell>
          <cell r="O2745">
            <v>2742</v>
          </cell>
          <cell r="P2745">
            <v>43279</v>
          </cell>
          <cell r="Q2745" t="str">
            <v>AYUDA TEMPORAL A LAS FAMILIAS DE VARIAS LOCALIDADES, PARA RELOCALIZACIÓN DE HOGARES LOCALIZADOS EN ZONAS DE ALTO RIESGO NO MITIGABLE ID:2014-OTR-00888, LOCALIDAD:03 SANTA FE, UPZ:96 LOURDES, SECTOR:CASA 2</v>
          </cell>
          <cell r="R2745">
            <v>3516527</v>
          </cell>
          <cell r="S2745">
            <v>0</v>
          </cell>
          <cell r="T2745">
            <v>0</v>
          </cell>
          <cell r="U2745">
            <v>3516527</v>
          </cell>
          <cell r="V2745">
            <v>1004722</v>
          </cell>
        </row>
        <row r="2746">
          <cell r="J2746">
            <v>2362</v>
          </cell>
          <cell r="K2746">
            <v>43280</v>
          </cell>
          <cell r="L2746" t="str">
            <v>MARIA DEL TRANSITO UYASABA LOPEZ</v>
          </cell>
          <cell r="M2746">
            <v>31</v>
          </cell>
          <cell r="N2746" t="str">
            <v>RESOLUCION</v>
          </cell>
          <cell r="O2746">
            <v>2752</v>
          </cell>
          <cell r="P2746">
            <v>43280</v>
          </cell>
          <cell r="Q2746" t="str">
            <v>AYUDA TEMPORAL A LAS FAMILIAS DE VARIAS LOCALIDADES, PARA RELOCALIZACIÓN DE HOGARES LOCALIZADOS EN ZONAS DE ALTO RIESGO NO MITIGABLE ID:2010-4-12315, LOCALIDAD:04 SAN CRISTÓBAL, UPZ:32 SAN BLAS, SECTOR:OLA INVERNAL 2010 FOPAE</v>
          </cell>
          <cell r="R2746">
            <v>2734347</v>
          </cell>
          <cell r="S2746">
            <v>0</v>
          </cell>
          <cell r="T2746">
            <v>0</v>
          </cell>
          <cell r="U2746">
            <v>2734347</v>
          </cell>
          <cell r="V2746">
            <v>781242</v>
          </cell>
        </row>
        <row r="2747">
          <cell r="J2747">
            <v>2363</v>
          </cell>
          <cell r="K2747">
            <v>43280</v>
          </cell>
          <cell r="L2747" t="str">
            <v>HERMINSO  ALTURO PERDOMO</v>
          </cell>
          <cell r="M2747">
            <v>31</v>
          </cell>
          <cell r="N2747" t="str">
            <v>RESOLUCION</v>
          </cell>
          <cell r="O2747">
            <v>2770</v>
          </cell>
          <cell r="P2747">
            <v>43280</v>
          </cell>
          <cell r="Q2747" t="str">
            <v>AYUDA TEMPORAL A LAS FAMILIAS DE VARIAS LOCALIDADES, PARA RELOCALIZACIÓN DE HOGARES LOCALIZADOS EN ZONAS DE ALTO RIESGO NO MITIGABLE ID:2014-Q07-00795, LOCALIDAD:19 CIUDAD BOLÍVAR, UPZ:68 EL TESORO, SECTOR:QUEBRADA GALINDO</v>
          </cell>
          <cell r="R2747">
            <v>3743922</v>
          </cell>
          <cell r="S2747">
            <v>3743922</v>
          </cell>
          <cell r="T2747">
            <v>0</v>
          </cell>
          <cell r="U2747">
            <v>0</v>
          </cell>
          <cell r="V2747">
            <v>0</v>
          </cell>
        </row>
        <row r="2748">
          <cell r="J2748">
            <v>2364</v>
          </cell>
          <cell r="K2748">
            <v>43280</v>
          </cell>
          <cell r="L2748" t="str">
            <v>MARIA FERNANDA ESPITIA SAGANOME</v>
          </cell>
          <cell r="M2748">
            <v>31</v>
          </cell>
          <cell r="N2748" t="str">
            <v>RESOLUCION</v>
          </cell>
          <cell r="O2748">
            <v>2769</v>
          </cell>
          <cell r="P2748">
            <v>43280</v>
          </cell>
          <cell r="Q2748" t="str">
            <v>AYUDA TEMPORAL A LAS FAMILIAS DE VARIAS LOCALIDADES, PARA LA RELOCALIZACIÓN DE HOGARES LOCALIZADOS EN ZONAS DE ALTO RIESGO NO MITIGABLE ID:2015-OTR-01378, LOCALIDAD:11 SUBA, UPZ:71 TIBABUYES, SECTOR:GAVILANES</v>
          </cell>
          <cell r="R2748">
            <v>2734347</v>
          </cell>
          <cell r="S2748">
            <v>0</v>
          </cell>
          <cell r="T2748">
            <v>0</v>
          </cell>
          <cell r="U2748">
            <v>2734347</v>
          </cell>
          <cell r="V2748">
            <v>781242</v>
          </cell>
        </row>
        <row r="2749">
          <cell r="J2749">
            <v>2365</v>
          </cell>
          <cell r="K2749">
            <v>43280</v>
          </cell>
          <cell r="L2749" t="str">
            <v>MARIA HELENA GALINDO GONZALEZ</v>
          </cell>
          <cell r="M2749">
            <v>31</v>
          </cell>
          <cell r="N2749" t="str">
            <v>RESOLUCION</v>
          </cell>
          <cell r="O2749">
            <v>2768</v>
          </cell>
          <cell r="P2749">
            <v>43280</v>
          </cell>
          <cell r="Q2749" t="str">
            <v>AYUDA TEMPORAL A LAS FAMILIAS DE VARIAS LOCALIDADES, PARA RELOCALIZACIÓN DE HOGARES LOCALIZADOS EN ZONAS DE ALTO RIESGO NO MITIGABLE ID:2014-OTR-00956, LOCALIDAD:19 CIUDAD BOLÍVAR, UPZ:67 LUCERO, SECTOR:TABOR ALTALOMA</v>
          </cell>
          <cell r="R2749">
            <v>3383254</v>
          </cell>
          <cell r="S2749">
            <v>0</v>
          </cell>
          <cell r="T2749">
            <v>0</v>
          </cell>
          <cell r="U2749">
            <v>3383254</v>
          </cell>
          <cell r="V2749">
            <v>966644</v>
          </cell>
        </row>
        <row r="2750">
          <cell r="J2750">
            <v>2366</v>
          </cell>
          <cell r="K2750">
            <v>43280</v>
          </cell>
          <cell r="L2750" t="str">
            <v>SONIA CECILIA BEDOYA TRIANA</v>
          </cell>
          <cell r="M2750">
            <v>31</v>
          </cell>
          <cell r="N2750" t="str">
            <v>RESOLUCION</v>
          </cell>
          <cell r="O2750">
            <v>2767</v>
          </cell>
          <cell r="P2750">
            <v>43280</v>
          </cell>
          <cell r="Q2750" t="str">
            <v>AYUDA TEMPORAL A LAS FAMILIAS DE VARIAS LOCALIDADES, PARA LA RELOCALIZACIÓN DE HOGARES LOCALIZADOS EN ZONAS DE ALTO RIESGO NO MITIGABLE ID:2011-5-13640, LOCALIDAD:05 USME, UPZ:58 COMUNEROS</v>
          </cell>
          <cell r="R2750">
            <v>3249968</v>
          </cell>
          <cell r="S2750">
            <v>0</v>
          </cell>
          <cell r="T2750">
            <v>0</v>
          </cell>
          <cell r="U2750">
            <v>3249968</v>
          </cell>
          <cell r="V2750">
            <v>812492</v>
          </cell>
        </row>
        <row r="2751">
          <cell r="J2751">
            <v>2367</v>
          </cell>
          <cell r="K2751">
            <v>43280</v>
          </cell>
          <cell r="L2751" t="str">
            <v>ANA CECILIA VILLAQUIRA TITIMBO</v>
          </cell>
          <cell r="M2751">
            <v>31</v>
          </cell>
          <cell r="N2751" t="str">
            <v>RESOLUCION</v>
          </cell>
          <cell r="O2751">
            <v>2766</v>
          </cell>
          <cell r="P2751">
            <v>43280</v>
          </cell>
          <cell r="Q2751" t="str">
            <v>AYUDA TEMPORAL A LAS FAMILIAS DE VARIAS LOCALIDADES, PARA RELOCALIZACIÓN DE HOGARES LOCALIZADOS EN ZONAS DE ALTO RIESGO NO MITIGABLE ID:2014-OTR-00950, LOCALIDAD:19 CIUDAD BOLÍVAR, UPZ:67 LUCERO, SECTOR:TABOR ALTALOMA</v>
          </cell>
          <cell r="R2751">
            <v>3718092</v>
          </cell>
          <cell r="S2751">
            <v>0</v>
          </cell>
          <cell r="T2751">
            <v>0</v>
          </cell>
          <cell r="U2751">
            <v>3718092</v>
          </cell>
          <cell r="V2751">
            <v>1062312</v>
          </cell>
        </row>
        <row r="2752">
          <cell r="J2752">
            <v>2368</v>
          </cell>
          <cell r="K2752">
            <v>43280</v>
          </cell>
          <cell r="L2752" t="str">
            <v>FLOR MYRIAM CORREA CORREA</v>
          </cell>
          <cell r="M2752">
            <v>31</v>
          </cell>
          <cell r="N2752" t="str">
            <v>RESOLUCION</v>
          </cell>
          <cell r="O2752">
            <v>2765</v>
          </cell>
          <cell r="P2752">
            <v>43280</v>
          </cell>
          <cell r="Q2752" t="str">
            <v>AYUDA TEMPORAL A LAS FAMILIAS DE VARIAS LOCALIDADES, PARA LA RELOCALIZACIÓN DE HOGARES LOCALIZADOS EN ZONAS DE ALTO RIESGO NO MITIGABLE ID:2013-Q04-00757, LOCALIDAD:19 CIUDAD BOLÍVAR, UPZ:67 LUCERO, SECTOR:PEÑA COLORADA</v>
          </cell>
          <cell r="R2752">
            <v>3619000</v>
          </cell>
          <cell r="S2752">
            <v>0</v>
          </cell>
          <cell r="T2752">
            <v>0</v>
          </cell>
          <cell r="U2752">
            <v>3619000</v>
          </cell>
          <cell r="V2752">
            <v>1034000</v>
          </cell>
        </row>
        <row r="2753">
          <cell r="J2753">
            <v>2369</v>
          </cell>
          <cell r="K2753">
            <v>43280</v>
          </cell>
          <cell r="L2753" t="str">
            <v>FLOR MARIA JAIME</v>
          </cell>
          <cell r="M2753">
            <v>31</v>
          </cell>
          <cell r="N2753" t="str">
            <v>RESOLUCION</v>
          </cell>
          <cell r="O2753">
            <v>2764</v>
          </cell>
          <cell r="P2753">
            <v>43280</v>
          </cell>
          <cell r="Q2753" t="str">
            <v>AYUDA TEMPORAL A LAS FAMILIAS DE VARIAS LOCALIDADES, PARA LA RELOCALIZACIÓN DE HOGARES LOCALIZADOS EN ZONAS DE ALTO RIESGO NO MITIGABLE ID:2013-Q09-00146, LOCALIDAD:19 CIUDAD BOLÍVAR, UPZ:67 LUCERO, SECTOR:QUEBRADA TROMPETA</v>
          </cell>
          <cell r="R2753">
            <v>2950864</v>
          </cell>
          <cell r="S2753">
            <v>0</v>
          </cell>
          <cell r="T2753">
            <v>0</v>
          </cell>
          <cell r="U2753">
            <v>2950864</v>
          </cell>
          <cell r="V2753">
            <v>737716</v>
          </cell>
        </row>
        <row r="2754">
          <cell r="J2754">
            <v>2370</v>
          </cell>
          <cell r="K2754">
            <v>43280</v>
          </cell>
          <cell r="L2754" t="str">
            <v>MARIA MARGARITA COMESAQUIRA RISCANEVO</v>
          </cell>
          <cell r="M2754">
            <v>31</v>
          </cell>
          <cell r="N2754" t="str">
            <v>RESOLUCION</v>
          </cell>
          <cell r="O2754">
            <v>2763</v>
          </cell>
          <cell r="P2754">
            <v>43280</v>
          </cell>
          <cell r="Q2754" t="str">
            <v>AYUDA TEMPORAL A LAS FAMILIAS DE VARIAS LOCALIDADES, PARA RELOCALIZACIÓN DE HOGARES LOCALIZADOS EN ZONAS DE ALTO RIESGO NO MITIGABLE ID:2012-19-14152, LOCALIDAD:19 CIUDAD BOLÍVAR, UPZ:68 EL TESORO, SECTOR:QUEBRADA TROMPETA</v>
          </cell>
          <cell r="R2754">
            <v>2734347</v>
          </cell>
          <cell r="S2754">
            <v>0</v>
          </cell>
          <cell r="T2754">
            <v>0</v>
          </cell>
          <cell r="U2754">
            <v>2734347</v>
          </cell>
          <cell r="V2754">
            <v>781242</v>
          </cell>
        </row>
        <row r="2755">
          <cell r="J2755">
            <v>2371</v>
          </cell>
          <cell r="K2755">
            <v>43280</v>
          </cell>
          <cell r="L2755" t="str">
            <v>HERMINSO  ALTURO PERDOMO</v>
          </cell>
          <cell r="M2755">
            <v>31</v>
          </cell>
          <cell r="N2755" t="str">
            <v>RESOLUCION</v>
          </cell>
          <cell r="O2755">
            <v>2770</v>
          </cell>
          <cell r="P2755">
            <v>43280</v>
          </cell>
          <cell r="Q2755" t="str">
            <v>AYUDA TEMPORAL A LAS FAMILIAS DE VARIAS LOCALIDADES, PARA LA RELOCALIZACIÓN DE HOGARES LOCALIZADOS EN ZONAS DE ALTO RIESGO NO MITIGABLE ID:2015-OTR-01375, LOCALIDAD:11 SUBA, UPZ:71 TIBABUYES, SECTOR:GAVILANES</v>
          </cell>
          <cell r="R2755">
            <v>3743922</v>
          </cell>
          <cell r="S2755">
            <v>0</v>
          </cell>
          <cell r="T2755">
            <v>0</v>
          </cell>
          <cell r="U2755">
            <v>3743922</v>
          </cell>
          <cell r="V2755">
            <v>1069692</v>
          </cell>
        </row>
        <row r="2756">
          <cell r="J2756">
            <v>2372</v>
          </cell>
          <cell r="K2756">
            <v>43280</v>
          </cell>
          <cell r="L2756" t="str">
            <v>MARIA DEL CARMEN GONZALEZ</v>
          </cell>
          <cell r="M2756">
            <v>31</v>
          </cell>
          <cell r="N2756" t="str">
            <v>RESOLUCION</v>
          </cell>
          <cell r="O2756">
            <v>2762</v>
          </cell>
          <cell r="P2756">
            <v>43280</v>
          </cell>
          <cell r="Q2756" t="str">
            <v>AYUDA TEMPORAL A LAS FAMILIAS DE VARIAS LOCALIDADES, PARA RELOCALIZACIÓN DE HOGARES LOCALIZADOS EN ZONAS DE ALTO RIESGO NO MITIGABLE ID:2014-OTR-00966, LOCALIDAD:19 CIUDAD BOLÍVAR, UPZ:67 LUCERO, SECTOR:TABOR ALTALOMA</v>
          </cell>
          <cell r="R2756">
            <v>3619000</v>
          </cell>
          <cell r="S2756">
            <v>0</v>
          </cell>
          <cell r="T2756">
            <v>0</v>
          </cell>
          <cell r="U2756">
            <v>3619000</v>
          </cell>
          <cell r="V2756">
            <v>1034000</v>
          </cell>
        </row>
        <row r="2757">
          <cell r="J2757">
            <v>2373</v>
          </cell>
          <cell r="K2757">
            <v>43280</v>
          </cell>
          <cell r="L2757" t="str">
            <v>JOSE QUINTILIANO QUINTERO</v>
          </cell>
          <cell r="M2757">
            <v>31</v>
          </cell>
          <cell r="N2757" t="str">
            <v>RESOLUCION</v>
          </cell>
          <cell r="O2757">
            <v>2761</v>
          </cell>
          <cell r="P2757">
            <v>43280</v>
          </cell>
          <cell r="Q2757" t="str">
            <v>AYUDA TEMPORAL A LAS FAMILIAS DE VARIAS LOCALIDADES, PARA RELOCALIZACIÓN DE HOGARES LOCALIZADOS EN ZONAS DE ALTO RIESGO NO MITIGABLE ID:2013-Q22-00621, LOCALIDAD:04 SAN CRISTÓBAL, UPZ:32 SAN BLAS, SECTOR:FUCHA</v>
          </cell>
          <cell r="R2757">
            <v>2688120</v>
          </cell>
          <cell r="S2757">
            <v>0</v>
          </cell>
          <cell r="T2757">
            <v>0</v>
          </cell>
          <cell r="U2757">
            <v>2688120</v>
          </cell>
          <cell r="V2757">
            <v>448020</v>
          </cell>
        </row>
        <row r="2758">
          <cell r="J2758">
            <v>2374</v>
          </cell>
          <cell r="K2758">
            <v>43280</v>
          </cell>
          <cell r="L2758" t="str">
            <v>SANTOS  ORTIZ</v>
          </cell>
          <cell r="M2758">
            <v>31</v>
          </cell>
          <cell r="N2758" t="str">
            <v>RESOLUCION</v>
          </cell>
          <cell r="O2758">
            <v>2760</v>
          </cell>
          <cell r="P2758">
            <v>43280</v>
          </cell>
          <cell r="Q2758" t="str">
            <v>AYUDA TEMPORAL A LAS FAMILIAS DE VARIAS LOCALIDADES, PARA LA RELOCALIZACIÓN DE HOGARES LOCALIZADOS EN ZONAS DE ALTO RIESGO NO MITIGABLE ID:2007-19-10331, LOCALIDAD:19 CIUDAD BOLÍVAR, UPZ:67 LUCERO, SECTOR:QUEBRADA HONDA</v>
          </cell>
          <cell r="R2758">
            <v>2796906</v>
          </cell>
          <cell r="S2758">
            <v>0</v>
          </cell>
          <cell r="T2758">
            <v>0</v>
          </cell>
          <cell r="U2758">
            <v>2796906</v>
          </cell>
          <cell r="V2758">
            <v>799116</v>
          </cell>
        </row>
        <row r="2759">
          <cell r="J2759">
            <v>2375</v>
          </cell>
          <cell r="K2759">
            <v>43280</v>
          </cell>
          <cell r="L2759" t="str">
            <v>HECTOR DANILO FORERO PALACIO</v>
          </cell>
          <cell r="M2759">
            <v>31</v>
          </cell>
          <cell r="N2759" t="str">
            <v>RESOLUCION</v>
          </cell>
          <cell r="O2759">
            <v>2759</v>
          </cell>
          <cell r="P2759">
            <v>43280</v>
          </cell>
          <cell r="Q2759" t="str">
            <v>AYUDA TEMPORAL A LAS FAMILIAS DE VARIAS LOCALIDADES, PARA LA RELOCALIZACIÓN DE HOGARES LOCALIZADOS EN ZONAS DE ALTO RIESGO NO MITIGABLE ID:2015-D227-00046, LOCALIDAD:04 SAN CRISTÓBAL, UPZ:51 LOS LIBERTADORES, SECTOR:SANTA TERESITA</v>
          </cell>
          <cell r="R2759">
            <v>2582006</v>
          </cell>
          <cell r="S2759">
            <v>2582006</v>
          </cell>
          <cell r="T2759">
            <v>0</v>
          </cell>
          <cell r="U2759">
            <v>0</v>
          </cell>
          <cell r="V2759">
            <v>0</v>
          </cell>
        </row>
        <row r="2760">
          <cell r="J2760">
            <v>2376</v>
          </cell>
          <cell r="K2760">
            <v>43280</v>
          </cell>
          <cell r="L2760" t="str">
            <v>SANDRA PATRICIA CARRILLO VILLOTA</v>
          </cell>
          <cell r="M2760">
            <v>31</v>
          </cell>
          <cell r="N2760" t="str">
            <v>RESOLUCION</v>
          </cell>
          <cell r="O2760">
            <v>2758</v>
          </cell>
          <cell r="P2760">
            <v>43280</v>
          </cell>
          <cell r="Q2760" t="str">
            <v>AYUDA TEMPORAL A LAS FAMILIAS DE VARIAS LOCALIDADES, PARA RELOCALIZACIÓN DE HOGARES LOCALIZADOS EN ZONAS DE ALTO RIESGO NO MITIGABLE ID:2014-Q04-01105, LOCALIDAD:19 CIUDAD BOLÍVAR, UPZ:67 LUCERO, SECTOR:PEÑA COLORADA</v>
          </cell>
          <cell r="R2760">
            <v>3157315</v>
          </cell>
          <cell r="S2760">
            <v>0</v>
          </cell>
          <cell r="T2760">
            <v>0</v>
          </cell>
          <cell r="U2760">
            <v>3157315</v>
          </cell>
          <cell r="V2760">
            <v>902090</v>
          </cell>
        </row>
        <row r="2761">
          <cell r="J2761">
            <v>2377</v>
          </cell>
          <cell r="K2761">
            <v>43280</v>
          </cell>
          <cell r="L2761" t="str">
            <v>MARIA AMPARO GONZALEZ SILVA</v>
          </cell>
          <cell r="M2761">
            <v>31</v>
          </cell>
          <cell r="N2761" t="str">
            <v>RESOLUCION</v>
          </cell>
          <cell r="O2761">
            <v>2757</v>
          </cell>
          <cell r="P2761">
            <v>43280</v>
          </cell>
          <cell r="Q2761" t="str">
            <v>AYUDA TEMPORAL A LAS FAMILIAS DE VARIAS LOCALIDADES, PARA RELOCALIZACIÓN DE HOGARES LOCALIZADOS EN ZONAS DE ALTO RIESGO NO MITIGABLE ID:1999-4-3052, LOCALIDAD:04 SAN CRISTÓBAL, UPZ:32 SAN BLAS</v>
          </cell>
          <cell r="R2761">
            <v>3515589</v>
          </cell>
          <cell r="S2761">
            <v>0</v>
          </cell>
          <cell r="T2761">
            <v>0</v>
          </cell>
          <cell r="U2761">
            <v>3515589</v>
          </cell>
          <cell r="V2761">
            <v>781242</v>
          </cell>
        </row>
        <row r="2762">
          <cell r="J2762">
            <v>2378</v>
          </cell>
          <cell r="K2762">
            <v>43280</v>
          </cell>
          <cell r="L2762" t="str">
            <v>FERNANDO  NEGRIA CHAMAPURO</v>
          </cell>
          <cell r="M2762">
            <v>31</v>
          </cell>
          <cell r="N2762" t="str">
            <v>RESOLUCION</v>
          </cell>
          <cell r="O2762">
            <v>2756</v>
          </cell>
          <cell r="P2762">
            <v>43280</v>
          </cell>
          <cell r="Q2762" t="str">
            <v>AYUDA TEMPORAL A LAS FAMILIAS DE VARIAS LOCALIDADES, PARA RELOCALIZACIÓN DE HOGARES LOCALIZADOS EN ZONAS DE ALTO RIESGO NO MITIGABLE ID:2014-W166-007, LOCALIDAD:19 CIUDAD BOLÍVAR, UPZ:68 EL TESORO, SECTOR:WOUNAAN</v>
          </cell>
          <cell r="R2762">
            <v>5219370</v>
          </cell>
          <cell r="S2762">
            <v>0</v>
          </cell>
          <cell r="T2762">
            <v>0</v>
          </cell>
          <cell r="U2762">
            <v>5219370</v>
          </cell>
          <cell r="V2762">
            <v>1159860</v>
          </cell>
        </row>
        <row r="2763">
          <cell r="J2763">
            <v>2379</v>
          </cell>
          <cell r="K2763">
            <v>43280</v>
          </cell>
          <cell r="L2763" t="str">
            <v>NATALI  RIVERA PELAEZ</v>
          </cell>
          <cell r="M2763">
            <v>31</v>
          </cell>
          <cell r="N2763" t="str">
            <v>RESOLUCION</v>
          </cell>
          <cell r="O2763">
            <v>2755</v>
          </cell>
          <cell r="P2763">
            <v>43280</v>
          </cell>
          <cell r="Q2763" t="str">
            <v>AYUDA TEMPORAL A LAS FAMILIAS DE VARIAS LOCALIDADES, PARA RELOCALIZACIÓN DE HOGARES LOCALIZADOS EN ZONAS DE ALTO RIESGO NO MITIGABLE ID:2016-08-14792, LOCALIDAD:08 KENNEDY, UPZ:82 PATIO BONITO, SECTOR:PALMITAS</v>
          </cell>
          <cell r="R2763">
            <v>3718092</v>
          </cell>
          <cell r="S2763">
            <v>0</v>
          </cell>
          <cell r="T2763">
            <v>0</v>
          </cell>
          <cell r="U2763">
            <v>3718092</v>
          </cell>
          <cell r="V2763">
            <v>1062312</v>
          </cell>
        </row>
        <row r="2764">
          <cell r="J2764">
            <v>2380</v>
          </cell>
          <cell r="K2764">
            <v>43280</v>
          </cell>
          <cell r="L2764" t="str">
            <v>MONICA LILIANA RODRIGUEZ VELASQUEZ</v>
          </cell>
          <cell r="M2764">
            <v>31</v>
          </cell>
          <cell r="N2764" t="str">
            <v>RESOLUCION</v>
          </cell>
          <cell r="O2764">
            <v>2754</v>
          </cell>
          <cell r="P2764">
            <v>43280</v>
          </cell>
          <cell r="Q2764" t="str">
            <v>AYUDA TEMPORAL A LAS FAMILIAS DE VARIAS LOCALIDADES, PARA RELOCALIZACIÓN DE HOGARES LOCALIZADOS EN ZONAS DE ALTO RIESGO NO MITIGABLE ID:2015-OTR-01372, LOCALIDAD:11 SUBA, UPZ:71 TIBABUYES, SECTOR:GAVILANES</v>
          </cell>
          <cell r="R2764">
            <v>3516527</v>
          </cell>
          <cell r="S2764">
            <v>0</v>
          </cell>
          <cell r="T2764">
            <v>0</v>
          </cell>
          <cell r="U2764">
            <v>3516527</v>
          </cell>
          <cell r="V2764">
            <v>1004722</v>
          </cell>
        </row>
        <row r="2765">
          <cell r="J2765">
            <v>2381</v>
          </cell>
          <cell r="K2765">
            <v>43280</v>
          </cell>
          <cell r="L2765" t="str">
            <v>ROSA ELENA ARIAS ARIAS</v>
          </cell>
          <cell r="M2765">
            <v>31</v>
          </cell>
          <cell r="N2765" t="str">
            <v>RESOLUCION</v>
          </cell>
          <cell r="O2765">
            <v>2753</v>
          </cell>
          <cell r="P2765">
            <v>43280</v>
          </cell>
          <cell r="Q2765" t="str">
            <v>AYUDA TEMPORAL A LAS FAMILIAS DE VARIAS LOCALIDADES, PARA RELOCALIZACIÓN DE HOGARES LOCALIZADOS EN ZONAS DE ALTO RIESGO NO MITIGABLE ID:2015-OTR-01535, LOCALIDAD:05 USME, UPZ:52 LA FLORA</v>
          </cell>
          <cell r="R2765">
            <v>4465629</v>
          </cell>
          <cell r="S2765">
            <v>0</v>
          </cell>
          <cell r="T2765">
            <v>0</v>
          </cell>
          <cell r="U2765">
            <v>4465629</v>
          </cell>
          <cell r="V2765">
            <v>992362</v>
          </cell>
        </row>
        <row r="2766">
          <cell r="J2766">
            <v>2382</v>
          </cell>
          <cell r="K2766">
            <v>43280</v>
          </cell>
          <cell r="L2766" t="str">
            <v>SOCORRO  QUIROGA QUIROGA</v>
          </cell>
          <cell r="M2766">
            <v>31</v>
          </cell>
          <cell r="N2766" t="str">
            <v>RESOLUCION</v>
          </cell>
          <cell r="O2766">
            <v>2733</v>
          </cell>
          <cell r="P2766">
            <v>43280</v>
          </cell>
          <cell r="Q2766" t="str">
            <v>AYUDA TEMPORAL A LAS FAMILIAS DE VARIAS LOCALIDADES, PARA RELOCALIZACIÓN DE HOGARES LOCALIZADOS EN ZONAS DE ALTO RIESGO NO MITIGABLE ID:2011-4-12923, LOCALIDAD:04 SAN CRISTÓBAL, UPZ:50 LA GLORIA</v>
          </cell>
          <cell r="R2766">
            <v>2895704</v>
          </cell>
          <cell r="S2766">
            <v>0</v>
          </cell>
          <cell r="T2766">
            <v>0</v>
          </cell>
          <cell r="U2766">
            <v>2895704</v>
          </cell>
          <cell r="V2766">
            <v>827344</v>
          </cell>
        </row>
        <row r="2767">
          <cell r="J2767">
            <v>2383</v>
          </cell>
          <cell r="K2767">
            <v>43280</v>
          </cell>
          <cell r="L2767" t="str">
            <v>AMPARO  CHAPARRO</v>
          </cell>
          <cell r="M2767">
            <v>31</v>
          </cell>
          <cell r="N2767" t="str">
            <v>RESOLUCION</v>
          </cell>
          <cell r="O2767">
            <v>2624</v>
          </cell>
          <cell r="P2767">
            <v>43280</v>
          </cell>
          <cell r="Q2767" t="str">
            <v>AYUDA TEMPORAL A LAS FAMILIAS DE VARIAS LOCALIDADES, PARA LA RELOCALIZACIÓN DE HOGARES LOCALIZADOS EN ZONAS DE ALTO RIESGO NO MITIGABLE ID:2013-Q04-00287, LOCALIDAD:19 CIUDAD BOLÍVAR, UPZ:67 LUCERO, SECTOR:PEÑA COLORADA</v>
          </cell>
          <cell r="R2767">
            <v>3515589</v>
          </cell>
          <cell r="S2767">
            <v>0</v>
          </cell>
          <cell r="T2767">
            <v>0</v>
          </cell>
          <cell r="U2767">
            <v>3515589</v>
          </cell>
          <cell r="V2767">
            <v>781242</v>
          </cell>
        </row>
        <row r="2768">
          <cell r="J2768">
            <v>2384</v>
          </cell>
          <cell r="K2768">
            <v>43280</v>
          </cell>
          <cell r="L2768" t="str">
            <v>GEIDY MARCELA SAGANOME CABRERA</v>
          </cell>
          <cell r="M2768">
            <v>31</v>
          </cell>
          <cell r="N2768" t="str">
            <v>RESOLUCION</v>
          </cell>
          <cell r="O2768">
            <v>2623</v>
          </cell>
          <cell r="P2768">
            <v>43280</v>
          </cell>
          <cell r="Q2768" t="str">
            <v>AYUDA TEMPORAL A LAS FAMILIAS DE VARIAS LOCALIDADES, PARA LA RELOCALIZACIÓN DE HOGARES LOCALIZADOS EN ZONAS DE ALTO RIESGO NO MITIGABLE ID:2014-OTR-01193, LOCALIDAD:11 SUBA, UPZ:71 TIBABUYES, SECTOR:GAVILANES</v>
          </cell>
          <cell r="R2768">
            <v>3017000</v>
          </cell>
          <cell r="S2768">
            <v>0</v>
          </cell>
          <cell r="T2768">
            <v>0</v>
          </cell>
          <cell r="U2768">
            <v>3017000</v>
          </cell>
          <cell r="V2768">
            <v>862000</v>
          </cell>
        </row>
        <row r="2769">
          <cell r="J2769">
            <v>2385</v>
          </cell>
          <cell r="K2769">
            <v>43280</v>
          </cell>
          <cell r="L2769" t="str">
            <v>LUZ ADRIANA TUNJUELO NIEVES</v>
          </cell>
          <cell r="M2769">
            <v>31</v>
          </cell>
          <cell r="N2769" t="str">
            <v>RESOLUCION</v>
          </cell>
          <cell r="O2769">
            <v>2622</v>
          </cell>
          <cell r="P2769">
            <v>43280</v>
          </cell>
          <cell r="Q2769" t="str">
            <v>AYUDA TEMPORAL A LAS FAMILIAS DE VARIAS LOCALIDADES, PARA LA RELOCALIZACIÓN DE HOGARES LOCALIZADOS EN ZONAS DE ALTO RIESGO NO MITIGABLE ID:2012-ALES-328, LOCALIDAD:19 CIUDAD BOLÍVAR, UPZ:69 ISMAEL PERDOMO, SECTOR:ALTOS DE LA ESTANCIA</v>
          </cell>
          <cell r="R2769">
            <v>3678480</v>
          </cell>
          <cell r="S2769">
            <v>0</v>
          </cell>
          <cell r="T2769">
            <v>0</v>
          </cell>
          <cell r="U2769">
            <v>3678480</v>
          </cell>
          <cell r="V2769">
            <v>919620</v>
          </cell>
        </row>
        <row r="2770">
          <cell r="J2770">
            <v>2386</v>
          </cell>
          <cell r="K2770">
            <v>43280</v>
          </cell>
          <cell r="L2770" t="str">
            <v>MARIA LUCENA QUINTERO ARIAS</v>
          </cell>
          <cell r="M2770">
            <v>31</v>
          </cell>
          <cell r="N2770" t="str">
            <v>RESOLUCION</v>
          </cell>
          <cell r="O2770">
            <v>2741</v>
          </cell>
          <cell r="P2770">
            <v>43280</v>
          </cell>
          <cell r="Q2770" t="str">
            <v>AYUDA TEMPORAL A LAS FAMILIAS DE VARIAS LOCALIDADES, PARA RELOCALIZACIÓN DE HOGARES LOCALIZADOS EN ZONAS DE ALTO RIESGO NO MITIGABLE ID:2011-19-12886, LOCALIDAD:19 CIUDAD BOLÍVAR, UPZ:67 LUCERO</v>
          </cell>
          <cell r="R2770">
            <v>2924376</v>
          </cell>
          <cell r="S2770">
            <v>0</v>
          </cell>
          <cell r="T2770">
            <v>0</v>
          </cell>
          <cell r="U2770">
            <v>2924376</v>
          </cell>
          <cell r="V2770">
            <v>835536</v>
          </cell>
        </row>
        <row r="2771">
          <cell r="J2771">
            <v>2387</v>
          </cell>
          <cell r="K2771">
            <v>43280</v>
          </cell>
          <cell r="L2771" t="str">
            <v>SARA  RODRIGUEZ RODRIGUEZ</v>
          </cell>
          <cell r="M2771">
            <v>31</v>
          </cell>
          <cell r="N2771" t="str">
            <v>RESOLUCION</v>
          </cell>
          <cell r="O2771">
            <v>2621</v>
          </cell>
          <cell r="P2771">
            <v>43280</v>
          </cell>
          <cell r="Q2771" t="str">
            <v>AYUDA TEMPORAL A LAS FAMILIAS DE VARIAS LOCALIDADES, PARA LA RELOCALIZACIÓN DE HOGARES LOCALIZADOS EN ZONAS DE ALTO RIESGO NO MITIGABLE ID:2013-Q09-00438, LOCALIDAD:19 CIUDAD BOLÍVAR, UPZ:67 LUCERO, SECTOR:QUEBRADA TROMPETA</v>
          </cell>
          <cell r="R2771">
            <v>2843722</v>
          </cell>
          <cell r="S2771">
            <v>0</v>
          </cell>
          <cell r="T2771">
            <v>0</v>
          </cell>
          <cell r="U2771">
            <v>2843722</v>
          </cell>
          <cell r="V2771">
            <v>812492</v>
          </cell>
        </row>
        <row r="2772">
          <cell r="J2772">
            <v>2388</v>
          </cell>
          <cell r="K2772">
            <v>43280</v>
          </cell>
          <cell r="L2772" t="str">
            <v>CLAUDIA PATRICIA POLOCHE</v>
          </cell>
          <cell r="M2772">
            <v>31</v>
          </cell>
          <cell r="N2772" t="str">
            <v>RESOLUCION</v>
          </cell>
          <cell r="O2772">
            <v>2740</v>
          </cell>
          <cell r="P2772">
            <v>43280</v>
          </cell>
          <cell r="Q2772" t="str">
            <v>AYUDA TEMPORAL A LAS FAMILIAS DE VARIAS LOCALIDADES, PARA RELOCALIZACIÓN DE HOGARES LOCALIZADOS EN ZONAS DE ALTO RIESGO NO MITIGABLE ID:2010-4-11980, LOCALIDAD:04 SAN CRISTÓBAL, UPZ:32 SAN BLAS, SECTOR:OLA INVERNAL 2010 FOPAE</v>
          </cell>
          <cell r="R2772">
            <v>2845920</v>
          </cell>
          <cell r="S2772">
            <v>0</v>
          </cell>
          <cell r="T2772">
            <v>0</v>
          </cell>
          <cell r="U2772">
            <v>2845920</v>
          </cell>
          <cell r="V2772">
            <v>813120</v>
          </cell>
        </row>
        <row r="2773">
          <cell r="J2773">
            <v>2389</v>
          </cell>
          <cell r="K2773">
            <v>43280</v>
          </cell>
          <cell r="L2773" t="str">
            <v>ANGELINA  CARRILLO LASSO</v>
          </cell>
          <cell r="M2773">
            <v>31</v>
          </cell>
          <cell r="N2773" t="str">
            <v>RESOLUCION</v>
          </cell>
          <cell r="O2773">
            <v>2620</v>
          </cell>
          <cell r="P2773">
            <v>43280</v>
          </cell>
          <cell r="Q2773" t="str">
            <v>AYUDA TEMPORAL A LAS FAMILIAS DE VARIAS LOCALIDADES, PARA LA RELOCALIZACIÓN DE HOGARES LOCALIZADOS EN ZONAS DE ALTO RIESGO NO MITIGABLE ID:2014-Q03-01007, LOCALIDAD:19 CIUDAD BOLÍVAR, UPZ:66 SAN FRANCISCO, SECTOR:LIMAS</v>
          </cell>
          <cell r="R2773">
            <v>3157315</v>
          </cell>
          <cell r="S2773">
            <v>0</v>
          </cell>
          <cell r="T2773">
            <v>0</v>
          </cell>
          <cell r="U2773">
            <v>3157315</v>
          </cell>
          <cell r="V2773">
            <v>902090</v>
          </cell>
        </row>
        <row r="2774">
          <cell r="J2774">
            <v>2390</v>
          </cell>
          <cell r="K2774">
            <v>43280</v>
          </cell>
          <cell r="L2774" t="str">
            <v>BLANCA DORIS FERNANDEZ</v>
          </cell>
          <cell r="M2774">
            <v>31</v>
          </cell>
          <cell r="N2774" t="str">
            <v>RESOLUCION</v>
          </cell>
          <cell r="O2774">
            <v>2619</v>
          </cell>
          <cell r="P2774">
            <v>43280</v>
          </cell>
          <cell r="Q2774" t="str">
            <v>AYUDA TEMPORAL A LAS FAMILIAS DE VARIAS LOCALIDADES, PARA LA RELOCALIZACIÓN DE HOGARES LOCALIZADOS EN ZONAS DE ALTO RIESGO NO MITIGABLE ID:2013-Q09-00189, LOCALIDAD:19 CIUDAD BOLÍVAR, UPZ:67 LUCERO, SECTOR:QUEBRADA TROMPETA</v>
          </cell>
          <cell r="R2774">
            <v>3608360</v>
          </cell>
          <cell r="S2774">
            <v>0</v>
          </cell>
          <cell r="T2774">
            <v>0</v>
          </cell>
          <cell r="U2774">
            <v>3608360</v>
          </cell>
          <cell r="V2774">
            <v>902090</v>
          </cell>
        </row>
        <row r="2775">
          <cell r="J2775">
            <v>2391</v>
          </cell>
          <cell r="K2775">
            <v>43280</v>
          </cell>
          <cell r="L2775" t="str">
            <v>GLORIA INES ESPINOSA DE OCAMPO</v>
          </cell>
          <cell r="M2775">
            <v>31</v>
          </cell>
          <cell r="N2775" t="str">
            <v>RESOLUCION</v>
          </cell>
          <cell r="O2775">
            <v>2739</v>
          </cell>
          <cell r="P2775">
            <v>43280</v>
          </cell>
          <cell r="Q2775" t="str">
            <v>AYUDA TEMPORAL A LAS FAMILIAS DE VARIAS LOCALIDADES, PARA RELOCALIZACIÓN DE HOGARES LOCALIZADOS EN ZONAS DE ALTO RIESGO NO MITIGABLE ID:2013000562, LOCALIDAD:05 USME, UPZ:56 DANUBIO, SECTOR:HOYA DEL RAMO</v>
          </cell>
          <cell r="R2775">
            <v>3201695</v>
          </cell>
          <cell r="S2775">
            <v>0</v>
          </cell>
          <cell r="T2775">
            <v>0</v>
          </cell>
          <cell r="U2775">
            <v>3201695</v>
          </cell>
          <cell r="V2775">
            <v>914770</v>
          </cell>
        </row>
        <row r="2776">
          <cell r="J2776">
            <v>2392</v>
          </cell>
          <cell r="K2776">
            <v>43280</v>
          </cell>
          <cell r="L2776" t="str">
            <v>DANILO  MORERA CARDENAS</v>
          </cell>
          <cell r="M2776">
            <v>31</v>
          </cell>
          <cell r="N2776" t="str">
            <v>RESOLUCION</v>
          </cell>
          <cell r="O2776">
            <v>2618</v>
          </cell>
          <cell r="P2776">
            <v>43280</v>
          </cell>
          <cell r="Q2776" t="str">
            <v>AYUDA TEMPORAL A LAS FAMILIAS DE VARIAS LOCALIDADES, PARA LA RELOCALIZACIÓN DE HOGARES LOCALIZADOS EN ZONAS DE ALTO RIESGO NO MITIGABLE ID:2013-Q04-00117, LOCALIDAD:04 SAN CRISTÓBAL, UPZ:51 LOS LIBERTADORES, SECTOR:QUEBRADA VEREJONES</v>
          </cell>
          <cell r="R2776">
            <v>3619000</v>
          </cell>
          <cell r="S2776">
            <v>0</v>
          </cell>
          <cell r="T2776">
            <v>0</v>
          </cell>
          <cell r="U2776">
            <v>3619000</v>
          </cell>
          <cell r="V2776">
            <v>1034000</v>
          </cell>
        </row>
        <row r="2777">
          <cell r="J2777">
            <v>2393</v>
          </cell>
          <cell r="K2777">
            <v>43280</v>
          </cell>
          <cell r="L2777" t="str">
            <v>DORIS ALICIA MARIÑO URIBE</v>
          </cell>
          <cell r="M2777">
            <v>31</v>
          </cell>
          <cell r="N2777" t="str">
            <v>RESOLUCION</v>
          </cell>
          <cell r="O2777">
            <v>2738</v>
          </cell>
          <cell r="P2777">
            <v>43280</v>
          </cell>
          <cell r="Q2777" t="str">
            <v>AYUDA TEMPORAL A LAS FAMILIAS DE VARIAS LOCALIDADES, PARA RELOCALIZACIÓN DE HOGARES LOCALIZADOS EN ZONAS DE ALTO RIESGO NO MITIGABLE ID:2005-4-6467, LOCALIDAD:04 SAN CRISTÓBAL, UPZ:51 LOS LIBERTADORES</v>
          </cell>
          <cell r="R2777">
            <v>2685291</v>
          </cell>
          <cell r="S2777">
            <v>0</v>
          </cell>
          <cell r="T2777">
            <v>0</v>
          </cell>
          <cell r="U2777">
            <v>2685291</v>
          </cell>
          <cell r="V2777">
            <v>767226</v>
          </cell>
        </row>
        <row r="2778">
          <cell r="J2778">
            <v>2394</v>
          </cell>
          <cell r="K2778">
            <v>43280</v>
          </cell>
          <cell r="L2778" t="str">
            <v>ILDA LEONOR HIDALGO URREGO</v>
          </cell>
          <cell r="M2778">
            <v>31</v>
          </cell>
          <cell r="N2778" t="str">
            <v>RESOLUCION</v>
          </cell>
          <cell r="O2778">
            <v>2378</v>
          </cell>
          <cell r="P2778">
            <v>43280</v>
          </cell>
          <cell r="Q2778" t="str">
            <v>AYUDA TEMPORAL A LAS FAMILIAS DE VARIAS LOCALIDADES, PARA LA RELOCALIZACIÓN DE HOGARES LOCALIZADOS EN ZONAS DE ALTO RIESGO NO MITIGABLE ID:2012-19-14580, LOCALIDAD:19 CIUDAD BOLÍVAR, UPZ:68 EL TESORO, SECTOR:QUEBRADA TROMPETA</v>
          </cell>
          <cell r="R2778">
            <v>3570210</v>
          </cell>
          <cell r="S2778">
            <v>3060180</v>
          </cell>
          <cell r="T2778">
            <v>0</v>
          </cell>
          <cell r="U2778">
            <v>510030</v>
          </cell>
          <cell r="V2778">
            <v>510030</v>
          </cell>
        </row>
        <row r="2779">
          <cell r="J2779">
            <v>2395</v>
          </cell>
          <cell r="K2779">
            <v>43280</v>
          </cell>
          <cell r="L2779" t="str">
            <v>PERCY  RIVAS PERILLA</v>
          </cell>
          <cell r="M2779">
            <v>31</v>
          </cell>
          <cell r="N2779" t="str">
            <v>RESOLUCION</v>
          </cell>
          <cell r="O2779">
            <v>2737</v>
          </cell>
          <cell r="P2779">
            <v>43280</v>
          </cell>
          <cell r="Q2779" t="str">
            <v>AYUDA TEMPORAL A LAS FAMILIAS DE VARIAS LOCALIDADES, PARA RELOCALIZACIÓN DE HOGARES LOCALIZADOS EN ZONAS DE ALTO RIESGO NO MITIGABLE ID:2011-19-12621, LOCALIDAD:19 CIUDAD BOLÍVAR, UPZ:67 LUCERO</v>
          </cell>
          <cell r="R2779">
            <v>1844290</v>
          </cell>
          <cell r="S2779">
            <v>0</v>
          </cell>
          <cell r="T2779">
            <v>0</v>
          </cell>
          <cell r="U2779">
            <v>1844290</v>
          </cell>
          <cell r="V2779">
            <v>737716</v>
          </cell>
        </row>
        <row r="2780">
          <cell r="J2780">
            <v>2396</v>
          </cell>
          <cell r="K2780">
            <v>43280</v>
          </cell>
          <cell r="L2780" t="str">
            <v>CARLOS JOSE DIMATE VILLARRAGA</v>
          </cell>
          <cell r="M2780">
            <v>31</v>
          </cell>
          <cell r="N2780" t="str">
            <v>RESOLUCION</v>
          </cell>
          <cell r="O2780">
            <v>2736</v>
          </cell>
          <cell r="P2780">
            <v>43280</v>
          </cell>
          <cell r="Q2780" t="str">
            <v>AYUDA TEMPORAL A LAS FAMILIAS DE VARIAS LOCALIDADES, PARA RELOCALIZACIÓN DE HOGARES LOCALIZADOS EN ZONAS DE ALTO RIESGO NO MITIGABLE ID:2010-5-11555, LOCALIDAD:05 USME, UPZ:57 GRAN YOMASA, SECTOR:OLA INVERNAL 2010 FOPAE</v>
          </cell>
          <cell r="R2780">
            <v>2924376</v>
          </cell>
          <cell r="S2780">
            <v>0</v>
          </cell>
          <cell r="T2780">
            <v>0</v>
          </cell>
          <cell r="U2780">
            <v>2924376</v>
          </cell>
          <cell r="V2780">
            <v>835536</v>
          </cell>
        </row>
        <row r="2781">
          <cell r="J2781">
            <v>2397</v>
          </cell>
          <cell r="K2781">
            <v>43280</v>
          </cell>
          <cell r="L2781" t="str">
            <v>GIOVANA PAOLA BARBOSA NOGUERA</v>
          </cell>
          <cell r="M2781">
            <v>31</v>
          </cell>
          <cell r="N2781" t="str">
            <v>RESOLUCION</v>
          </cell>
          <cell r="O2781">
            <v>2735</v>
          </cell>
          <cell r="P2781">
            <v>43280</v>
          </cell>
          <cell r="Q2781" t="str">
            <v>AYUDA TEMPORAL A LAS FAMILIAS DE VARIAS LOCALIDADES, PARA RELOCALIZACIÓN DE HOGARES LOCALIZADOS EN ZONAS DE ALTO RIESGO NO MITIGABLE ID:2010-19-11893, LOCALIDAD:19 CIUDAD BOLÍVAR, UPZ:68 EL TESORO, SECTOR:OLA INVERNAL 2010 FOPAE</v>
          </cell>
          <cell r="R2781">
            <v>3769731</v>
          </cell>
          <cell r="S2781">
            <v>0</v>
          </cell>
          <cell r="T2781">
            <v>0</v>
          </cell>
          <cell r="U2781">
            <v>3769731</v>
          </cell>
          <cell r="V2781">
            <v>1077066</v>
          </cell>
        </row>
        <row r="2782">
          <cell r="J2782">
            <v>2398</v>
          </cell>
          <cell r="K2782">
            <v>43280</v>
          </cell>
          <cell r="L2782" t="str">
            <v>MILEIDY  MALAGON RINCON</v>
          </cell>
          <cell r="M2782">
            <v>31</v>
          </cell>
          <cell r="N2782" t="str">
            <v>RESOLUCION</v>
          </cell>
          <cell r="O2782">
            <v>2734</v>
          </cell>
          <cell r="P2782">
            <v>43280</v>
          </cell>
          <cell r="Q2782" t="str">
            <v>AYUDA TEMPORAL A LAS FAMILIAS DE VARIAS LOCALIDADES, PARA RELOCALIZACIÓN DE HOGARES LOCALIZADOS EN ZONAS DE ALTO RIESGO NO MITIGABLE ID:2016-08-14771, LOCALIDAD:08 KENNEDY, UPZ:82 PATIO BONITO, SECTOR:PALMITAS</v>
          </cell>
          <cell r="R2782">
            <v>3098412</v>
          </cell>
          <cell r="S2782">
            <v>0</v>
          </cell>
          <cell r="T2782">
            <v>0</v>
          </cell>
          <cell r="U2782">
            <v>3098412</v>
          </cell>
          <cell r="V2782">
            <v>1032804</v>
          </cell>
        </row>
        <row r="2783">
          <cell r="J2783">
            <v>2399</v>
          </cell>
          <cell r="K2783">
            <v>43280</v>
          </cell>
          <cell r="L2783" t="str">
            <v>MARIA DEL CARMEN SUAREZ DE BELLO</v>
          </cell>
          <cell r="M2783">
            <v>31</v>
          </cell>
          <cell r="N2783" t="str">
            <v>RESOLUCION</v>
          </cell>
          <cell r="O2783">
            <v>2771</v>
          </cell>
          <cell r="P2783">
            <v>43280</v>
          </cell>
          <cell r="Q2783" t="str">
            <v>VUR de la actual vigencia. La asignación se realiza para dar cumplimiento al fallo de acción popular 2002-00152- Suba Gavilanes. Decreto 255 de 2013.LOCALIDAD: SUBA (GAVILANES); BARRIO: BILBAO; ID:2018-11-15152</v>
          </cell>
          <cell r="R2783">
            <v>39062100</v>
          </cell>
          <cell r="S2783">
            <v>0</v>
          </cell>
          <cell r="T2783">
            <v>0</v>
          </cell>
          <cell r="U2783">
            <v>39062100</v>
          </cell>
          <cell r="V2783">
            <v>0</v>
          </cell>
        </row>
        <row r="2784">
          <cell r="J2784">
            <v>2400</v>
          </cell>
          <cell r="K2784">
            <v>43280</v>
          </cell>
          <cell r="L2784" t="str">
            <v>LUZ MARINA ZEA GUTIERREZ</v>
          </cell>
          <cell r="M2784">
            <v>31</v>
          </cell>
          <cell r="N2784" t="str">
            <v>RESOLUCION</v>
          </cell>
          <cell r="O2784">
            <v>2772</v>
          </cell>
          <cell r="P2784">
            <v>43280</v>
          </cell>
          <cell r="Q2784" t="str">
            <v>VUR de la actual vigencia. La asignación se realiza para dar cumplimiento al fallo de acción popular 2002-00152- Suba Gavilanes. Decreto 255 de 2013. LOCALIDAD: SUBA (GAVILANES); BARRIO: SANTA CECILIA; ID: 2018-11-15140</v>
          </cell>
          <cell r="R2784">
            <v>39062100</v>
          </cell>
          <cell r="S2784">
            <v>0</v>
          </cell>
          <cell r="T2784">
            <v>0</v>
          </cell>
          <cell r="U2784">
            <v>39062100</v>
          </cell>
          <cell r="V2784">
            <v>0</v>
          </cell>
        </row>
        <row r="2785">
          <cell r="J2785">
            <v>2401</v>
          </cell>
          <cell r="K2785">
            <v>43280</v>
          </cell>
          <cell r="L2785" t="str">
            <v>YOLIMA GERTRUDIS AGUILAR VELASQUES</v>
          </cell>
          <cell r="M2785">
            <v>31</v>
          </cell>
          <cell r="N2785" t="str">
            <v>RESOLUCION</v>
          </cell>
          <cell r="O2785">
            <v>2774</v>
          </cell>
          <cell r="P2785">
            <v>43280</v>
          </cell>
          <cell r="Q2785" t="str">
            <v>Asignacion del instrumento financiero a las familias ocupantes del predio que hayan superado la fase de verificacion dentro  del marco del Decreto 457 de 2017. LOCALIDAD: KENNEDY; BARRIO: VEREDITAS; ID: 2017-8-383735</v>
          </cell>
          <cell r="R2785">
            <v>54686940</v>
          </cell>
          <cell r="S2785">
            <v>0</v>
          </cell>
          <cell r="T2785">
            <v>0</v>
          </cell>
          <cell r="U2785">
            <v>54686940</v>
          </cell>
          <cell r="V2785">
            <v>54686940</v>
          </cell>
        </row>
        <row r="2786">
          <cell r="J2786">
            <v>2402</v>
          </cell>
          <cell r="K2786">
            <v>43280</v>
          </cell>
          <cell r="L2786" t="str">
            <v>BELEN  CASTAÑEDA</v>
          </cell>
          <cell r="M2786">
            <v>31</v>
          </cell>
          <cell r="N2786" t="str">
            <v>RESOLUCION</v>
          </cell>
          <cell r="O2786">
            <v>2773</v>
          </cell>
          <cell r="P2786">
            <v>43280</v>
          </cell>
          <cell r="Q2786" t="str">
            <v>VUR de la actual vigencia. La asignación se realiza para dar cumplimiento al fallo de acción popular 2002-00152- Suba Gavilanes. Decreto 255 de 2013. LOCALIDAD: SUBA (GAVILANES); BARRIO: SANTA CECILIA;ID: 2018-11-15195</v>
          </cell>
          <cell r="R2786">
            <v>39062100</v>
          </cell>
          <cell r="S2786">
            <v>0</v>
          </cell>
          <cell r="T2786">
            <v>0</v>
          </cell>
          <cell r="U2786">
            <v>39062100</v>
          </cell>
          <cell r="V2786">
            <v>0</v>
          </cell>
        </row>
        <row r="2787">
          <cell r="J2787">
            <v>2406</v>
          </cell>
          <cell r="K2787">
            <v>43280</v>
          </cell>
          <cell r="L2787" t="str">
            <v>LILIANA  RODRIGUEZ TOLOSA</v>
          </cell>
          <cell r="M2787">
            <v>31</v>
          </cell>
          <cell r="N2787" t="str">
            <v>RESOLUCION</v>
          </cell>
          <cell r="O2787">
            <v>2826</v>
          </cell>
          <cell r="P2787">
            <v>43280</v>
          </cell>
          <cell r="Q2787" t="str">
            <v>VUR de la actual vigencia. La asignación se realiza para dar cumplimiento al fallo de acción popular 2002-00152- Suba Gavilanes. Dto 255 de 2013. LOCALIDAD: SUBA GAVILANES; BARRIO: BILVAO; ID: 2018-11-15064</v>
          </cell>
          <cell r="R2787">
            <v>39062100</v>
          </cell>
          <cell r="S2787">
            <v>0</v>
          </cell>
          <cell r="T2787">
            <v>0</v>
          </cell>
          <cell r="U2787">
            <v>39062100</v>
          </cell>
          <cell r="V2787">
            <v>0</v>
          </cell>
        </row>
        <row r="2788">
          <cell r="J2788">
            <v>2407</v>
          </cell>
          <cell r="K2788">
            <v>43280</v>
          </cell>
          <cell r="L2788" t="str">
            <v>VICTOR MANUEL ORDOÑEZ MELO</v>
          </cell>
          <cell r="M2788">
            <v>31</v>
          </cell>
          <cell r="N2788" t="str">
            <v>RESOLUCION</v>
          </cell>
          <cell r="O2788">
            <v>2827</v>
          </cell>
          <cell r="P2788">
            <v>43280</v>
          </cell>
          <cell r="Q2788" t="str">
            <v>VUR de la actual vigencia. La asignación se realiza para dar cumplimiento al fallo de acción popular 2002-00152- Suba Gavilanes. Dto 255 de 2013. LOCALIDAD: SUBA GAVILANES; BARRIO: BILVAO; ID: 2018-11-15078</v>
          </cell>
          <cell r="R2788">
            <v>39062100</v>
          </cell>
          <cell r="S2788">
            <v>0</v>
          </cell>
          <cell r="T2788">
            <v>0</v>
          </cell>
          <cell r="U2788">
            <v>39062100</v>
          </cell>
          <cell r="V2788">
            <v>0</v>
          </cell>
        </row>
        <row r="2789">
          <cell r="J2789">
            <v>2408</v>
          </cell>
          <cell r="K2789">
            <v>43280</v>
          </cell>
          <cell r="L2789" t="str">
            <v>RUTH ZAFIR ROJAS CASTILLO</v>
          </cell>
          <cell r="M2789">
            <v>31</v>
          </cell>
          <cell r="N2789" t="str">
            <v>RESOLUCION</v>
          </cell>
          <cell r="O2789">
            <v>2828</v>
          </cell>
          <cell r="P2789">
            <v>43280</v>
          </cell>
          <cell r="Q2789" t="str">
            <v>Excedente de VUR por avaluo comercial.Dto 255 de 2013. LOCALIDAD:SAN CRISTOBAL; BARRIO:QUINDIO; ID:2015-Q20-01326</v>
          </cell>
          <cell r="R2789">
            <v>35479385</v>
          </cell>
          <cell r="S2789">
            <v>0</v>
          </cell>
          <cell r="T2789">
            <v>0</v>
          </cell>
          <cell r="U2789">
            <v>35479385</v>
          </cell>
          <cell r="V2789">
            <v>35479385</v>
          </cell>
        </row>
        <row r="2790">
          <cell r="J2790">
            <v>2409</v>
          </cell>
          <cell r="K2790">
            <v>43280</v>
          </cell>
          <cell r="L2790" t="str">
            <v>CARLOS  CASTILLO ALMARIO</v>
          </cell>
          <cell r="M2790">
            <v>31</v>
          </cell>
          <cell r="N2790" t="str">
            <v>RESOLUCION</v>
          </cell>
          <cell r="O2790">
            <v>2819</v>
          </cell>
          <cell r="P2790">
            <v>43280</v>
          </cell>
          <cell r="Q2790" t="str">
            <v>reajuste de VUR para completar el cierre financiero de la vivienda de reposición escogida por el beneficiario en el proyecto Torres de San Miguel.LOCALIDAD:CIUDAD BOLIVAR; BARRIO:MIRADOR DE LA ESTANCIA I; ID:2012-ALES-231</v>
          </cell>
          <cell r="R2790">
            <v>4672700</v>
          </cell>
          <cell r="S2790">
            <v>0</v>
          </cell>
          <cell r="T2790">
            <v>0</v>
          </cell>
          <cell r="U2790">
            <v>4672700</v>
          </cell>
          <cell r="V2790">
            <v>0</v>
          </cell>
        </row>
        <row r="2791">
          <cell r="J2791">
            <v>2410</v>
          </cell>
          <cell r="K2791">
            <v>43280</v>
          </cell>
          <cell r="L2791" t="str">
            <v>TERESA DE JESUS ZAMUDIO SIABATO</v>
          </cell>
          <cell r="M2791">
            <v>31</v>
          </cell>
          <cell r="N2791" t="str">
            <v>RESOLUCION</v>
          </cell>
          <cell r="O2791">
            <v>2824</v>
          </cell>
          <cell r="P2791">
            <v>43280</v>
          </cell>
          <cell r="Q2791" t="str">
            <v>VUR de la actual vigencia. La asignación se realiza para dar cumplimiento al fallo de acción popular 2002-00152- Suba Gavilanes. Dto 255 de 2013. LOCALIDAD: SUBA GAVILANES; BARRIO: SANTA CECILIA; ID: 2018-11-15362.</v>
          </cell>
          <cell r="R2791">
            <v>39062100</v>
          </cell>
          <cell r="S2791">
            <v>0</v>
          </cell>
          <cell r="T2791">
            <v>0</v>
          </cell>
          <cell r="U2791">
            <v>39062100</v>
          </cell>
          <cell r="V2791">
            <v>0</v>
          </cell>
        </row>
        <row r="2792">
          <cell r="J2792">
            <v>2411</v>
          </cell>
          <cell r="K2792">
            <v>43280</v>
          </cell>
          <cell r="L2792" t="str">
            <v>MARIA NELCY SASTOQUE VARGAS</v>
          </cell>
          <cell r="M2792">
            <v>31</v>
          </cell>
          <cell r="N2792" t="str">
            <v>RESOLUCION</v>
          </cell>
          <cell r="O2792">
            <v>2829</v>
          </cell>
          <cell r="P2792">
            <v>43280</v>
          </cell>
          <cell r="Q2792" t="str">
            <v>VUR de la actual vigencia. Dto 255 de 2013. LOCALIDAD: CIUDAD BOLIVAR; BARRIO: SAN FRANCISCO; ID: 2015-Q03-03557</v>
          </cell>
          <cell r="R2792">
            <v>39062100</v>
          </cell>
          <cell r="S2792">
            <v>0</v>
          </cell>
          <cell r="T2792">
            <v>0</v>
          </cell>
          <cell r="U2792">
            <v>39062100</v>
          </cell>
          <cell r="V2792">
            <v>0</v>
          </cell>
        </row>
        <row r="2793">
          <cell r="J2793">
            <v>2412</v>
          </cell>
          <cell r="K2793">
            <v>43280</v>
          </cell>
          <cell r="L2793" t="str">
            <v>OCTAVIO  ARIAS SOSSA</v>
          </cell>
          <cell r="M2793">
            <v>31</v>
          </cell>
          <cell r="N2793" t="str">
            <v>RESOLUCION</v>
          </cell>
          <cell r="O2793">
            <v>2801</v>
          </cell>
          <cell r="P2793">
            <v>43280</v>
          </cell>
          <cell r="Q2793" t="str">
            <v>VUR de la actual vigencia. La asignación se realiza para dar cumplimiento al fallo de acción popular 2002-00152- Suba Gavilanes. Dto 255 de 2013. LOCALIDAD: SUBA GAVILANES; BARRIO: SAN PEDRO DE TIBABUYES; ID: 2018-11-15335</v>
          </cell>
          <cell r="R2793">
            <v>39062100</v>
          </cell>
          <cell r="S2793">
            <v>0</v>
          </cell>
          <cell r="T2793">
            <v>0</v>
          </cell>
          <cell r="U2793">
            <v>39062100</v>
          </cell>
          <cell r="V2793">
            <v>0</v>
          </cell>
        </row>
        <row r="2794">
          <cell r="J2794">
            <v>2413</v>
          </cell>
          <cell r="K2794">
            <v>43280</v>
          </cell>
          <cell r="L2794" t="str">
            <v>PETRONILA  CASTILLO</v>
          </cell>
          <cell r="M2794">
            <v>31</v>
          </cell>
          <cell r="N2794" t="str">
            <v>RESOLUCION</v>
          </cell>
          <cell r="O2794">
            <v>2804</v>
          </cell>
          <cell r="P2794">
            <v>43280</v>
          </cell>
          <cell r="Q2794" t="str">
            <v>VUR DE LA ACTUAL VIGENCIA. LA ASIGNACIÓN SE REALIZA PARA DAR CUMPLIMIENTO AL FALLO DE ACCIÓN POPULAR 2002-00152- SUBA GAVILANES. DTO 255 DE 2013. LOCALIDAD: SUBA GAVILANES; BARRIO: SANTA CECILIA; ID: 2018-11-15187.</v>
          </cell>
          <cell r="R2794">
            <v>39062100</v>
          </cell>
          <cell r="S2794">
            <v>0</v>
          </cell>
          <cell r="T2794">
            <v>0</v>
          </cell>
          <cell r="U2794">
            <v>39062100</v>
          </cell>
          <cell r="V2794">
            <v>0</v>
          </cell>
        </row>
        <row r="2795">
          <cell r="J2795">
            <v>2414</v>
          </cell>
          <cell r="K2795">
            <v>43284</v>
          </cell>
          <cell r="L2795" t="str">
            <v>ANA ZORAIDA LEGUIZAMON PICON</v>
          </cell>
          <cell r="M2795">
            <v>31</v>
          </cell>
          <cell r="N2795" t="str">
            <v>RESOLUCION</v>
          </cell>
          <cell r="O2795">
            <v>2818</v>
          </cell>
          <cell r="P2795">
            <v>43284</v>
          </cell>
          <cell r="Q2795" t="str">
            <v>VUR de la actual vigencia. Dto 255 de 2013. LOCALIDAD: SAN CRISTOBAL; BARRIO: MONTEBELLO; ID: 2010-4-11860</v>
          </cell>
          <cell r="R2795">
            <v>39062100</v>
          </cell>
          <cell r="S2795">
            <v>0</v>
          </cell>
          <cell r="T2795">
            <v>0</v>
          </cell>
          <cell r="U2795">
            <v>39062100</v>
          </cell>
          <cell r="V2795">
            <v>0</v>
          </cell>
        </row>
        <row r="2796">
          <cell r="J2796">
            <v>2415</v>
          </cell>
          <cell r="K2796">
            <v>43284</v>
          </cell>
          <cell r="L2796" t="str">
            <v>ANGIE MARCELA GONZALEZ SASTOQUE</v>
          </cell>
          <cell r="M2796">
            <v>31</v>
          </cell>
          <cell r="N2796" t="str">
            <v>RESOLUCION</v>
          </cell>
          <cell r="O2796">
            <v>2820</v>
          </cell>
          <cell r="P2796">
            <v>43284</v>
          </cell>
          <cell r="Q2796" t="str">
            <v>VUR de la actual vigencia. Dto 255 de 2013. LOCALIDAD: CIUDAD BOLIVAR; BARRIO: SAN FRANCISCO; ID: 2018-Q03-15550</v>
          </cell>
          <cell r="R2796">
            <v>39062100</v>
          </cell>
          <cell r="S2796">
            <v>0</v>
          </cell>
          <cell r="T2796">
            <v>0</v>
          </cell>
          <cell r="U2796">
            <v>39062100</v>
          </cell>
          <cell r="V2796">
            <v>0</v>
          </cell>
        </row>
        <row r="2797">
          <cell r="J2797">
            <v>2416</v>
          </cell>
          <cell r="K2797">
            <v>43285</v>
          </cell>
          <cell r="L2797" t="str">
            <v>MARIA LILIA BONILLA</v>
          </cell>
          <cell r="M2797">
            <v>31</v>
          </cell>
          <cell r="N2797" t="str">
            <v>RESOLUCION</v>
          </cell>
          <cell r="O2797">
            <v>2817</v>
          </cell>
          <cell r="P2797">
            <v>43285</v>
          </cell>
          <cell r="Q2797" t="str">
            <v>AYUDA TEMPORAL A LAS FAMILIAS DE VARIAS LOCALIDADES, PARA RELOCALIZACIÓN DE HOGARES LOCALIZADOS EN ZONAS DE ALTO RIESGO NO MITIGABLE ID:2012-19-13821, LOCALIDAD:19 CIUDAD BOLÍVAR, UPZ:67 LUCERO</v>
          </cell>
          <cell r="R2797">
            <v>3374280</v>
          </cell>
          <cell r="S2797">
            <v>0</v>
          </cell>
          <cell r="T2797">
            <v>0</v>
          </cell>
          <cell r="U2797">
            <v>3374280</v>
          </cell>
          <cell r="V2797">
            <v>964080</v>
          </cell>
        </row>
        <row r="2798">
          <cell r="J2798">
            <v>2417</v>
          </cell>
          <cell r="K2798">
            <v>43285</v>
          </cell>
          <cell r="L2798" t="str">
            <v>OMAR  SALAZAR HERNANDEZ</v>
          </cell>
          <cell r="M2798">
            <v>31</v>
          </cell>
          <cell r="N2798" t="str">
            <v>RESOLUCION</v>
          </cell>
          <cell r="O2798">
            <v>2810</v>
          </cell>
          <cell r="P2798">
            <v>43285</v>
          </cell>
          <cell r="Q2798" t="str">
            <v>AYUDA TEMPORAL A LAS FAMILIAS DE VARIAS LOCALIDADES, PARA LA RELOCALIZACIÓN DE HOGARES LOCALIZADOS EN ZONAS DE ALTO RIESGO NO MITIGABLE ID:2008-4-10769, LOCALIDAD:04 SAN CRISTÓBAL, UPZ:51 LOS LIBERTADORES, SECTOR:QUEBRADA VEREJONES</v>
          </cell>
          <cell r="R2798">
            <v>3254769</v>
          </cell>
          <cell r="S2798">
            <v>0</v>
          </cell>
          <cell r="T2798">
            <v>0</v>
          </cell>
          <cell r="U2798">
            <v>3254769</v>
          </cell>
          <cell r="V2798">
            <v>929934</v>
          </cell>
        </row>
        <row r="2799">
          <cell r="J2799">
            <v>2418</v>
          </cell>
          <cell r="K2799">
            <v>43285</v>
          </cell>
          <cell r="L2799" t="str">
            <v>AMADEO  ESPINOSA MONDRAGON</v>
          </cell>
          <cell r="M2799">
            <v>31</v>
          </cell>
          <cell r="N2799" t="str">
            <v>RESOLUCION</v>
          </cell>
          <cell r="O2799">
            <v>2811</v>
          </cell>
          <cell r="P2799">
            <v>43285</v>
          </cell>
          <cell r="Q2799" t="str">
            <v>AYUDA TEMPORAL A LAS FAMILIAS DE VARIAS LOCALIDADES, PARA RELOCALIZACIÓN DE HOGARES LOCALIZADOS EN ZONAS DE ALTO RIESGO NO MITIGABLE ID:2013000257, LOCALIDAD:19 CIUDAD BOLÍVAR, UPZ:67 LUCERO, SECTOR:PEÑA COLORADA</v>
          </cell>
          <cell r="R2799">
            <v>2606135</v>
          </cell>
          <cell r="S2799">
            <v>0</v>
          </cell>
          <cell r="T2799">
            <v>0</v>
          </cell>
          <cell r="U2799">
            <v>2606135</v>
          </cell>
          <cell r="V2799">
            <v>744610</v>
          </cell>
        </row>
        <row r="2800">
          <cell r="J2800">
            <v>2419</v>
          </cell>
          <cell r="K2800">
            <v>43285</v>
          </cell>
          <cell r="L2800" t="str">
            <v>AGUSTIN ENRIQUE GONZALEZ RAMOS</v>
          </cell>
          <cell r="M2800">
            <v>31</v>
          </cell>
          <cell r="N2800" t="str">
            <v>RESOLUCION</v>
          </cell>
          <cell r="O2800">
            <v>2812</v>
          </cell>
          <cell r="P2800">
            <v>43285</v>
          </cell>
          <cell r="Q2800" t="str">
            <v>AYUDA TEMPORAL A LAS FAMILIAS DE VARIAS LOCALIDADES, PARA LA RELOCALIZACIÓN DE HOGARES LOCALIZADOS EN ZONAS DE ALTO RIESGO NO MITIGABLE ID:2010-19-11689, LOCALIDAD:19 CIUDAD BOLÍVAR, UPZ:69 ISMAEL PERDOMO, SECTOR:OLA INVERNAL 2010 FOPAE</v>
          </cell>
          <cell r="R2800">
            <v>2582006</v>
          </cell>
          <cell r="S2800">
            <v>0</v>
          </cell>
          <cell r="T2800">
            <v>0</v>
          </cell>
          <cell r="U2800">
            <v>2582006</v>
          </cell>
          <cell r="V2800">
            <v>737716</v>
          </cell>
        </row>
        <row r="2801">
          <cell r="J2801">
            <v>2420</v>
          </cell>
          <cell r="K2801">
            <v>43285</v>
          </cell>
          <cell r="L2801" t="str">
            <v>OSCAR JAVIER VELANDIA SIERRA</v>
          </cell>
          <cell r="M2801">
            <v>31</v>
          </cell>
          <cell r="N2801" t="str">
            <v>RESOLUCION</v>
          </cell>
          <cell r="O2801">
            <v>2813</v>
          </cell>
          <cell r="P2801">
            <v>43285</v>
          </cell>
          <cell r="Q2801" t="str">
            <v>AYUDA TEMPORAL A LAS FAMILIAS DE VARIAS LOCALIDADES, PARA RELOCALIZACIÓN DE HOGARES LOCALIZADOS EN ZONAS DE ALTO RIESGO NO MITIGABLE ID:2013-Q10-00548, LOCALIDAD:04 SAN CRISTÓBAL, UPZ:51 LOS LIBERTADORES, SECTOR:QUEBRADA VEREJONES</v>
          </cell>
          <cell r="R2801">
            <v>3201695</v>
          </cell>
          <cell r="S2801">
            <v>0</v>
          </cell>
          <cell r="T2801">
            <v>0</v>
          </cell>
          <cell r="U2801">
            <v>3201695</v>
          </cell>
          <cell r="V2801">
            <v>914770</v>
          </cell>
        </row>
        <row r="2802">
          <cell r="J2802">
            <v>2421</v>
          </cell>
          <cell r="K2802">
            <v>43285</v>
          </cell>
          <cell r="L2802" t="str">
            <v>GRACIELA  RUIZ SEGURA</v>
          </cell>
          <cell r="M2802">
            <v>31</v>
          </cell>
          <cell r="N2802" t="str">
            <v>RESOLUCION</v>
          </cell>
          <cell r="O2802">
            <v>2814</v>
          </cell>
          <cell r="P2802">
            <v>43285</v>
          </cell>
          <cell r="Q2802" t="str">
            <v>AYUDA TEMPORAL A LAS FAMILIAS DE VARIAS LOCALIDADES, PARA RELOCALIZACIÓN DE HOGARES LOCALIZADOS EN ZONAS DE ALTO RIESGO NO MITIGABLE ID:2009-5-11048, LOCALIDAD:05 USME, UPZ:57 GRAN YOMASA</v>
          </cell>
          <cell r="R2802">
            <v>3383254</v>
          </cell>
          <cell r="S2802">
            <v>0</v>
          </cell>
          <cell r="T2802">
            <v>0</v>
          </cell>
          <cell r="U2802">
            <v>3383254</v>
          </cell>
          <cell r="V2802">
            <v>966644</v>
          </cell>
        </row>
        <row r="2803">
          <cell r="J2803">
            <v>2422</v>
          </cell>
          <cell r="K2803">
            <v>43285</v>
          </cell>
          <cell r="L2803" t="str">
            <v>GLADYS  CIFUENTES CASTAÑEDA</v>
          </cell>
          <cell r="M2803">
            <v>31</v>
          </cell>
          <cell r="N2803" t="str">
            <v>RESOLUCION</v>
          </cell>
          <cell r="O2803">
            <v>2815</v>
          </cell>
          <cell r="P2803">
            <v>43285</v>
          </cell>
          <cell r="Q2803" t="str">
            <v>AYUDA TEMPORAL A LAS FAMILIAS DE VARIAS LOCALIDADES, PARA RELOCALIZACIÓN DE HOGARES LOCALIZADOS EN ZONAS DE ALTO RIESGO NO MITIGABLE ID:2012-19-14088, LOCALIDAD:19 CIUDAD BOLÍVAR, UPZ:68 EL TESORO, SECTOR:QUEBRADA TROMPETA</v>
          </cell>
          <cell r="R2803">
            <v>2788569</v>
          </cell>
          <cell r="S2803">
            <v>0</v>
          </cell>
          <cell r="T2803">
            <v>0</v>
          </cell>
          <cell r="U2803">
            <v>2788569</v>
          </cell>
          <cell r="V2803">
            <v>796734</v>
          </cell>
        </row>
        <row r="2804">
          <cell r="J2804">
            <v>2423</v>
          </cell>
          <cell r="K2804">
            <v>43285</v>
          </cell>
          <cell r="L2804" t="str">
            <v>YEISON ALEXANDER CHAPARRO ANGULO</v>
          </cell>
          <cell r="M2804">
            <v>31</v>
          </cell>
          <cell r="N2804" t="str">
            <v>RESOLUCION</v>
          </cell>
          <cell r="O2804">
            <v>2816</v>
          </cell>
          <cell r="P2804">
            <v>43285</v>
          </cell>
          <cell r="Q2804" t="str">
            <v>AYUDA TEMPORAL A LAS FAMILIAS DE VARIAS LOCALIDADES, PARA RELOCALIZACIÓN DE HOGARES LOCALIZADOS EN ZONAS DE ALTO RIESGO NO MITIGABLE ID:2011-5-13065, LOCALIDAD:05 USME, UPZ:56 DANUBIO</v>
          </cell>
          <cell r="R2804">
            <v>3769724</v>
          </cell>
          <cell r="S2804">
            <v>0</v>
          </cell>
          <cell r="T2804">
            <v>0</v>
          </cell>
          <cell r="U2804">
            <v>3769724</v>
          </cell>
          <cell r="V2804">
            <v>1077064</v>
          </cell>
        </row>
        <row r="2805">
          <cell r="J2805">
            <v>2424</v>
          </cell>
          <cell r="K2805">
            <v>43285</v>
          </cell>
          <cell r="L2805" t="str">
            <v>MARIA  AYALA</v>
          </cell>
          <cell r="M2805">
            <v>31</v>
          </cell>
          <cell r="N2805" t="str">
            <v>RESOLUCION</v>
          </cell>
          <cell r="O2805">
            <v>2823</v>
          </cell>
          <cell r="P2805">
            <v>43285</v>
          </cell>
          <cell r="Q2805" t="str">
            <v>AYUDA TEMPORAL A LAS FAMILIAS DE VARIAS LOCALIDADES, PARA RELOCALIZACIÓN DE HOGARES LOCALIZADOS EN ZONAS DE ALTO RIESGO NO MITIGABLE ID:2006-19-8520, LOCALIDAD:19 CIUDAD BOLÍVAR, UPZ:68 EL TESORO, SECTOR:QUEBRADA EL INFIERNO</v>
          </cell>
          <cell r="R2805">
            <v>3530008</v>
          </cell>
          <cell r="S2805">
            <v>0</v>
          </cell>
          <cell r="T2805">
            <v>0</v>
          </cell>
          <cell r="U2805">
            <v>3530008</v>
          </cell>
          <cell r="V2805">
            <v>882502</v>
          </cell>
        </row>
        <row r="2806">
          <cell r="J2806">
            <v>2425</v>
          </cell>
          <cell r="K2806">
            <v>43285</v>
          </cell>
          <cell r="L2806" t="str">
            <v>DIANA DEL PILAR GALINDO GONZALEZ</v>
          </cell>
          <cell r="M2806">
            <v>31</v>
          </cell>
          <cell r="N2806" t="str">
            <v>RESOLUCION</v>
          </cell>
          <cell r="O2806">
            <v>2796</v>
          </cell>
          <cell r="P2806">
            <v>43285</v>
          </cell>
          <cell r="Q2806" t="str">
            <v>AYUDA TEMPORAL A LAS FAMILIAS DE VARIAS LOCALIDADES, PARA RELOCALIZACIÓN DE HOGARES LOCALIZADOS EN ZONAS DE ALTO RIESGO NO MITIGABLE ID:2014-OTR-00946, LOCALIDAD:19 CIUDAD BOLÍVAR, UPZ:67 LUCERO, SECTOR:TABOR ALTALOMA</v>
          </cell>
          <cell r="R2806">
            <v>3248007</v>
          </cell>
          <cell r="S2806">
            <v>0</v>
          </cell>
          <cell r="T2806">
            <v>0</v>
          </cell>
          <cell r="U2806">
            <v>3248007</v>
          </cell>
          <cell r="V2806">
            <v>928002</v>
          </cell>
        </row>
        <row r="2807">
          <cell r="J2807">
            <v>2428</v>
          </cell>
          <cell r="K2807">
            <v>43285</v>
          </cell>
          <cell r="L2807" t="str">
            <v>MARIA JUDY GARZON GUATAVA</v>
          </cell>
          <cell r="M2807">
            <v>31</v>
          </cell>
          <cell r="N2807" t="str">
            <v>RESOLUCION</v>
          </cell>
          <cell r="O2807">
            <v>2798</v>
          </cell>
          <cell r="P2807">
            <v>43285</v>
          </cell>
          <cell r="Q2807" t="str">
            <v>AYUDA TEMPORAL A LAS FAMILIAS DE VARIAS LOCALIDADES, PARA LA RELOCALIZACIÓN DE HOGARES LOCALIZADOS EN ZONAS DE ALTO RIESGO NO MITIGABLE ID:2012-19-13823, LOCALIDAD:19 CIUDAD BOLÍVAR, UPZ:67 LUCERO, SECTOR:</v>
          </cell>
          <cell r="R2807">
            <v>2582006</v>
          </cell>
          <cell r="S2807">
            <v>0</v>
          </cell>
          <cell r="T2807">
            <v>0</v>
          </cell>
          <cell r="U2807">
            <v>2582006</v>
          </cell>
          <cell r="V2807">
            <v>737716</v>
          </cell>
        </row>
        <row r="2808">
          <cell r="J2808">
            <v>2429</v>
          </cell>
          <cell r="K2808">
            <v>43285</v>
          </cell>
          <cell r="L2808" t="str">
            <v>OLGA  GONZALEZ GONZALEZ</v>
          </cell>
          <cell r="M2808">
            <v>31</v>
          </cell>
          <cell r="N2808" t="str">
            <v>RESOLUCION</v>
          </cell>
          <cell r="O2808">
            <v>2799</v>
          </cell>
          <cell r="P2808">
            <v>43285</v>
          </cell>
          <cell r="Q2808" t="str">
            <v>AYUDA TEMPORAL A LAS FAMILIAS DE VARIAS LOCALIDADES, PARA RELOCALIZACIÓN DE HOGARES LOCALIZADOS EN ZONAS DE ALTO RIESGO NO MITIGABLE ID:2014-Q01-01192, LOCALIDAD:05 USME, UPZ:56 DANUBIO, SECTOR:HOYA DEL RAMO</v>
          </cell>
          <cell r="R2808">
            <v>2953097</v>
          </cell>
          <cell r="S2808">
            <v>0</v>
          </cell>
          <cell r="T2808">
            <v>0</v>
          </cell>
          <cell r="U2808">
            <v>2953097</v>
          </cell>
          <cell r="V2808">
            <v>843742</v>
          </cell>
        </row>
        <row r="2809">
          <cell r="J2809">
            <v>2430</v>
          </cell>
          <cell r="K2809">
            <v>43285</v>
          </cell>
          <cell r="L2809" t="str">
            <v>NANCY  SILVA CRISTIANO</v>
          </cell>
          <cell r="M2809">
            <v>31</v>
          </cell>
          <cell r="N2809" t="str">
            <v>RESOLUCION</v>
          </cell>
          <cell r="O2809">
            <v>2800</v>
          </cell>
          <cell r="P2809">
            <v>43285</v>
          </cell>
          <cell r="Q2809" t="str">
            <v>AYUDA TEMPORAL A LAS FAMILIAS DE VARIAS LOCALIDADES, PARA RELOCALIZACIÓN DE HOGARES LOCALIZADOS EN ZONAS DE ALTO RIESGO NO MITIGABLE ID:2012-19-13922, LOCALIDAD:19 CIUDAD BOLÍVAR, UPZ:67 LUCERO, SECTOR:</v>
          </cell>
          <cell r="R2809">
            <v>2849392</v>
          </cell>
          <cell r="S2809">
            <v>0</v>
          </cell>
          <cell r="T2809">
            <v>0</v>
          </cell>
          <cell r="U2809">
            <v>2849392</v>
          </cell>
          <cell r="V2809">
            <v>814112</v>
          </cell>
        </row>
        <row r="2810">
          <cell r="J2810">
            <v>2431</v>
          </cell>
          <cell r="K2810">
            <v>43285</v>
          </cell>
          <cell r="L2810" t="str">
            <v>RUBIELA  AROCA YARA</v>
          </cell>
          <cell r="M2810">
            <v>31</v>
          </cell>
          <cell r="N2810" t="str">
            <v>RESOLUCION</v>
          </cell>
          <cell r="O2810">
            <v>2806</v>
          </cell>
          <cell r="P2810">
            <v>43285</v>
          </cell>
          <cell r="Q2810" t="str">
            <v>AYUDA TEMPORAL A LAS FAMILIAS DE VARIAS LOCALIDADES, PARA RELOCALIZACIÓN DE HOGARES LOCALIZADOS EN ZONAS DE ALTO RIESGO NO MITIGABLE ID:2006-4-8640, LOCALIDAD:04 SAN CRISTÓBAL, UPZ:50 LA GLORIA, SECTOR:</v>
          </cell>
          <cell r="R2810">
            <v>4802539</v>
          </cell>
          <cell r="S2810">
            <v>0</v>
          </cell>
          <cell r="T2810">
            <v>0</v>
          </cell>
          <cell r="U2810">
            <v>4802539</v>
          </cell>
          <cell r="V2810">
            <v>1372154</v>
          </cell>
        </row>
        <row r="2811">
          <cell r="J2811">
            <v>2432</v>
          </cell>
          <cell r="K2811">
            <v>43285</v>
          </cell>
          <cell r="L2811" t="str">
            <v>ELVER YAIMA BONILLA</v>
          </cell>
          <cell r="M2811">
            <v>31</v>
          </cell>
          <cell r="N2811" t="str">
            <v>RESOLUCION</v>
          </cell>
          <cell r="O2811">
            <v>2807</v>
          </cell>
          <cell r="P2811">
            <v>43285</v>
          </cell>
          <cell r="Q2811" t="str">
            <v>AYUDA TEMPORAL A LAS FAMILIAS DE VARIAS LOCALIDADES, PARA RELOCALIZACIÓN DE HOGARES LOCALIZADOS EN ZONAS DE ALTO RIESGO NO MITIGABLE ID:2012-19-13884, LOCALIDAD:19 CIUDAD BOLÍVAR, UPZ:67 LUCERO, SECTOR:</v>
          </cell>
          <cell r="R2811">
            <v>3562464</v>
          </cell>
          <cell r="S2811">
            <v>0</v>
          </cell>
          <cell r="T2811">
            <v>0</v>
          </cell>
          <cell r="U2811">
            <v>3562464</v>
          </cell>
          <cell r="V2811">
            <v>890616</v>
          </cell>
        </row>
        <row r="2812">
          <cell r="J2812">
            <v>2433</v>
          </cell>
          <cell r="K2812">
            <v>43285</v>
          </cell>
          <cell r="L2812" t="str">
            <v>JULIO WILCHEZ GUERRERO GONZALEZ</v>
          </cell>
          <cell r="M2812">
            <v>31</v>
          </cell>
          <cell r="N2812" t="str">
            <v>RESOLUCION</v>
          </cell>
          <cell r="O2812">
            <v>2808</v>
          </cell>
          <cell r="P2812">
            <v>43285</v>
          </cell>
          <cell r="Q2812" t="str">
            <v>AYUDA TEMPORAL A LAS FAMILIAS DE VARIAS LOCALIDADES, PARA RELOCALIZACIÓN DE HOGARES LOCALIZADOS EN ZONAS DE ALTO RIESGO NO MITIGABLE ID:2011-5-13263, LOCALIDAD:05 USME, UPZ:56 DANUBIO, SECTOR:</v>
          </cell>
          <cell r="R2812">
            <v>2896103</v>
          </cell>
          <cell r="S2812">
            <v>0</v>
          </cell>
          <cell r="T2812">
            <v>0</v>
          </cell>
          <cell r="U2812">
            <v>2896103</v>
          </cell>
          <cell r="V2812">
            <v>827458</v>
          </cell>
        </row>
        <row r="2813">
          <cell r="J2813">
            <v>2434</v>
          </cell>
          <cell r="K2813">
            <v>43285</v>
          </cell>
          <cell r="L2813" t="str">
            <v>JOSE HERMINSO MENDOZA GUISA</v>
          </cell>
          <cell r="M2813">
            <v>31</v>
          </cell>
          <cell r="N2813" t="str">
            <v>RESOLUCION</v>
          </cell>
          <cell r="O2813">
            <v>2809</v>
          </cell>
          <cell r="P2813">
            <v>43285</v>
          </cell>
          <cell r="Q2813" t="str">
            <v>AYUDA TEMPORAL A LAS FAMILIAS DE VARIAS LOCALIDADES, PARA RELOCALIZACIÓN DE HOGARES LOCALIZADOS EN ZONAS DE ALTO RIESGO NO MITIGABLE ID:2007-4-10150, LOCALIDAD:04 SAN CRISTÓBAL, UPZ:32 SAN BLAS, SECTOR:</v>
          </cell>
          <cell r="R2813">
            <v>2788569</v>
          </cell>
          <cell r="S2813">
            <v>0</v>
          </cell>
          <cell r="T2813">
            <v>0</v>
          </cell>
          <cell r="U2813">
            <v>2788569</v>
          </cell>
          <cell r="V2813">
            <v>796734</v>
          </cell>
        </row>
        <row r="2814">
          <cell r="J2814">
            <v>2436</v>
          </cell>
          <cell r="K2814">
            <v>43286</v>
          </cell>
          <cell r="L2814" t="str">
            <v>LUIS JORGE ROJAS HERNANDEZ</v>
          </cell>
          <cell r="M2814">
            <v>31</v>
          </cell>
          <cell r="N2814" t="str">
            <v>RESOLUCION</v>
          </cell>
          <cell r="O2814">
            <v>2777</v>
          </cell>
          <cell r="P2814">
            <v>43286</v>
          </cell>
          <cell r="Q2814" t="str">
            <v>AYUDA TEMPORAL A LAS FAMILIAS DE VARIAS LOCALIDADES, PARA RELOCALIZACIÓN DE HOGARES LOCALIZADOS EN ZONAS DE ALTO RIESGO NO MITIGABLE ID:2014-OTR-00961, LOCALIDAD:19 CIUDAD BOLÍVAR, UPZ:67 LUCERO, SECTOR:TABOR ALTALOMA</v>
          </cell>
          <cell r="R2814">
            <v>3017000</v>
          </cell>
          <cell r="S2814">
            <v>0</v>
          </cell>
          <cell r="T2814">
            <v>0</v>
          </cell>
          <cell r="U2814">
            <v>3017000</v>
          </cell>
          <cell r="V2814">
            <v>862000</v>
          </cell>
        </row>
        <row r="2815">
          <cell r="J2815">
            <v>2437</v>
          </cell>
          <cell r="K2815">
            <v>43286</v>
          </cell>
          <cell r="L2815" t="str">
            <v>WILLIAM ALEXANDER GONZALEZ SASTOQUE</v>
          </cell>
          <cell r="M2815">
            <v>31</v>
          </cell>
          <cell r="N2815" t="str">
            <v>RESOLUCION</v>
          </cell>
          <cell r="O2815">
            <v>2830</v>
          </cell>
          <cell r="P2815">
            <v>43286</v>
          </cell>
          <cell r="Q2815" t="str">
            <v>VUR de la actual vigencia. Dto 255 de 2013. OCALIDAD: CIUDAD BOLIVAR; BARRIO: SAN FRANCISCO; ID: 2018-Q03-15552</v>
          </cell>
          <cell r="R2815">
            <v>39062100</v>
          </cell>
          <cell r="S2815">
            <v>0</v>
          </cell>
          <cell r="T2815">
            <v>0</v>
          </cell>
          <cell r="U2815">
            <v>39062100</v>
          </cell>
          <cell r="V2815">
            <v>0</v>
          </cell>
        </row>
        <row r="2816">
          <cell r="J2816">
            <v>2438</v>
          </cell>
          <cell r="K2816">
            <v>43286</v>
          </cell>
          <cell r="L2816" t="str">
            <v>MARIA CLEMENTINA FIGUEREDO ROJAS</v>
          </cell>
          <cell r="M2816">
            <v>31</v>
          </cell>
          <cell r="N2816" t="str">
            <v>RESOLUCION</v>
          </cell>
          <cell r="O2816">
            <v>2833</v>
          </cell>
          <cell r="P2816">
            <v>43286</v>
          </cell>
          <cell r="Q2816" t="str">
            <v>Excedente de VUR por avaluo comercial.Dto 255 de 2013. LOCALIDAD:SAN CRISTOBAL; BARRIO:LOS LIBERTADORES; ID: 2013-Q18-00106</v>
          </cell>
          <cell r="R2816">
            <v>69667715</v>
          </cell>
          <cell r="S2816">
            <v>0</v>
          </cell>
          <cell r="T2816">
            <v>0</v>
          </cell>
          <cell r="U2816">
            <v>69667715</v>
          </cell>
          <cell r="V2816">
            <v>0</v>
          </cell>
        </row>
        <row r="2817">
          <cell r="J2817">
            <v>2439</v>
          </cell>
          <cell r="K2817">
            <v>43286</v>
          </cell>
          <cell r="L2817" t="str">
            <v>MARIA CARMEN ROSA PAEZ</v>
          </cell>
          <cell r="M2817">
            <v>31</v>
          </cell>
          <cell r="N2817" t="str">
            <v>RESOLUCION</v>
          </cell>
          <cell r="O2817">
            <v>2784</v>
          </cell>
          <cell r="P2817">
            <v>43286</v>
          </cell>
          <cell r="Q2817" t="str">
            <v>AYUDA TEMPORAL A LAS FAMILIAS DE VARIAS LOCALIDADES, PARA LA RELOCALIZACIÓN DE HOGARES LOCALIZADOS EN ZONAS DE ALTO RIESGO NO MITIGABLE ID:2013-Q10-00247, LOCALIDAD:04 SAN CRISTÓBAL, UPZ:51 LOS LIBERTADORES, SECTOR:QUEBRADA VEREJONES</v>
          </cell>
          <cell r="R2817">
            <v>4871286</v>
          </cell>
          <cell r="S2817">
            <v>0</v>
          </cell>
          <cell r="T2817">
            <v>0</v>
          </cell>
          <cell r="U2817">
            <v>4871286</v>
          </cell>
          <cell r="V2817">
            <v>1082508</v>
          </cell>
        </row>
        <row r="2818">
          <cell r="J2818">
            <v>2440</v>
          </cell>
          <cell r="K2818">
            <v>43286</v>
          </cell>
          <cell r="L2818" t="str">
            <v>DAINA JASMIN NAVARRETE</v>
          </cell>
          <cell r="M2818">
            <v>31</v>
          </cell>
          <cell r="N2818" t="str">
            <v>RESOLUCION</v>
          </cell>
          <cell r="O2818">
            <v>2790</v>
          </cell>
          <cell r="P2818">
            <v>43286</v>
          </cell>
          <cell r="Q2818" t="str">
            <v>AYUDA TEMPORAL A LAS FAMILIAS DE VARIAS LOCALIDADES, PARA RELOCALIZACIÓN DE HOGARES LOCALIZADOS EN ZONAS DE ALTO RIESGO NO MITIGABLE ID:2014-OTR-00892, LOCALIDAD:03 SANTA FE, UPZ:96 LOURDES, SECTOR:CASA 3</v>
          </cell>
          <cell r="R2818">
            <v>2975525</v>
          </cell>
          <cell r="S2818">
            <v>0</v>
          </cell>
          <cell r="T2818">
            <v>0</v>
          </cell>
          <cell r="U2818">
            <v>2975525</v>
          </cell>
          <cell r="V2818">
            <v>850150</v>
          </cell>
        </row>
        <row r="2819">
          <cell r="J2819">
            <v>2441</v>
          </cell>
          <cell r="K2819">
            <v>43286</v>
          </cell>
          <cell r="L2819" t="str">
            <v>YEISON  PIRAZA CABEZON</v>
          </cell>
          <cell r="M2819">
            <v>31</v>
          </cell>
          <cell r="N2819" t="str">
            <v>RESOLUCION</v>
          </cell>
          <cell r="O2819">
            <v>2791</v>
          </cell>
          <cell r="P2819">
            <v>43286</v>
          </cell>
          <cell r="Q2819" t="str">
            <v>AYUDA TEMPORAL A LAS FAMILIAS DE VARIAS LOCALIDADES, PARA RELOCALIZACIÓN DE HOGARES LOCALIZADOS EN ZONAS DE ALTO RIESGO NO MITIGABLE ID:2014-W166-020, LOCALIDAD:19 CIUDAD BOLÍVAR, UPZ:68 EL TESORO, SECTOR:WOUNAAN</v>
          </cell>
          <cell r="R2819">
            <v>3515589</v>
          </cell>
          <cell r="S2819">
            <v>0</v>
          </cell>
          <cell r="T2819">
            <v>0</v>
          </cell>
          <cell r="U2819">
            <v>3515589</v>
          </cell>
          <cell r="V2819">
            <v>781242</v>
          </cell>
        </row>
        <row r="2820">
          <cell r="J2820">
            <v>2442</v>
          </cell>
          <cell r="K2820">
            <v>43286</v>
          </cell>
          <cell r="L2820" t="str">
            <v>LUIS ALBERTO URREA LEMUS</v>
          </cell>
          <cell r="M2820">
            <v>31</v>
          </cell>
          <cell r="N2820" t="str">
            <v>RESOLUCION</v>
          </cell>
          <cell r="O2820">
            <v>2792</v>
          </cell>
          <cell r="P2820">
            <v>43286</v>
          </cell>
          <cell r="Q2820" t="str">
            <v>AYUDA TEMPORAL A LAS FAMILIAS DE VARIAS LOCALIDADES, PARA RELOCALIZACIÓN DE HOGARES LOCALIZADOS EN ZONAS DE ALTO RIESGO NO MITIGABLE ID:2013-Q21-00354, LOCALIDAD:19 CIUDAD BOLÍVAR, UPZ:67 LUCERO, SECTOR:BRAZO DERECHO DE LIMAS</v>
          </cell>
          <cell r="R2820">
            <v>2734347</v>
          </cell>
          <cell r="S2820">
            <v>0</v>
          </cell>
          <cell r="T2820">
            <v>0</v>
          </cell>
          <cell r="U2820">
            <v>2734347</v>
          </cell>
          <cell r="V2820">
            <v>781242</v>
          </cell>
        </row>
        <row r="2821">
          <cell r="J2821">
            <v>2443</v>
          </cell>
          <cell r="K2821">
            <v>43286</v>
          </cell>
          <cell r="L2821" t="str">
            <v>EZEQUIEL  ARISTIZABAL RAMOS</v>
          </cell>
          <cell r="M2821">
            <v>31</v>
          </cell>
          <cell r="N2821" t="str">
            <v>RESOLUCION</v>
          </cell>
          <cell r="O2821">
            <v>2793</v>
          </cell>
          <cell r="P2821">
            <v>43286</v>
          </cell>
          <cell r="Q2821" t="str">
            <v>AYUDA TEMPORAL A LAS FAMILIAS DE VARIAS LOCALIDADES, PARA RELOCALIZACIÓN DE HOGARES LOCALIZADOS EN ZONAS DE ALTO RIESGO NO MITIGABLE ID:2014-OTR-00899, LOCALIDAD:03 SANTA FE, UPZ:96 LOURDES, SECTOR:CASA 3</v>
          </cell>
          <cell r="R2821">
            <v>3516527</v>
          </cell>
          <cell r="S2821">
            <v>0</v>
          </cell>
          <cell r="T2821">
            <v>0</v>
          </cell>
          <cell r="U2821">
            <v>3516527</v>
          </cell>
          <cell r="V2821">
            <v>1004722</v>
          </cell>
        </row>
        <row r="2822">
          <cell r="J2822">
            <v>2444</v>
          </cell>
          <cell r="K2822">
            <v>43286</v>
          </cell>
          <cell r="L2822" t="str">
            <v>LAURA ESTEFANIA DELGADO GOMEZ</v>
          </cell>
          <cell r="M2822">
            <v>31</v>
          </cell>
          <cell r="N2822" t="str">
            <v>RESOLUCION</v>
          </cell>
          <cell r="O2822">
            <v>2794</v>
          </cell>
          <cell r="P2822">
            <v>43286</v>
          </cell>
          <cell r="Q2822" t="str">
            <v>AYUDA TEMPORAL A LAS FAMILIAS DE VARIAS LOCALIDADES, PARA RELOCALIZACIÓN DE HOGARES LOCALIZADOS EN ZONAS DE ALTO RIESGO NO MITIGABLE ID:2011-4-12819, LOCALIDAD:04 SAN CRISTÓBAL, UPZ:32 SAN BLAS, SECTOR:OLA INVERNAL 2010 FOPAE</v>
          </cell>
          <cell r="R2822">
            <v>4292073</v>
          </cell>
          <cell r="S2822">
            <v>0</v>
          </cell>
          <cell r="T2822">
            <v>0</v>
          </cell>
          <cell r="U2822">
            <v>4292073</v>
          </cell>
          <cell r="V2822">
            <v>953794</v>
          </cell>
        </row>
        <row r="2823">
          <cell r="J2823">
            <v>2445</v>
          </cell>
          <cell r="K2823">
            <v>43286</v>
          </cell>
          <cell r="L2823" t="str">
            <v>YURY JOHANNA BRICEÑO MORENO</v>
          </cell>
          <cell r="M2823">
            <v>31</v>
          </cell>
          <cell r="N2823" t="str">
            <v>RESOLUCION</v>
          </cell>
          <cell r="O2823">
            <v>2795</v>
          </cell>
          <cell r="P2823">
            <v>43286</v>
          </cell>
          <cell r="Q2823" t="str">
            <v>AYUDA TEMPORAL A LAS FAMILIAS DE VARIAS LOCALIDADES, PARA RELOCALIZACIÓN DE HOGARES LOCALIZADOS EN ZONAS DE ALTO RIESGO NO MITIGABLE ID:2014-OTR-00910, LOCALIDAD:03 SANTA FE, UPZ:96 LOURDES, SECTOR:CASA 3</v>
          </cell>
          <cell r="R2823">
            <v>2553138</v>
          </cell>
          <cell r="S2823">
            <v>0</v>
          </cell>
          <cell r="T2823">
            <v>0</v>
          </cell>
          <cell r="U2823">
            <v>2553138</v>
          </cell>
          <cell r="V2823">
            <v>425523</v>
          </cell>
        </row>
        <row r="2824">
          <cell r="J2824">
            <v>2448</v>
          </cell>
          <cell r="K2824">
            <v>43286</v>
          </cell>
          <cell r="L2824" t="str">
            <v>FLORENTINO  BARRERA SUAREZ</v>
          </cell>
          <cell r="M2824">
            <v>31</v>
          </cell>
          <cell r="N2824" t="str">
            <v>RESOLUCION</v>
          </cell>
          <cell r="O2824">
            <v>2778</v>
          </cell>
          <cell r="P2824">
            <v>43286</v>
          </cell>
          <cell r="Q2824" t="str">
            <v>AYUDA TEMPORAL A LAS FAMILIAS DE VARIAS LOCALIDADES, PARA RELOCALIZACIÓN DE HOGARES LOCALIZADOS EN ZONAS DE ALTO RIESGO NO MITIGABLE ID:2012-3-14351, LOCALIDAD:03 SANTA FE, UPZ:96 LOURDES,</v>
          </cell>
          <cell r="R2824">
            <v>3201695</v>
          </cell>
          <cell r="S2824">
            <v>0</v>
          </cell>
          <cell r="T2824">
            <v>0</v>
          </cell>
          <cell r="U2824">
            <v>3201695</v>
          </cell>
          <cell r="V2824">
            <v>914770</v>
          </cell>
        </row>
        <row r="2825">
          <cell r="J2825">
            <v>2449</v>
          </cell>
          <cell r="K2825">
            <v>43286</v>
          </cell>
          <cell r="L2825" t="str">
            <v>MARIA LUCRECIA CORTES JOTA</v>
          </cell>
          <cell r="M2825">
            <v>31</v>
          </cell>
          <cell r="N2825" t="str">
            <v>RESOLUCION</v>
          </cell>
          <cell r="O2825">
            <v>2779</v>
          </cell>
          <cell r="P2825">
            <v>43286</v>
          </cell>
          <cell r="Q2825" t="str">
            <v>AYUDA TEMPORAL A LAS FAMILIAS DE VARIAS LOCALIDADES, PARA LA RELOCALIZACIÓN DE HOGARES LOCALIZADOS EN ZONAS DE ALTO RIESGO NO MITIGABLE ID:2012-19-13826, LOCALIDAD:19 CIUDAD BOLÍVAR, UPZ:67 LUCERO,</v>
          </cell>
          <cell r="R2825">
            <v>2796906</v>
          </cell>
          <cell r="S2825">
            <v>0</v>
          </cell>
          <cell r="T2825">
            <v>0</v>
          </cell>
          <cell r="U2825">
            <v>2796906</v>
          </cell>
          <cell r="V2825">
            <v>799116</v>
          </cell>
        </row>
        <row r="2826">
          <cell r="J2826">
            <v>2450</v>
          </cell>
          <cell r="K2826">
            <v>43286</v>
          </cell>
          <cell r="L2826" t="str">
            <v>YEISMI  GALINDO GONZALEZ</v>
          </cell>
          <cell r="M2826">
            <v>31</v>
          </cell>
          <cell r="N2826" t="str">
            <v>RESOLUCION</v>
          </cell>
          <cell r="O2826">
            <v>2780</v>
          </cell>
          <cell r="P2826">
            <v>43286</v>
          </cell>
          <cell r="Q2826" t="str">
            <v>AYUDA TEMPORAL A LAS FAMILIAS DE VARIAS LOCALIDADES, PARA RELOCALIZACIÓN DE HOGARES LOCALIZADOS EN ZONAS DE ALTO RIESGO NO MITIGABLE ID:2014-OTR-00949, LOCALIDAD:19 CIUDAD BOLÍVAR, UPZ:67 LUCERO, SECTOR:TABOR ALTALOMA</v>
          </cell>
          <cell r="R2826">
            <v>3383254</v>
          </cell>
          <cell r="S2826">
            <v>0</v>
          </cell>
          <cell r="T2826">
            <v>0</v>
          </cell>
          <cell r="U2826">
            <v>3383254</v>
          </cell>
          <cell r="V2826">
            <v>966644</v>
          </cell>
        </row>
        <row r="2827">
          <cell r="J2827">
            <v>2451</v>
          </cell>
          <cell r="K2827">
            <v>43286</v>
          </cell>
          <cell r="L2827" t="str">
            <v>TANIA JAEL MEDINA</v>
          </cell>
          <cell r="M2827">
            <v>31</v>
          </cell>
          <cell r="N2827" t="str">
            <v>RESOLUCION</v>
          </cell>
          <cell r="O2827">
            <v>2781</v>
          </cell>
          <cell r="P2827">
            <v>43286</v>
          </cell>
          <cell r="Q2827" t="str">
            <v>AYUDA TEMPORAL A LAS FAMILIAS DE VARIAS LOCALIDADES, PARA RELOCALIZACIÓN DE HOGARES LOCALIZADOS EN ZONAS DE ALTO RIESGO NO MITIGABLE ID:2005-19-7653, LOCALIDAD:19 CIUDAD BOLÍVAR, UPZ:67 LUCERO,</v>
          </cell>
          <cell r="R2827">
            <v>4465962</v>
          </cell>
          <cell r="S2827">
            <v>0</v>
          </cell>
          <cell r="T2827">
            <v>0</v>
          </cell>
          <cell r="U2827">
            <v>4465962</v>
          </cell>
          <cell r="V2827">
            <v>992436</v>
          </cell>
        </row>
        <row r="2828">
          <cell r="J2828">
            <v>2452</v>
          </cell>
          <cell r="K2828">
            <v>43286</v>
          </cell>
          <cell r="L2828" t="str">
            <v>YAMILE  CESPEDES JIMENEZ</v>
          </cell>
          <cell r="M2828">
            <v>31</v>
          </cell>
          <cell r="N2828" t="str">
            <v>RESOLUCION</v>
          </cell>
          <cell r="O2828">
            <v>2782</v>
          </cell>
          <cell r="P2828">
            <v>43286</v>
          </cell>
          <cell r="Q2828" t="str">
            <v>AYUDA TEMPORAL A LAS FAMILIAS DE VARIAS LOCALIDADES, PARA RELOCALIZACIÓN DE HOGARES LOCALIZADOS EN ZONAS DE ALTO RIESGO NO MITIGABLE ID:2014-OTR-00895, LOCALIDAD:03 SANTA FE, UPZ:96 LOURDES, SECTOR:CASA 3</v>
          </cell>
          <cell r="R2828">
            <v>3516527</v>
          </cell>
          <cell r="S2828">
            <v>0</v>
          </cell>
          <cell r="T2828">
            <v>0</v>
          </cell>
          <cell r="U2828">
            <v>3516527</v>
          </cell>
          <cell r="V2828">
            <v>1004722</v>
          </cell>
        </row>
        <row r="2829">
          <cell r="J2829">
            <v>2453</v>
          </cell>
          <cell r="K2829">
            <v>43286</v>
          </cell>
          <cell r="L2829" t="str">
            <v>LUIS EDUARDO GARCIA MORENO</v>
          </cell>
          <cell r="M2829">
            <v>31</v>
          </cell>
          <cell r="N2829" t="str">
            <v>RESOLUCION</v>
          </cell>
          <cell r="O2829">
            <v>2783</v>
          </cell>
          <cell r="P2829">
            <v>43286</v>
          </cell>
          <cell r="Q2829" t="str">
            <v>AYUDA TEMPORAL A LAS FAMILIAS DE VARIAS LOCALIDADES, PARA RELOCALIZACIÓN DE HOGARES LOCALIZADOS EN ZONAS DE ALTO RIESGO NO MITIGABLE ID:2013-Q07-00024, LOCALIDAD:19 CIUDAD BOLÍVAR, UPZ:67 LUCERO, SECTOR:ZANJÓN DEL AHORCADO</v>
          </cell>
          <cell r="R2829">
            <v>4136728</v>
          </cell>
          <cell r="S2829">
            <v>0</v>
          </cell>
          <cell r="T2829">
            <v>0</v>
          </cell>
          <cell r="U2829">
            <v>4136728</v>
          </cell>
          <cell r="V2829">
            <v>1034182</v>
          </cell>
        </row>
        <row r="2830">
          <cell r="J2830">
            <v>2454</v>
          </cell>
          <cell r="K2830">
            <v>43287</v>
          </cell>
          <cell r="L2830" t="str">
            <v>JOSE ALEXANDER MORALES MORALES</v>
          </cell>
          <cell r="M2830">
            <v>31</v>
          </cell>
          <cell r="N2830" t="str">
            <v>RESOLUCION</v>
          </cell>
          <cell r="O2830">
            <v>2831</v>
          </cell>
          <cell r="P2830">
            <v>43287</v>
          </cell>
          <cell r="Q2830" t="str">
            <v>VUR de la actual vigencia. Decreto 255 de 2013.LOCALIDAD: CIUDAD BOLIVAR; BARRIO: EL MOCHUELO II;ID: 2015-Q09-03242</v>
          </cell>
          <cell r="R2830">
            <v>39062100</v>
          </cell>
          <cell r="S2830">
            <v>0</v>
          </cell>
          <cell r="T2830">
            <v>0</v>
          </cell>
          <cell r="U2830">
            <v>39062100</v>
          </cell>
          <cell r="V2830">
            <v>0</v>
          </cell>
        </row>
        <row r="2831">
          <cell r="J2831">
            <v>2455</v>
          </cell>
          <cell r="K2831">
            <v>43287</v>
          </cell>
          <cell r="L2831" t="str">
            <v>ROSA ANTONIA VILLAMIL BUITRAGO</v>
          </cell>
          <cell r="M2831">
            <v>31</v>
          </cell>
          <cell r="N2831" t="str">
            <v>RESOLUCION</v>
          </cell>
          <cell r="O2831">
            <v>2832</v>
          </cell>
          <cell r="P2831">
            <v>43287</v>
          </cell>
          <cell r="Q2831" t="str">
            <v>VUR de la actual vigencia. Decreto 255 de 2013. LOCALIDAD: SAN CRISTOBAL; BARRIO: CANADA O GUIRA; ID: 2015-Q20-03845</v>
          </cell>
          <cell r="R2831">
            <v>39062100</v>
          </cell>
          <cell r="S2831">
            <v>0</v>
          </cell>
          <cell r="T2831">
            <v>0</v>
          </cell>
          <cell r="U2831">
            <v>39062100</v>
          </cell>
          <cell r="V2831">
            <v>39062100</v>
          </cell>
        </row>
        <row r="2832">
          <cell r="J2832">
            <v>2458</v>
          </cell>
          <cell r="K2832">
            <v>43291</v>
          </cell>
          <cell r="L2832" t="str">
            <v>MARIA CRISTINA GALINDO MEDINA</v>
          </cell>
          <cell r="M2832">
            <v>31</v>
          </cell>
          <cell r="N2832" t="str">
            <v>RESOLUCION</v>
          </cell>
          <cell r="O2832">
            <v>2847</v>
          </cell>
          <cell r="P2832">
            <v>43291</v>
          </cell>
          <cell r="Q2832" t="str">
            <v>AYUDA TEMPORAL A LAS FAMILIAS DE VARIAS LOCALIDADES, PARA LA RELOCALIZACIÓN DE HOGARES LOCALIZADOS EN ZONAS DE ALTO RIESGO NO MITIGABLE ID:2011-4-12676, LOCALIDAD:04 SAN CRISTÓBAL, UPZ:32 SAN BLAS</v>
          </cell>
          <cell r="R2832">
            <v>2734347</v>
          </cell>
          <cell r="S2832">
            <v>0</v>
          </cell>
          <cell r="T2832">
            <v>0</v>
          </cell>
          <cell r="U2832">
            <v>2734347</v>
          </cell>
          <cell r="V2832">
            <v>781242</v>
          </cell>
        </row>
        <row r="2833">
          <cell r="J2833">
            <v>2459</v>
          </cell>
          <cell r="K2833">
            <v>43291</v>
          </cell>
          <cell r="L2833" t="str">
            <v>ARELIS  CLOFE GAMBOA</v>
          </cell>
          <cell r="M2833">
            <v>31</v>
          </cell>
          <cell r="N2833" t="str">
            <v>RESOLUCION</v>
          </cell>
          <cell r="O2833">
            <v>2846</v>
          </cell>
          <cell r="P2833">
            <v>43291</v>
          </cell>
          <cell r="Q2833" t="str">
            <v>AYUDA TEMPORAL A LAS FAMILIAS DE VARIAS LOCALIDADES, PARA LA RELOCALIZACIÓN DE HOGARES LOCALIZADOS EN ZONAS DE ALTO RIESGO NO MITIGABLE ID:2013-Q18-00395, LOCALIDAD:19 CIUDAD BOLÍVAR, UPZ:69 ISMAEL PERDOMO, SECTOR:ZANJÓN MURALLA</v>
          </cell>
          <cell r="R2833">
            <v>1781232</v>
          </cell>
          <cell r="S2833">
            <v>0</v>
          </cell>
          <cell r="T2833">
            <v>0</v>
          </cell>
          <cell r="U2833">
            <v>1781232</v>
          </cell>
          <cell r="V2833">
            <v>1335924</v>
          </cell>
        </row>
        <row r="2834">
          <cell r="J2834">
            <v>2460</v>
          </cell>
          <cell r="K2834">
            <v>43291</v>
          </cell>
          <cell r="L2834" t="str">
            <v>RAMIRO  ARTUNDUAGA GUTIERREZ</v>
          </cell>
          <cell r="M2834">
            <v>31</v>
          </cell>
          <cell r="N2834" t="str">
            <v>RESOLUCION</v>
          </cell>
          <cell r="O2834">
            <v>2842</v>
          </cell>
          <cell r="P2834">
            <v>43291</v>
          </cell>
          <cell r="Q2834" t="str">
            <v>AYUDA TEMPORAL A LAS FAMILIAS DE VARIAS LOCALIDADES, PARA LA RELOCALIZACIÓN DE HOGARES LOCALIZADOS EN ZONAS DE ALTO RIESGO NO MITIGABLE ID:2013000266, LOCALIDAD: 04 SAN CRISTOBAL, UPZ:51 LOS LIBERTADORES, SECTOR: QUEBRADA VEREJONES</v>
          </cell>
          <cell r="R2834">
            <v>3137015</v>
          </cell>
          <cell r="S2834">
            <v>0</v>
          </cell>
          <cell r="T2834">
            <v>0</v>
          </cell>
          <cell r="U2834">
            <v>3137015</v>
          </cell>
          <cell r="V2834">
            <v>896290</v>
          </cell>
        </row>
        <row r="2835">
          <cell r="J2835">
            <v>2462</v>
          </cell>
          <cell r="K2835">
            <v>43292</v>
          </cell>
          <cell r="L2835" t="str">
            <v>LUIS ERNESTO CURREA BRAVO</v>
          </cell>
          <cell r="M2835">
            <v>31</v>
          </cell>
          <cell r="N2835" t="str">
            <v>RESOLUCION</v>
          </cell>
          <cell r="O2835">
            <v>2836</v>
          </cell>
          <cell r="P2835">
            <v>43292</v>
          </cell>
          <cell r="Q2835" t="str">
            <v>Reajuste de VUR  por avalúo comercial. Dto. 255 de 2013. LOCALIDAD: CIUDAD BOLIVAR; BARRIO: SAN RAFAEL; ID: 2013-Q21-00569.</v>
          </cell>
          <cell r="R2835">
            <v>39961300</v>
          </cell>
          <cell r="S2835">
            <v>0</v>
          </cell>
          <cell r="T2835">
            <v>0</v>
          </cell>
          <cell r="U2835">
            <v>39961300</v>
          </cell>
          <cell r="V2835">
            <v>0</v>
          </cell>
        </row>
        <row r="2836">
          <cell r="J2836">
            <v>2463</v>
          </cell>
          <cell r="K2836">
            <v>43292</v>
          </cell>
          <cell r="L2836" t="str">
            <v>LIGIA  ROMERO OLIVEROS</v>
          </cell>
          <cell r="M2836">
            <v>31</v>
          </cell>
          <cell r="N2836" t="str">
            <v>RESOLUCION</v>
          </cell>
          <cell r="O2836">
            <v>2835</v>
          </cell>
          <cell r="P2836">
            <v>43292</v>
          </cell>
          <cell r="Q2836" t="str">
            <v>Reajuste de VUR  por avalúo comercial. Dto. 255 de 2013. LOCALIDAD: SAN CRISTOBAL; BARRIO: QUINDIO; ID: 2014-Q20-01179</v>
          </cell>
          <cell r="R2836">
            <v>168545826</v>
          </cell>
          <cell r="S2836">
            <v>0</v>
          </cell>
          <cell r="T2836">
            <v>0</v>
          </cell>
          <cell r="U2836">
            <v>168545826</v>
          </cell>
          <cell r="V2836">
            <v>168545826</v>
          </cell>
        </row>
        <row r="2837">
          <cell r="J2837">
            <v>2464</v>
          </cell>
          <cell r="K2837">
            <v>43292</v>
          </cell>
          <cell r="L2837" t="str">
            <v>CLAUDIA YIRLEY LEAL CHUNZA</v>
          </cell>
          <cell r="M2837">
            <v>31</v>
          </cell>
          <cell r="N2837" t="str">
            <v>RESOLUCION</v>
          </cell>
          <cell r="O2837">
            <v>2837</v>
          </cell>
          <cell r="P2837">
            <v>43292</v>
          </cell>
          <cell r="Q2837" t="str">
            <v>Adquisición predial por Dto. 511 de 2010. LOCALIDAD:USME; BARRIO:YOPAL EL PEDREGAL; ID: 2010-5-11503</v>
          </cell>
          <cell r="R2837">
            <v>76256400</v>
          </cell>
          <cell r="S2837">
            <v>0</v>
          </cell>
          <cell r="T2837">
            <v>0</v>
          </cell>
          <cell r="U2837">
            <v>76256400</v>
          </cell>
          <cell r="V2837">
            <v>22876920</v>
          </cell>
        </row>
        <row r="2838">
          <cell r="J2838">
            <v>2465</v>
          </cell>
          <cell r="K2838">
            <v>43292</v>
          </cell>
          <cell r="L2838" t="str">
            <v>AYDA LUZ PIAMBA MAJIN</v>
          </cell>
          <cell r="M2838">
            <v>31</v>
          </cell>
          <cell r="N2838" t="str">
            <v>RESOLUCION</v>
          </cell>
          <cell r="O2838">
            <v>2841</v>
          </cell>
          <cell r="P2838">
            <v>43292</v>
          </cell>
          <cell r="Q2838" t="str">
            <v>AYUDA TEMPORAL A LAS FAMILIAS DE VARIAS LOCALIDADES, PARA RELOCALIZACIÓN DE HOGARES LOCALIZADOS EN ZONAS DE ALTO RIESGO NO MITIGABLE ID:2011-4-13076, LOCALIDAD:04 SAN CRISTÓBAL, UPZ:51 LOS LIBERTADORES, SECTOR:QUEBRADA VEREJONES</v>
          </cell>
          <cell r="R2838">
            <v>2924376</v>
          </cell>
          <cell r="S2838">
            <v>0</v>
          </cell>
          <cell r="T2838">
            <v>0</v>
          </cell>
          <cell r="U2838">
            <v>2924376</v>
          </cell>
          <cell r="V2838">
            <v>835536</v>
          </cell>
        </row>
        <row r="2839">
          <cell r="J2839">
            <v>2466</v>
          </cell>
          <cell r="K2839">
            <v>43292</v>
          </cell>
          <cell r="L2839" t="str">
            <v>ANA LIBIA GORDILLO LEON</v>
          </cell>
          <cell r="M2839">
            <v>31</v>
          </cell>
          <cell r="N2839" t="str">
            <v>RESOLUCION</v>
          </cell>
          <cell r="O2839">
            <v>2844</v>
          </cell>
          <cell r="P2839">
            <v>43292</v>
          </cell>
          <cell r="Q2839" t="str">
            <v>AYUDA TEMPORAL A LAS FAMILIAS DE VARIAS LOCALIDADES, PARA RELOCALIZACIÓN DE HOGARES LOCALIZADOS EN ZONAS DE ALTO RIESGO NO MITIGABLE ID:2011-4-12719, LOCALIDAD:04 SAN CRISTÓBAL, UPZ:32 SAN BLAS</v>
          </cell>
          <cell r="R2839">
            <v>3022327</v>
          </cell>
          <cell r="S2839">
            <v>0</v>
          </cell>
          <cell r="T2839">
            <v>0</v>
          </cell>
          <cell r="U2839">
            <v>3022327</v>
          </cell>
          <cell r="V2839">
            <v>863522</v>
          </cell>
        </row>
        <row r="2840">
          <cell r="J2840">
            <v>2467</v>
          </cell>
          <cell r="K2840">
            <v>43292</v>
          </cell>
          <cell r="L2840" t="str">
            <v>MARIA TERESA GARZON PATIÑO</v>
          </cell>
          <cell r="M2840">
            <v>31</v>
          </cell>
          <cell r="N2840" t="str">
            <v>RESOLUCION</v>
          </cell>
          <cell r="O2840">
            <v>2865</v>
          </cell>
          <cell r="P2840">
            <v>43292</v>
          </cell>
          <cell r="Q2840" t="str">
            <v>VUR de la actual vigencia. Dto 255 de 2013. LOCALIDAD: CIUDAD BOLIVAR; BARRIO: EL MOCHUELO; ID: 2015-Q09-03189</v>
          </cell>
          <cell r="R2840">
            <v>39062100</v>
          </cell>
          <cell r="S2840">
            <v>0</v>
          </cell>
          <cell r="T2840">
            <v>0</v>
          </cell>
          <cell r="U2840">
            <v>39062100</v>
          </cell>
          <cell r="V2840">
            <v>0</v>
          </cell>
        </row>
        <row r="2841">
          <cell r="J2841">
            <v>2468</v>
          </cell>
          <cell r="K2841">
            <v>43292</v>
          </cell>
          <cell r="L2841" t="str">
            <v>JOSE NELSON QUITIAN SANTAMARIA</v>
          </cell>
          <cell r="M2841">
            <v>31</v>
          </cell>
          <cell r="N2841" t="str">
            <v>RESOLUCION</v>
          </cell>
          <cell r="O2841">
            <v>2866</v>
          </cell>
          <cell r="P2841">
            <v>43292</v>
          </cell>
          <cell r="Q2841" t="str">
            <v>adquisición predial por Dto. 511 de 2010. LOCALIDAD:RAFAEL URIBE; BARRIO:MADRID; ID: 2004-18-5522</v>
          </cell>
          <cell r="R2841">
            <v>20501658</v>
          </cell>
          <cell r="S2841">
            <v>0</v>
          </cell>
          <cell r="T2841">
            <v>0</v>
          </cell>
          <cell r="U2841">
            <v>20501658</v>
          </cell>
          <cell r="V2841">
            <v>0</v>
          </cell>
        </row>
        <row r="2842">
          <cell r="J2842">
            <v>2469</v>
          </cell>
          <cell r="K2842">
            <v>43292</v>
          </cell>
          <cell r="L2842" t="str">
            <v>YOLANDA  MANCIPE GIRALDO</v>
          </cell>
          <cell r="M2842">
            <v>31</v>
          </cell>
          <cell r="N2842" t="str">
            <v>RESOLUCION</v>
          </cell>
          <cell r="O2842">
            <v>2862</v>
          </cell>
          <cell r="P2842">
            <v>43292</v>
          </cell>
          <cell r="Q2842" t="str">
            <v>AYUDA TEMPORAL A LAS FAMILIAS DE VARIAS LOCALIDADES, PARA LA RELOCALIZACIÓN DE HOGARES LOCALIZADOS EN ZONAS DE ALTO RIESGO NO MITIGABLE ID:2012-19-13845, LOCALIDAD:19 CIUDAD BOLÍVAR, UPZ:67 LUCERO</v>
          </cell>
          <cell r="R2842">
            <v>2899710</v>
          </cell>
          <cell r="S2842">
            <v>0</v>
          </cell>
          <cell r="T2842">
            <v>0</v>
          </cell>
          <cell r="U2842">
            <v>2899710</v>
          </cell>
          <cell r="V2842">
            <v>1449855</v>
          </cell>
        </row>
        <row r="2843">
          <cell r="J2843">
            <v>2470</v>
          </cell>
          <cell r="K2843">
            <v>43292</v>
          </cell>
          <cell r="L2843" t="str">
            <v>MARIA MARGARITA ACERO DE MORENO</v>
          </cell>
          <cell r="M2843">
            <v>31</v>
          </cell>
          <cell r="N2843" t="str">
            <v>RESOLUCION</v>
          </cell>
          <cell r="O2843">
            <v>2863</v>
          </cell>
          <cell r="P2843">
            <v>43292</v>
          </cell>
          <cell r="Q2843" t="str">
            <v>AYUDA TEMPORAL A LAS FAMILIAS DE VARIAS LOCALIDADES, PARA LA RELOCALIZACIÓN DE HOGARES LOCALIZADOS EN ZONAS DE ALTO RIESGO NO MITIGABLE ID:2014-Q03-00994, LOCALIDAD:19 CIUDAD BOLÍVAR, UPZ:66 SAN FRANCISCO, SECTOR:LIMAS</v>
          </cell>
          <cell r="R2843">
            <v>2586759</v>
          </cell>
          <cell r="S2843">
            <v>0</v>
          </cell>
          <cell r="T2843">
            <v>0</v>
          </cell>
          <cell r="U2843">
            <v>2586759</v>
          </cell>
          <cell r="V2843">
            <v>739074</v>
          </cell>
        </row>
        <row r="2844">
          <cell r="J2844">
            <v>2471</v>
          </cell>
          <cell r="K2844">
            <v>43292</v>
          </cell>
          <cell r="L2844" t="str">
            <v>ORLANDO  OCHOA MOSUCA</v>
          </cell>
          <cell r="M2844">
            <v>31</v>
          </cell>
          <cell r="N2844" t="str">
            <v>RESOLUCION</v>
          </cell>
          <cell r="O2844">
            <v>2878</v>
          </cell>
          <cell r="P2844">
            <v>43292</v>
          </cell>
          <cell r="Q2844" t="str">
            <v>AYUDA TEMPORAL A LAS FAMILIAS DE VARIAS LOCALIDADES, PARA LA RELOCALIZACIÓN DE HOGARES LOCALIZADOS EN ZONAS DE ALTO RIESGO NO MITIGABLE ID:2013-Q04-00517, LOCALIDAD:19 CIUDAD BOLÍVAR, UPZ:67 LUCERO, SECTOR:PEÑA COLORADA</v>
          </cell>
          <cell r="R2844">
            <v>1350021</v>
          </cell>
          <cell r="S2844">
            <v>0</v>
          </cell>
          <cell r="T2844">
            <v>0</v>
          </cell>
          <cell r="U2844">
            <v>1350021</v>
          </cell>
          <cell r="V2844">
            <v>900014</v>
          </cell>
        </row>
        <row r="2845">
          <cell r="J2845">
            <v>2472</v>
          </cell>
          <cell r="K2845">
            <v>43292</v>
          </cell>
          <cell r="L2845" t="str">
            <v>FRANCISCO ALBERTO BANDERA MARTINEZ</v>
          </cell>
          <cell r="M2845">
            <v>31</v>
          </cell>
          <cell r="N2845" t="str">
            <v>RESOLUCION</v>
          </cell>
          <cell r="O2845">
            <v>2843</v>
          </cell>
          <cell r="P2845">
            <v>43292</v>
          </cell>
          <cell r="Q2845" t="str">
            <v>AYUDA TEMPORAL A LAS FAMILIAS DE VARIAS LOCALIDADES, PARA RELOCALIZACIÓN DE HOGARES LOCALIZADOS EN ZONAS DE ALTO RIESGO NO MITIGABLE ID:2011-4-13552, LOCALIDAD:04 SAN CRISTÓBAL, UPZ:51 LOS LIBERTADORES, SECTOR:QUEBRADA VEREJONES</v>
          </cell>
          <cell r="R2845">
            <v>2582006</v>
          </cell>
          <cell r="S2845">
            <v>0</v>
          </cell>
          <cell r="T2845">
            <v>0</v>
          </cell>
          <cell r="U2845">
            <v>2582006</v>
          </cell>
          <cell r="V2845">
            <v>737716</v>
          </cell>
        </row>
        <row r="2846">
          <cell r="J2846">
            <v>2473</v>
          </cell>
          <cell r="K2846">
            <v>43292</v>
          </cell>
          <cell r="L2846" t="str">
            <v>ROSABEL  ARDILA</v>
          </cell>
          <cell r="M2846">
            <v>31</v>
          </cell>
          <cell r="N2846" t="str">
            <v>RESOLUCION</v>
          </cell>
          <cell r="O2846">
            <v>2845</v>
          </cell>
          <cell r="P2846">
            <v>43292</v>
          </cell>
          <cell r="Q2846" t="str">
            <v>AYUDA TEMPORAL A LAS FAMILIAS DE VARIAS LOCALIDADES, PARA LA RELOCALIZACIÓN DE HOGARES LOCALIZADOS EN ZONAS DE ALTO RIESGO NO MITIGABLE ID:2013000518, LOCALIDAD:19 CIUDAD BOLÍVAR, UPZ:67 LUCERO, SECTOR:BRAZO DERECHO DE LIMAS</v>
          </cell>
          <cell r="R2846">
            <v>3874960</v>
          </cell>
          <cell r="S2846">
            <v>0</v>
          </cell>
          <cell r="T2846">
            <v>0</v>
          </cell>
          <cell r="U2846">
            <v>3874960</v>
          </cell>
          <cell r="V2846">
            <v>1453110</v>
          </cell>
        </row>
        <row r="2847">
          <cell r="J2847">
            <v>2474</v>
          </cell>
          <cell r="K2847">
            <v>43292</v>
          </cell>
          <cell r="L2847" t="str">
            <v>CLEMENTINA  CORDOBA TOQUICA</v>
          </cell>
          <cell r="M2847">
            <v>31</v>
          </cell>
          <cell r="N2847" t="str">
            <v>RESOLUCION</v>
          </cell>
          <cell r="O2847">
            <v>2885</v>
          </cell>
          <cell r="P2847">
            <v>43292</v>
          </cell>
          <cell r="Q2847" t="str">
            <v>AYUDA TEMPORAL A LAS FAMILIAS DE VARIAS LOCALIDADES, PARA RELOCALIZACIÓN DE HOGARES LOCALIZADOS EN ZONAS DE ALTO RIESGO NO MITIGABLE ID:2013-Q21-00597, LOCALIDAD:19 CIUDAD BOLÍVAR, UPZ:67 LUCERO, SECTOR:BRAZO DERECHO DE LIMAS</v>
          </cell>
          <cell r="R2847">
            <v>3017000</v>
          </cell>
          <cell r="S2847">
            <v>0</v>
          </cell>
          <cell r="T2847">
            <v>0</v>
          </cell>
          <cell r="U2847">
            <v>3017000</v>
          </cell>
          <cell r="V2847">
            <v>862000</v>
          </cell>
        </row>
        <row r="2848">
          <cell r="J2848">
            <v>2475</v>
          </cell>
          <cell r="K2848">
            <v>43292</v>
          </cell>
          <cell r="L2848" t="str">
            <v>LUIS ERNESTO CASTAÑEDA SANABRIA</v>
          </cell>
          <cell r="M2848">
            <v>31</v>
          </cell>
          <cell r="N2848" t="str">
            <v>RESOLUCION</v>
          </cell>
          <cell r="O2848">
            <v>2839</v>
          </cell>
          <cell r="P2848">
            <v>43292</v>
          </cell>
          <cell r="Q2848" t="str">
            <v>VUR de la actual vigencia. La asignación se realiza para dar cumplimiento al fallo de acción popular 2002-00152- Suba Gavilanes. Dto 255 de 2013. LOCALIDAD: SUBA GAVILANES; BARRIO: SANTA CECILIA; ID: 2018-11-15165</v>
          </cell>
          <cell r="R2848">
            <v>39062100</v>
          </cell>
          <cell r="S2848">
            <v>0</v>
          </cell>
          <cell r="T2848">
            <v>0</v>
          </cell>
          <cell r="U2848">
            <v>39062100</v>
          </cell>
          <cell r="V2848">
            <v>0</v>
          </cell>
        </row>
        <row r="2849">
          <cell r="J2849">
            <v>2476</v>
          </cell>
          <cell r="K2849">
            <v>43292</v>
          </cell>
          <cell r="L2849" t="str">
            <v>REINA DOLORES ORDOÑEZ NAVARRO</v>
          </cell>
          <cell r="M2849">
            <v>31</v>
          </cell>
          <cell r="N2849" t="str">
            <v>RESOLUCION</v>
          </cell>
          <cell r="O2849">
            <v>2840</v>
          </cell>
          <cell r="P2849">
            <v>43292</v>
          </cell>
          <cell r="Q2849" t="str">
            <v>VUR de la actual vigencia.Dto 255 de 2013. LOCALIDAD: CIUDAD BOLIVAR; BARRIO: JUAQN PABLO II; ID: 2015-Q03-03414</v>
          </cell>
          <cell r="R2849">
            <v>39062100</v>
          </cell>
          <cell r="S2849">
            <v>0</v>
          </cell>
          <cell r="T2849">
            <v>0</v>
          </cell>
          <cell r="U2849">
            <v>39062100</v>
          </cell>
          <cell r="V2849">
            <v>0</v>
          </cell>
        </row>
        <row r="2850">
          <cell r="J2850">
            <v>2477</v>
          </cell>
          <cell r="K2850">
            <v>43292</v>
          </cell>
          <cell r="L2850" t="str">
            <v>RODRIGO  PARRA MALAVER</v>
          </cell>
          <cell r="M2850">
            <v>31</v>
          </cell>
          <cell r="N2850" t="str">
            <v>RESOLUCION</v>
          </cell>
          <cell r="O2850">
            <v>2838</v>
          </cell>
          <cell r="P2850">
            <v>43292</v>
          </cell>
          <cell r="Q2850" t="str">
            <v>Reajuste de VUR  por avalúo comercial. Dto. 255 de 2013. LOCALIDAD: RAFAEL URIBE URIBE; BARRIO: MARCO FIDEL SUAREZ; ID: 2011-18-13217.</v>
          </cell>
          <cell r="R2850">
            <v>54955385</v>
          </cell>
          <cell r="S2850">
            <v>0</v>
          </cell>
          <cell r="T2850">
            <v>0</v>
          </cell>
          <cell r="U2850">
            <v>54955385</v>
          </cell>
          <cell r="V2850">
            <v>0</v>
          </cell>
        </row>
        <row r="2851">
          <cell r="J2851">
            <v>2478</v>
          </cell>
          <cell r="K2851">
            <v>43292</v>
          </cell>
          <cell r="L2851" t="str">
            <v>OLGA LUCIA VARGAS ARCHILA</v>
          </cell>
          <cell r="M2851">
            <v>31</v>
          </cell>
          <cell r="N2851" t="str">
            <v>RESOLUCION</v>
          </cell>
          <cell r="O2851">
            <v>2859</v>
          </cell>
          <cell r="P2851">
            <v>43292</v>
          </cell>
          <cell r="Q2851" t="str">
            <v>AYUDA TEMPORAL A LAS FAMILIAS DE VARIAS LOCALIDADES, PARA RELOCALIZACIÓN DE HOGARES LOCALIZADOS EN ZONAS DE ALTO RIESGO NO MITIGABLE ID:2014-4-14714, LOCALIDAD:04 SAN CRISTÓBAL, UPZ:50 LA GLORIA</v>
          </cell>
          <cell r="R2851">
            <v>5181132</v>
          </cell>
          <cell r="S2851">
            <v>0</v>
          </cell>
          <cell r="T2851">
            <v>0</v>
          </cell>
          <cell r="U2851">
            <v>5181132</v>
          </cell>
          <cell r="V2851">
            <v>863522</v>
          </cell>
        </row>
        <row r="2852">
          <cell r="J2852">
            <v>2480</v>
          </cell>
          <cell r="K2852">
            <v>43292</v>
          </cell>
          <cell r="L2852" t="str">
            <v>OLINDA GRACILIANA VELASQUEZ DEROMERO</v>
          </cell>
          <cell r="M2852">
            <v>31</v>
          </cell>
          <cell r="N2852" t="str">
            <v>RESOLUCION</v>
          </cell>
          <cell r="O2852">
            <v>2860</v>
          </cell>
          <cell r="P2852">
            <v>43292</v>
          </cell>
          <cell r="Q2852" t="str">
            <v>AYUDA TEMPORAL A LAS FAMILIAS DE VARIAS LOCALIDADES, PARA RELOCALIZACIÓN DE HOGARES LOCALIZADOS EN ZONAS DE ALTO RIESGO NO MITIGABLE ID:2009-4-11166, LOCALIDAD:04 SAN CRISTÓBAL, UPZ:50 LA GLORIA</v>
          </cell>
          <cell r="R2852">
            <v>2992227</v>
          </cell>
          <cell r="S2852">
            <v>0</v>
          </cell>
          <cell r="T2852">
            <v>0</v>
          </cell>
          <cell r="U2852">
            <v>2992227</v>
          </cell>
          <cell r="V2852">
            <v>854922</v>
          </cell>
        </row>
        <row r="2853">
          <cell r="J2853">
            <v>2481</v>
          </cell>
          <cell r="K2853">
            <v>43292</v>
          </cell>
          <cell r="L2853" t="str">
            <v>BEATRIZ  MORALES RUIZ</v>
          </cell>
          <cell r="M2853">
            <v>31</v>
          </cell>
          <cell r="N2853" t="str">
            <v>RESOLUCION</v>
          </cell>
          <cell r="O2853">
            <v>2884</v>
          </cell>
          <cell r="P2853">
            <v>43292</v>
          </cell>
          <cell r="Q2853" t="str">
            <v>AYUDA TEMPORAL A LAS FAMILIAS DE VARIAS LOCALIDADES, PARA RELOCALIZACIÓN DE HOGARES LOCALIZADOS EN ZONAS DE ALTO RIESGO NO MITIGABLE ID:2012-T314-13, LOCALIDAD:04 SAN CRISTÓBAL, UPZ:50 LA GLORIA</v>
          </cell>
          <cell r="R2853">
            <v>2734347</v>
          </cell>
          <cell r="S2853">
            <v>0</v>
          </cell>
          <cell r="T2853">
            <v>0</v>
          </cell>
          <cell r="U2853">
            <v>2734347</v>
          </cell>
          <cell r="V2853">
            <v>781242</v>
          </cell>
        </row>
        <row r="2854">
          <cell r="J2854">
            <v>2482</v>
          </cell>
          <cell r="K2854">
            <v>43292</v>
          </cell>
          <cell r="L2854" t="str">
            <v>JESUS MARIA GONZALEZ RODRIGUEZ</v>
          </cell>
          <cell r="M2854">
            <v>31</v>
          </cell>
          <cell r="N2854" t="str">
            <v>RESOLUCION</v>
          </cell>
          <cell r="O2854">
            <v>2861</v>
          </cell>
          <cell r="P2854">
            <v>43292</v>
          </cell>
          <cell r="Q2854" t="str">
            <v>AYUDA TEMPORAL A LAS FAMILIAS DE VARIAS LOCALIDADES, PARA RELOCALIZACIÓN DE HOGARES LOCALIZADOS EN ZONAS DE ALTO RIESGO NO MITIGABLE ID:2013-Q10-00243, LOCALIDAD:04 SAN CRISTÓBAL, UPZ:51 LOS LIBERTADORES, SECTOR:QUEBRADA VEREJONES</v>
          </cell>
          <cell r="R2854">
            <v>2845920</v>
          </cell>
          <cell r="S2854">
            <v>0</v>
          </cell>
          <cell r="T2854">
            <v>0</v>
          </cell>
          <cell r="U2854">
            <v>2845920</v>
          </cell>
          <cell r="V2854">
            <v>813120</v>
          </cell>
        </row>
        <row r="2855">
          <cell r="J2855">
            <v>2483</v>
          </cell>
          <cell r="K2855">
            <v>43292</v>
          </cell>
          <cell r="L2855" t="str">
            <v>YEISON ESNEIDER RONCANCIO BUITRAGO</v>
          </cell>
          <cell r="M2855">
            <v>31</v>
          </cell>
          <cell r="N2855" t="str">
            <v>RESOLUCION</v>
          </cell>
          <cell r="O2855">
            <v>2857</v>
          </cell>
          <cell r="P2855">
            <v>43292</v>
          </cell>
          <cell r="Q2855" t="str">
            <v>AYUDA TEMPORAL A LAS FAMILIAS DE VARIAS LOCALIDADES, PARA RELOCALIZACIÓN DE HOGARES LOCALIZADOS EN ZONAS DE ALTO RIESGO NO MITIGABLE ID:2016-08-14793, LOCALIDAD:08 KENNEDY, UPZ:82 PATIO BONITO, SECTOR:PALMITAS</v>
          </cell>
          <cell r="R2855">
            <v>3098412</v>
          </cell>
          <cell r="S2855">
            <v>0</v>
          </cell>
          <cell r="T2855">
            <v>0</v>
          </cell>
          <cell r="U2855">
            <v>3098412</v>
          </cell>
          <cell r="V2855">
            <v>1032804</v>
          </cell>
        </row>
        <row r="2856">
          <cell r="J2856">
            <v>2484</v>
          </cell>
          <cell r="K2856">
            <v>43292</v>
          </cell>
          <cell r="L2856" t="str">
            <v>DIANA MARCELA AVELLA GUTIERREZ</v>
          </cell>
          <cell r="M2856">
            <v>31</v>
          </cell>
          <cell r="N2856" t="str">
            <v>RESOLUCION</v>
          </cell>
          <cell r="O2856">
            <v>2858</v>
          </cell>
          <cell r="P2856">
            <v>43292</v>
          </cell>
          <cell r="Q2856" t="str">
            <v>AYUDA TEMPORAL A LAS FAMILIAS DE VARIAS LOCALIDADES, PARA RELOCALIZACIÓN DE HOGARES LOCALIZADOS EN ZONAS DE ALTO RIESGO NO MITIGABLE ID:2013-Q17-00021, LOCALIDAD:19 CIUDAD BOLÍVAR, UPZ:68 EL TESORO, SECTOR:QUEBRADA GALINDO</v>
          </cell>
          <cell r="R2856">
            <v>6491914</v>
          </cell>
          <cell r="S2856">
            <v>0</v>
          </cell>
          <cell r="T2856">
            <v>0</v>
          </cell>
          <cell r="U2856">
            <v>6491914</v>
          </cell>
          <cell r="V2856">
            <v>1180348</v>
          </cell>
        </row>
        <row r="2857">
          <cell r="J2857">
            <v>2485</v>
          </cell>
          <cell r="K2857">
            <v>43292</v>
          </cell>
          <cell r="L2857" t="str">
            <v>ANA JOAQUINA PARDO PARDO</v>
          </cell>
          <cell r="M2857">
            <v>31</v>
          </cell>
          <cell r="N2857" t="str">
            <v>RESOLUCION</v>
          </cell>
          <cell r="O2857">
            <v>2881</v>
          </cell>
          <cell r="P2857">
            <v>43292</v>
          </cell>
          <cell r="Q2857" t="str">
            <v>AYUDA TEMPORAL A LAS FAMILIAS DE VARIAS LOCALIDADES, PARA RELOCALIZACIÓN DE HOGARES LOCALIZADOS EN ZONAS DE ALTO RIESGO NO MITIGABLE ID:2015-Q20-01330, LOCALIDAD:04 SAN CRISTÓBAL, UPZ:50 LA GLORIA, SECTOR:LA CHIGUAZA</v>
          </cell>
          <cell r="R2857">
            <v>2788569</v>
          </cell>
          <cell r="S2857">
            <v>0</v>
          </cell>
          <cell r="T2857">
            <v>0</v>
          </cell>
          <cell r="U2857">
            <v>2788569</v>
          </cell>
          <cell r="V2857">
            <v>796734</v>
          </cell>
        </row>
        <row r="2858">
          <cell r="J2858">
            <v>2556</v>
          </cell>
          <cell r="K2858">
            <v>43313</v>
          </cell>
          <cell r="L2858" t="str">
            <v>JAIME ENRIQUE TAMBO CAMARGO</v>
          </cell>
          <cell r="M2858">
            <v>31</v>
          </cell>
          <cell r="N2858" t="str">
            <v>RESOLUCION</v>
          </cell>
          <cell r="O2858">
            <v>3003</v>
          </cell>
          <cell r="P2858">
            <v>43313</v>
          </cell>
          <cell r="Q2858" t="str">
            <v>VUR de la actual vigencia. La asignación se realiza para dar cumplimiento al fallo de acción popular 2002-00152- Suba Gavilanes. Dto 255 de 2013. LOCALIDAD: SUBA GAVILANES; BARRIO: BILVAO; ID: 2018-11-15120</v>
          </cell>
          <cell r="R2858">
            <v>39062100</v>
          </cell>
          <cell r="S2858">
            <v>0</v>
          </cell>
          <cell r="T2858">
            <v>0</v>
          </cell>
          <cell r="U2858">
            <v>39062100</v>
          </cell>
          <cell r="V2858">
            <v>0</v>
          </cell>
        </row>
        <row r="2859">
          <cell r="J2859">
            <v>2557</v>
          </cell>
          <cell r="K2859">
            <v>43313</v>
          </cell>
          <cell r="L2859" t="str">
            <v>NANCY PATRICIA TALERO ZAMUDIO</v>
          </cell>
          <cell r="M2859">
            <v>31</v>
          </cell>
          <cell r="N2859" t="str">
            <v>RESOLUCION</v>
          </cell>
          <cell r="O2859">
            <v>3004</v>
          </cell>
          <cell r="P2859">
            <v>43313</v>
          </cell>
          <cell r="Q2859" t="str">
            <v>VUR de la actual vigencia. La asignación se realiza para dar cumplimiento al fallo de acción popular 2002-00152- Suba Gavilanes. Dto 255 de 2013. LOCALIDAD: SUBA GAVILANES; BARRIO: BILVAO; ID: 2018-11-15166</v>
          </cell>
          <cell r="R2859">
            <v>39062100</v>
          </cell>
          <cell r="S2859">
            <v>0</v>
          </cell>
          <cell r="T2859">
            <v>0</v>
          </cell>
          <cell r="U2859">
            <v>39062100</v>
          </cell>
          <cell r="V2859">
            <v>0</v>
          </cell>
        </row>
        <row r="2860">
          <cell r="J2860">
            <v>2558</v>
          </cell>
          <cell r="K2860">
            <v>43313</v>
          </cell>
          <cell r="L2860" t="str">
            <v>BLANCA NELLY URBANO BAUTISTA</v>
          </cell>
          <cell r="M2860">
            <v>31</v>
          </cell>
          <cell r="N2860" t="str">
            <v>RESOLUCION</v>
          </cell>
          <cell r="O2860">
            <v>3005</v>
          </cell>
          <cell r="P2860">
            <v>43313</v>
          </cell>
          <cell r="Q2860" t="str">
            <v>VUR de la actual vigencia. La asignación se realiza para dar cumplimiento al fallo de acción popular 2002-00152- Suba Gavilanes. Dto 255 de 2013. LOCALIDAD: SUBA GAVILANES; BARRIO: SANTA RITA; ID: 2018-11-15354</v>
          </cell>
          <cell r="R2860">
            <v>39062100</v>
          </cell>
          <cell r="S2860">
            <v>0</v>
          </cell>
          <cell r="T2860">
            <v>0</v>
          </cell>
          <cell r="U2860">
            <v>39062100</v>
          </cell>
          <cell r="V2860">
            <v>0</v>
          </cell>
        </row>
        <row r="2861">
          <cell r="J2861">
            <v>2559</v>
          </cell>
          <cell r="K2861">
            <v>43313</v>
          </cell>
          <cell r="L2861" t="str">
            <v>JORGE ARMANDO FLORIAN FLORIAN</v>
          </cell>
          <cell r="M2861">
            <v>31</v>
          </cell>
          <cell r="N2861" t="str">
            <v>RESOLUCION</v>
          </cell>
          <cell r="O2861">
            <v>3006</v>
          </cell>
          <cell r="P2861">
            <v>43313</v>
          </cell>
          <cell r="Q2861" t="str">
            <v>VUR DE LA ACTUAL VIGENCIA. LA ASIGNACIÓN SE REALIZA PARA DAR CUMPLIMIENTO AL FALLO DE ACCIÓN POPULAR 2002-00152- SUBA GAVILANES. DTO 255 DE 2013. LOCALIDAD: SUBA GAVILANES; BARRIO: SAN PEDRO; ID: 2018-11-15297</v>
          </cell>
          <cell r="R2861">
            <v>39062100</v>
          </cell>
          <cell r="S2861">
            <v>0</v>
          </cell>
          <cell r="T2861">
            <v>0</v>
          </cell>
          <cell r="U2861">
            <v>39062100</v>
          </cell>
          <cell r="V2861">
            <v>0</v>
          </cell>
        </row>
        <row r="2862">
          <cell r="J2862">
            <v>2560</v>
          </cell>
          <cell r="K2862">
            <v>43313</v>
          </cell>
          <cell r="L2862" t="str">
            <v>HECTOR DANILO FORERO PALACIOS</v>
          </cell>
          <cell r="M2862">
            <v>31</v>
          </cell>
          <cell r="N2862" t="str">
            <v>RESOLUCION</v>
          </cell>
          <cell r="O2862">
            <v>2759</v>
          </cell>
          <cell r="P2862">
            <v>43313</v>
          </cell>
          <cell r="Q2862" t="str">
            <v>AYUDA TEMPORAL A LAS FAMILIAS DE VARIAS LOCALIDADES, PARA LA RELOCALIZACIÓN DE HOGARES LOCALIZADOS EN ZONAS DE ALTO RIESGO NO MITIGABLE ID:2015-D227-00046, LOCALIDAD: 04 SAN CRISTOBAL, UPZ: 51 LOS LIBERTADORES, SECTOR: SANTA TERESITA.</v>
          </cell>
          <cell r="R2862">
            <v>2582006</v>
          </cell>
          <cell r="S2862">
            <v>0</v>
          </cell>
          <cell r="T2862">
            <v>0</v>
          </cell>
          <cell r="U2862">
            <v>2582006</v>
          </cell>
          <cell r="V2862">
            <v>737716</v>
          </cell>
        </row>
        <row r="2863">
          <cell r="J2863">
            <v>2562</v>
          </cell>
          <cell r="K2863">
            <v>43313</v>
          </cell>
          <cell r="L2863" t="str">
            <v>JORGE ENRIQUE MORENO OSORIO</v>
          </cell>
          <cell r="M2863">
            <v>31</v>
          </cell>
          <cell r="N2863" t="str">
            <v>RESOLUCION</v>
          </cell>
          <cell r="O2863">
            <v>3007</v>
          </cell>
          <cell r="P2863">
            <v>43313</v>
          </cell>
          <cell r="Q2863" t="str">
            <v>Reajuste de VUR  por avalúo comercial. Dto. 255 de 2013. LOCALIDAD: SAN CRISTOBAL; BARRIO: LA GLORIA ORIENTAL; ID: 2014-Q20-01220</v>
          </cell>
          <cell r="R2863">
            <v>17971536</v>
          </cell>
          <cell r="S2863">
            <v>0</v>
          </cell>
          <cell r="T2863">
            <v>0</v>
          </cell>
          <cell r="U2863">
            <v>17971536</v>
          </cell>
          <cell r="V2863">
            <v>0</v>
          </cell>
        </row>
        <row r="2864">
          <cell r="J2864">
            <v>2565</v>
          </cell>
          <cell r="K2864">
            <v>43314</v>
          </cell>
          <cell r="L2864" t="str">
            <v>ANA MILENA LEON ARIAS</v>
          </cell>
          <cell r="M2864">
            <v>31</v>
          </cell>
          <cell r="N2864" t="str">
            <v>RESOLUCION</v>
          </cell>
          <cell r="O2864">
            <v>2970</v>
          </cell>
          <cell r="P2864">
            <v>43314</v>
          </cell>
          <cell r="Q2864" t="str">
            <v>AYUDA TEMPORAL A LAS FAMILIAS DE VARIAS LOCALIDADES, PARA RELOCALIZACIÓN DE HOGARES LOCALIZADOS EN ZONAS DE ALTO RIESGO NO MITIGABLE ID:2016-08-14814, LOCALIDAD:08 KENNEDY, UPZ:82 PATIO BONITO, SECTOR:PALMITAS</v>
          </cell>
          <cell r="R2864">
            <v>3718092</v>
          </cell>
          <cell r="S2864">
            <v>0</v>
          </cell>
          <cell r="T2864">
            <v>0</v>
          </cell>
          <cell r="U2864">
            <v>3718092</v>
          </cell>
          <cell r="V2864">
            <v>531156</v>
          </cell>
        </row>
        <row r="2865">
          <cell r="J2865">
            <v>2566</v>
          </cell>
          <cell r="K2865">
            <v>43314</v>
          </cell>
          <cell r="L2865" t="str">
            <v>MARIA ELSA AGUDELO</v>
          </cell>
          <cell r="M2865">
            <v>31</v>
          </cell>
          <cell r="N2865" t="str">
            <v>RESOLUCION</v>
          </cell>
          <cell r="O2865">
            <v>2969</v>
          </cell>
          <cell r="P2865">
            <v>43314</v>
          </cell>
          <cell r="Q2865" t="str">
            <v>AYUDA TEMPORAL A LAS FAMILIAS DE VARIAS LOCALIDADES, PARA RELOCALIZACIÓN DE HOGARES LOCALIZADOS EN ZONAS DE ALTO RIESGO NO MITIGABLE ID:2013000127, LOCALIDAD:04 SAN CRISTÓBAL, UPZ:51 LOS LIBERTADORES, SECTOR:QUEBRADA VEREJONES</v>
          </cell>
          <cell r="R2865">
            <v>4187456</v>
          </cell>
          <cell r="S2865">
            <v>0</v>
          </cell>
          <cell r="T2865">
            <v>0</v>
          </cell>
          <cell r="U2865">
            <v>4187456</v>
          </cell>
          <cell r="V2865">
            <v>523432</v>
          </cell>
        </row>
        <row r="2866">
          <cell r="J2866">
            <v>2567</v>
          </cell>
          <cell r="K2866">
            <v>43314</v>
          </cell>
          <cell r="L2866" t="str">
            <v>JAIRO HUMBERTO GARCIA BAREÑO</v>
          </cell>
          <cell r="M2866">
            <v>31</v>
          </cell>
          <cell r="N2866" t="str">
            <v>RESOLUCION</v>
          </cell>
          <cell r="O2866">
            <v>2968</v>
          </cell>
          <cell r="P2866">
            <v>43314</v>
          </cell>
          <cell r="Q2866" t="str">
            <v>AYUDA TEMPORAL A LAS FAMILIAS DE VARIAS LOCALIDADES, PARA RELOCALIZACIÓN DE HOGARES LOCALIZADOS EN ZONAS DE ALTO RIESGO NO MITIGABLE ID:2012-19-13915, LOCALIDAD:19 CIUDAD BOLÍVAR, UPZ:67 LUCERO</v>
          </cell>
          <cell r="R2866">
            <v>3402088</v>
          </cell>
          <cell r="S2866">
            <v>0</v>
          </cell>
          <cell r="T2866">
            <v>0</v>
          </cell>
          <cell r="U2866">
            <v>3402088</v>
          </cell>
          <cell r="V2866">
            <v>850522</v>
          </cell>
        </row>
        <row r="2867">
          <cell r="J2867">
            <v>2568</v>
          </cell>
          <cell r="K2867">
            <v>43314</v>
          </cell>
          <cell r="L2867" t="str">
            <v>MARIA DEL CARMEN CEPEDA DE MORENO</v>
          </cell>
          <cell r="M2867">
            <v>31</v>
          </cell>
          <cell r="N2867" t="str">
            <v>RESOLUCION</v>
          </cell>
          <cell r="O2867">
            <v>2967</v>
          </cell>
          <cell r="P2867">
            <v>43314</v>
          </cell>
          <cell r="Q2867" t="str">
            <v>AYUDA TEMPORAL A LAS FAMILIAS DE VARIAS LOCALIDADES, PARA RELOCALIZACIÓN DE HOGARES LOCALIZADOS EN ZONAS DE ALTO RIESGO NO MITIGABLE ID:2015-D227-00052, LOCALIDAD:04 SAN CRISTÓBAL, UPZ:51 LOS LIBERTADORES, SECTOR:SANTA TERESITA</v>
          </cell>
          <cell r="R2867">
            <v>2281062</v>
          </cell>
          <cell r="S2867">
            <v>0</v>
          </cell>
          <cell r="T2867">
            <v>0</v>
          </cell>
          <cell r="U2867">
            <v>2281062</v>
          </cell>
          <cell r="V2867">
            <v>380177</v>
          </cell>
        </row>
        <row r="2868">
          <cell r="J2868">
            <v>2569</v>
          </cell>
          <cell r="K2868">
            <v>43314</v>
          </cell>
          <cell r="L2868" t="str">
            <v>SILVIA ELENA NIñO VARGAS</v>
          </cell>
          <cell r="M2868">
            <v>31</v>
          </cell>
          <cell r="N2868" t="str">
            <v>RESOLUCION</v>
          </cell>
          <cell r="O2868">
            <v>2966</v>
          </cell>
          <cell r="P2868">
            <v>43314</v>
          </cell>
          <cell r="Q2868" t="str">
            <v>AYUDA TEMPORAL A LAS FAMILIAS DE VARIAS LOCALIDADES, PARA RELOCALIZACIÓN DE HOGARES LOCALIZADOS EN ZONAS DE ALTO RIESGO NO MITIGABLE ID:1999-19-2375, LOCALIDAD:19 CIUDAD BOLÍVAR, UPZ:67 LUCERO, SECTOR:LIMAS</v>
          </cell>
          <cell r="R2868">
            <v>2390202</v>
          </cell>
          <cell r="S2868">
            <v>0</v>
          </cell>
          <cell r="T2868">
            <v>0</v>
          </cell>
          <cell r="U2868">
            <v>2390202</v>
          </cell>
          <cell r="V2868">
            <v>398367</v>
          </cell>
        </row>
        <row r="2869">
          <cell r="J2869">
            <v>2570</v>
          </cell>
          <cell r="K2869">
            <v>43314</v>
          </cell>
          <cell r="L2869" t="str">
            <v>ADONAI  MOLANO MENDOZA</v>
          </cell>
          <cell r="M2869">
            <v>31</v>
          </cell>
          <cell r="N2869" t="str">
            <v>RESOLUCION</v>
          </cell>
          <cell r="O2869">
            <v>2965</v>
          </cell>
          <cell r="P2869">
            <v>43314</v>
          </cell>
          <cell r="Q2869" t="str">
            <v>AYUDA TEMPORAL A LAS FAMILIAS DE VARIAS LOCALIDADES, PARA RELOCALIZACIÓN DE HOGARES LOCALIZADOS EN ZONAS DE ALTO RIESGO NO MITIGABLE ID:2007-4-10136, LOCALIDAD:04 SAN CRISTÓBAL, UPZ:32 SAN BLAS</v>
          </cell>
          <cell r="R2869">
            <v>4448430</v>
          </cell>
          <cell r="S2869">
            <v>0</v>
          </cell>
          <cell r="T2869">
            <v>0</v>
          </cell>
          <cell r="U2869">
            <v>4448430</v>
          </cell>
          <cell r="V2869">
            <v>494270</v>
          </cell>
        </row>
        <row r="2870">
          <cell r="J2870">
            <v>2571</v>
          </cell>
          <cell r="K2870">
            <v>43314</v>
          </cell>
          <cell r="L2870" t="str">
            <v>MARIA ROSMIRA ROJAS DE CEBALLOS</v>
          </cell>
          <cell r="M2870">
            <v>31</v>
          </cell>
          <cell r="N2870" t="str">
            <v>RESOLUCION</v>
          </cell>
          <cell r="O2870">
            <v>3002</v>
          </cell>
          <cell r="P2870">
            <v>43314</v>
          </cell>
          <cell r="Q2870" t="str">
            <v>adquisición predial por Dto. 511 de 2010. LOCALIDAD: USME; BARRIO: SAN JUAN DE USME;ID: 2010-5-11488</v>
          </cell>
          <cell r="R2870">
            <v>42139350</v>
          </cell>
          <cell r="S2870">
            <v>0</v>
          </cell>
          <cell r="T2870">
            <v>0</v>
          </cell>
          <cell r="U2870">
            <v>42139350</v>
          </cell>
          <cell r="V2870">
            <v>0</v>
          </cell>
        </row>
        <row r="2871">
          <cell r="J2871">
            <v>2572</v>
          </cell>
          <cell r="K2871">
            <v>43314</v>
          </cell>
          <cell r="L2871" t="str">
            <v>FANNY MARCELA MORENO ACHURI</v>
          </cell>
          <cell r="M2871">
            <v>31</v>
          </cell>
          <cell r="N2871" t="str">
            <v>RESOLUCION</v>
          </cell>
          <cell r="O2871">
            <v>2964</v>
          </cell>
          <cell r="P2871">
            <v>43314</v>
          </cell>
          <cell r="Q2871" t="str">
            <v>AYUDA TEMPORAL A LAS FAMILIAS DE VARIAS LOCALIDADES, PARA RELOCALIZACIÓN DE HOGARES LOCALIZADOS EN ZONAS DE ALTO RIESGO NO MITIGABLE ID:2012-18-14326, LOCALIDAD:18 RAFAEL URIBE URIBE, UPZ:55 DIANA TURBAY</v>
          </cell>
          <cell r="R2871">
            <v>2244132</v>
          </cell>
          <cell r="S2871">
            <v>0</v>
          </cell>
          <cell r="T2871">
            <v>0</v>
          </cell>
          <cell r="U2871">
            <v>2244132</v>
          </cell>
          <cell r="V2871">
            <v>374022</v>
          </cell>
        </row>
        <row r="2872">
          <cell r="J2872">
            <v>2573</v>
          </cell>
          <cell r="K2872">
            <v>43314</v>
          </cell>
          <cell r="L2872" t="str">
            <v>HILDA MARIA ROJAS DE PEÑUELA</v>
          </cell>
          <cell r="M2872">
            <v>31</v>
          </cell>
          <cell r="N2872" t="str">
            <v>RESOLUCION</v>
          </cell>
          <cell r="O2872">
            <v>3033</v>
          </cell>
          <cell r="P2872">
            <v>43314</v>
          </cell>
          <cell r="Q2872" t="str">
            <v>VUR de la actual vigencia. La asignación se realiza para dar cumplimiento al fallo de acción popular 2002-00152- Suba Gavilanes. Dto 255 de 2013. LOCALIDAD: SUBA GAVILANES; BARRIO: SANTA CECILIA; ID: 2018-11-15196</v>
          </cell>
          <cell r="R2872">
            <v>39062100</v>
          </cell>
          <cell r="S2872">
            <v>0</v>
          </cell>
          <cell r="T2872">
            <v>0</v>
          </cell>
          <cell r="U2872">
            <v>39062100</v>
          </cell>
          <cell r="V2872">
            <v>0</v>
          </cell>
        </row>
        <row r="2873">
          <cell r="J2873">
            <v>2574</v>
          </cell>
          <cell r="K2873">
            <v>43314</v>
          </cell>
          <cell r="L2873" t="str">
            <v>ANA BEATRIZ PEÑA TOVAR</v>
          </cell>
          <cell r="M2873">
            <v>31</v>
          </cell>
          <cell r="N2873" t="str">
            <v>RESOLUCION</v>
          </cell>
          <cell r="O2873">
            <v>2985</v>
          </cell>
          <cell r="P2873">
            <v>43314</v>
          </cell>
          <cell r="Q2873" t="str">
            <v>AYUDA TEMPORAL A LAS FAMILIAS DE VARIAS LOCALIDADES, PARA RELOCALIZACIÓN DE HOGARES LOCALIZADOS EN ZONAS DE ALTO RIESGO NO MITIGABLE ID:2014-OTR-00905, LOCALIDAD:03 SANTA FE, UPZ:96 LOURDES, SECTOR:CASA 3</v>
          </cell>
          <cell r="R2873">
            <v>3400600</v>
          </cell>
          <cell r="S2873">
            <v>0</v>
          </cell>
          <cell r="T2873">
            <v>0</v>
          </cell>
          <cell r="U2873">
            <v>3400600</v>
          </cell>
          <cell r="V2873">
            <v>425075</v>
          </cell>
        </row>
        <row r="2874">
          <cell r="J2874">
            <v>2575</v>
          </cell>
          <cell r="K2874">
            <v>43314</v>
          </cell>
          <cell r="L2874" t="str">
            <v>PEDRO PABLO RINCON VELASQUEZ</v>
          </cell>
          <cell r="M2874">
            <v>31</v>
          </cell>
          <cell r="N2874" t="str">
            <v>RESOLUCION</v>
          </cell>
          <cell r="O2874">
            <v>2984</v>
          </cell>
          <cell r="P2874">
            <v>43314</v>
          </cell>
          <cell r="Q2874" t="str">
            <v>AYUDA TEMPORAL A LAS FAMILIAS DE VARIAS LOCALIDADES, PARA RELOCALIZACIÓN DE HOGARES LOCALIZADOS EN ZONAS DE ALTO RIESGO NO MITIGABLE ID:2012-T314-19, LOCALIDAD:04 SAN CRISTÓBAL, UPZ:50 LA GLORIA, SECTOR:</v>
          </cell>
          <cell r="R2874">
            <v>2590566</v>
          </cell>
          <cell r="S2874">
            <v>0</v>
          </cell>
          <cell r="T2874">
            <v>0</v>
          </cell>
          <cell r="U2874">
            <v>2590566</v>
          </cell>
          <cell r="V2874">
            <v>431761</v>
          </cell>
        </row>
        <row r="2875">
          <cell r="J2875">
            <v>2576</v>
          </cell>
          <cell r="K2875">
            <v>43314</v>
          </cell>
          <cell r="L2875" t="str">
            <v>DORIA MARIA FARFAN PEDROZA</v>
          </cell>
          <cell r="M2875">
            <v>31</v>
          </cell>
          <cell r="N2875" t="str">
            <v>RESOLUCION</v>
          </cell>
          <cell r="O2875">
            <v>2983</v>
          </cell>
          <cell r="P2875">
            <v>43314</v>
          </cell>
          <cell r="Q2875" t="str">
            <v>AYUDA TEMPORAL A LAS FAMILIAS DE VARIAS LOCALIDADES, PARA RELOCALIZACIÓN DE HOGARES LOCALIZADOS EN ZONAS DE ALTO RIESGO NO MITIGABLE ID:2010-4-11971, LOCALIDAD:04 SAN CRISTÓBAL, UPZ:34 20 DE JULIO, SECTOR:OLA INVERNAL 2010 FOPAE</v>
          </cell>
          <cell r="R2875">
            <v>2766440</v>
          </cell>
          <cell r="S2875">
            <v>0</v>
          </cell>
          <cell r="T2875">
            <v>0</v>
          </cell>
          <cell r="U2875">
            <v>2766440</v>
          </cell>
          <cell r="V2875">
            <v>553288</v>
          </cell>
        </row>
        <row r="2876">
          <cell r="J2876">
            <v>2577</v>
          </cell>
          <cell r="K2876">
            <v>43314</v>
          </cell>
          <cell r="L2876" t="str">
            <v>OVIDIO  GONZALEZ CHIBUQUE</v>
          </cell>
          <cell r="M2876">
            <v>31</v>
          </cell>
          <cell r="N2876" t="str">
            <v>RESOLUCION</v>
          </cell>
          <cell r="O2876">
            <v>2963</v>
          </cell>
          <cell r="P2876">
            <v>43314</v>
          </cell>
          <cell r="Q2876" t="str">
            <v>AYUDA TEMPORAL A LAS FAMILIAS DE VARIAS LOCALIDADES, PARA RELOCALIZACIÓN DE HOGARES LOCALIZADOS EN ZONAS DE ALTO RIESGO NO MITIGABLE ID:2009-4-11155, LOCALIDAD:04 SAN CRISTÓBAL, UPZ:50 LA GLORIA.</v>
          </cell>
          <cell r="R2876">
            <v>2765598</v>
          </cell>
          <cell r="S2876">
            <v>0</v>
          </cell>
          <cell r="T2876">
            <v>0</v>
          </cell>
          <cell r="U2876">
            <v>2765598</v>
          </cell>
          <cell r="V2876">
            <v>460933</v>
          </cell>
        </row>
        <row r="2877">
          <cell r="J2877">
            <v>2578</v>
          </cell>
          <cell r="K2877">
            <v>43314</v>
          </cell>
          <cell r="L2877" t="str">
            <v>JADIR LEONARDO RODRIGUEZ VELASQUEZ</v>
          </cell>
          <cell r="M2877">
            <v>31</v>
          </cell>
          <cell r="N2877" t="str">
            <v>RESOLUCION</v>
          </cell>
          <cell r="O2877">
            <v>2962</v>
          </cell>
          <cell r="P2877">
            <v>43314</v>
          </cell>
          <cell r="Q2877" t="str">
            <v>AYUDA TEMPORAL A LAS FAMILIAS DE VARIAS LOCALIDADES, PARA RELOCALIZACIÓN DE HOGARES LOCALIZADOS EN ZONAS DE ALTO RIESGO NO MITIGABLE ID:2015-OTR-01377, LOCALIDAD:11 SUBA, UPZ:71 TIBABUYES, SECTOR:GAVILANES</v>
          </cell>
          <cell r="R2877">
            <v>3014166</v>
          </cell>
          <cell r="S2877">
            <v>0</v>
          </cell>
          <cell r="T2877">
            <v>0</v>
          </cell>
          <cell r="U2877">
            <v>3014166</v>
          </cell>
          <cell r="V2877">
            <v>502361</v>
          </cell>
        </row>
        <row r="2878">
          <cell r="J2878">
            <v>2579</v>
          </cell>
          <cell r="K2878">
            <v>43314</v>
          </cell>
          <cell r="L2878" t="str">
            <v>JESUS ELIAS DURANGO</v>
          </cell>
          <cell r="M2878">
            <v>31</v>
          </cell>
          <cell r="N2878" t="str">
            <v>RESOLUCION</v>
          </cell>
          <cell r="O2878">
            <v>2961</v>
          </cell>
          <cell r="P2878">
            <v>43314</v>
          </cell>
          <cell r="Q2878" t="str">
            <v>AYUDA TEMPORAL A LAS FAMILIAS DE VARIAS LOCALIDADES, PARA RELOCALIZACIÓN DE HOGARES LOCALIZADOS EN ZONAS DE ALTO RIESGO NO MITIGABLE ID:2013-4-14650, LOCALIDAD:04 SAN CRISTÓBAL, UPZ:32 SAN BLAS.</v>
          </cell>
          <cell r="R2878">
            <v>4312456</v>
          </cell>
          <cell r="S2878">
            <v>0</v>
          </cell>
          <cell r="T2878">
            <v>0</v>
          </cell>
          <cell r="U2878">
            <v>4312456</v>
          </cell>
          <cell r="V2878">
            <v>539057</v>
          </cell>
        </row>
        <row r="2879">
          <cell r="J2879">
            <v>2580</v>
          </cell>
          <cell r="K2879">
            <v>43314</v>
          </cell>
          <cell r="L2879" t="str">
            <v>MIGUEL ALFREDO DAZA RAMIREZ</v>
          </cell>
          <cell r="M2879">
            <v>31</v>
          </cell>
          <cell r="N2879" t="str">
            <v>RESOLUCION</v>
          </cell>
          <cell r="O2879">
            <v>2960</v>
          </cell>
          <cell r="P2879">
            <v>43314</v>
          </cell>
          <cell r="Q2879" t="str">
            <v>AYUDA TEMPORAL A LAS FAMILIAS DE VARIAS LOCALIDADES, PARA RELOCALIZACIÓN DE HOGARES LOCALIZADOS EN ZONAS DE ALTO RIESGO NO MITIGABLE ID:2016-08-14871, LOCALIDAD:08 KENNEDY, UPZ:82 PATIO BONITO, SECTOR:PALMITAS</v>
          </cell>
          <cell r="R2879">
            <v>2692665</v>
          </cell>
          <cell r="S2879">
            <v>0</v>
          </cell>
          <cell r="T2879">
            <v>0</v>
          </cell>
          <cell r="U2879">
            <v>2692665</v>
          </cell>
          <cell r="V2879">
            <v>0</v>
          </cell>
        </row>
        <row r="2880">
          <cell r="J2880">
            <v>2581</v>
          </cell>
          <cell r="K2880">
            <v>43314</v>
          </cell>
          <cell r="L2880" t="str">
            <v>JOSE ALBEIRO CASTAÑO RIVERA</v>
          </cell>
          <cell r="M2880">
            <v>31</v>
          </cell>
          <cell r="N2880" t="str">
            <v>RESOLUCION</v>
          </cell>
          <cell r="O2880">
            <v>2959</v>
          </cell>
          <cell r="P2880">
            <v>43314</v>
          </cell>
          <cell r="Q2880" t="str">
            <v>AYUDA TEMPORAL A LAS FAMILIAS DE VARIAS LOCALIDADES, PARA RELOCALIZACIÓN DE HOGARES LOCALIZADOS EN ZONAS DE ALTO RIESGO NO MITIGABLE ID:2011-5-13024, LOCALIDAD:05 USME, UPZ:56 DANUBIO,</v>
          </cell>
          <cell r="R2880">
            <v>3663504</v>
          </cell>
          <cell r="S2880">
            <v>0</v>
          </cell>
          <cell r="T2880">
            <v>0</v>
          </cell>
          <cell r="U2880">
            <v>3663504</v>
          </cell>
          <cell r="V2880">
            <v>407056</v>
          </cell>
        </row>
        <row r="2881">
          <cell r="J2881">
            <v>2582</v>
          </cell>
          <cell r="K2881">
            <v>43314</v>
          </cell>
          <cell r="L2881" t="str">
            <v>AIDA LILA MENDIVELSO ALAPE</v>
          </cell>
          <cell r="M2881">
            <v>31</v>
          </cell>
          <cell r="N2881" t="str">
            <v>RESOLUCION</v>
          </cell>
          <cell r="O2881">
            <v>2957</v>
          </cell>
          <cell r="P2881">
            <v>43314</v>
          </cell>
          <cell r="Q2881" t="str">
            <v>AYUDA TEMPORAL A LAS FAMILIAS DE VARIAS LOCALIDADES, PARA RELOCALIZACIÓN DE HOGARES LOCALIZADOS EN ZONAS DE ALTO RIESGO NO MITIGABLE ID:2013-4-14655, LOCALIDAD:04 SAN CRISTÓBAL, UPZ:32 SAN BLAS</v>
          </cell>
          <cell r="R2881">
            <v>5273388</v>
          </cell>
          <cell r="S2881">
            <v>0</v>
          </cell>
          <cell r="T2881">
            <v>0</v>
          </cell>
          <cell r="U2881">
            <v>5273388</v>
          </cell>
          <cell r="V2881">
            <v>585932</v>
          </cell>
        </row>
        <row r="2882">
          <cell r="J2882">
            <v>2583</v>
          </cell>
          <cell r="K2882">
            <v>43314</v>
          </cell>
          <cell r="L2882" t="str">
            <v>LUZ MARINA VARGAS</v>
          </cell>
          <cell r="M2882">
            <v>31</v>
          </cell>
          <cell r="N2882" t="str">
            <v>RESOLUCION</v>
          </cell>
          <cell r="O2882">
            <v>3031</v>
          </cell>
          <cell r="P2882">
            <v>43314</v>
          </cell>
          <cell r="Q2882" t="str">
            <v>Adquisición predial por Dto. 511 de 2010. LOCALIDAD:USAQUEN; BARRIO:EL CODITO;ID: 2006-1-7979</v>
          </cell>
          <cell r="R2882">
            <v>20351100</v>
          </cell>
          <cell r="S2882">
            <v>0</v>
          </cell>
          <cell r="T2882">
            <v>0</v>
          </cell>
          <cell r="U2882">
            <v>20351100</v>
          </cell>
          <cell r="V2882">
            <v>0</v>
          </cell>
        </row>
        <row r="2883">
          <cell r="J2883">
            <v>2584</v>
          </cell>
          <cell r="K2883">
            <v>43314</v>
          </cell>
          <cell r="L2883" t="str">
            <v>LUIS FRANCISCO PULIDO GONZALEZ</v>
          </cell>
          <cell r="M2883">
            <v>31</v>
          </cell>
          <cell r="N2883" t="str">
            <v>RESOLUCION</v>
          </cell>
          <cell r="O2883">
            <v>3034</v>
          </cell>
          <cell r="P2883">
            <v>43314</v>
          </cell>
          <cell r="Q2883" t="str">
            <v>Adquisición predial por Dto. 511 de 2010. LOCALIDAD:CIUDAD BOLIVAR; BARRIO:PARAISO QUIBA; ID: 2013-Q04-00760</v>
          </cell>
          <cell r="R2883">
            <v>38051600</v>
          </cell>
          <cell r="S2883">
            <v>0</v>
          </cell>
          <cell r="T2883">
            <v>0</v>
          </cell>
          <cell r="U2883">
            <v>38051600</v>
          </cell>
          <cell r="V2883">
            <v>0</v>
          </cell>
        </row>
        <row r="2884">
          <cell r="J2884">
            <v>2585</v>
          </cell>
          <cell r="K2884">
            <v>43315</v>
          </cell>
          <cell r="L2884" t="str">
            <v>CARLOS JULIO BUITRAGO GORDILLO</v>
          </cell>
          <cell r="M2884">
            <v>31</v>
          </cell>
          <cell r="N2884" t="str">
            <v>RESOLUCION</v>
          </cell>
          <cell r="O2884">
            <v>2980</v>
          </cell>
          <cell r="P2884">
            <v>43315</v>
          </cell>
          <cell r="Q2884" t="str">
            <v>AYUDA TEMPORAL A LAS FAMILIAS DE VARIAS LOCALIDADES, PARA RELOCALIZACIÓN DE HOGARES LOCALIZADOS EN ZONAS DE ALTO RIESGO NO MITIGABLE ID:2013000509, LOCALIDAD:19 CIUDAD BOLÍVAR, UPZ:67 LUCERO, SECTOR:BRAZO DERECHO DE LIMAS</v>
          </cell>
          <cell r="R2884">
            <v>2437476</v>
          </cell>
          <cell r="S2884">
            <v>0</v>
          </cell>
          <cell r="T2884">
            <v>0</v>
          </cell>
          <cell r="U2884">
            <v>2437476</v>
          </cell>
          <cell r="V2884">
            <v>406246</v>
          </cell>
        </row>
        <row r="2885">
          <cell r="J2885">
            <v>2587</v>
          </cell>
          <cell r="K2885">
            <v>43315</v>
          </cell>
          <cell r="L2885" t="str">
            <v>LAURENCIO  REYES SANHABRIA</v>
          </cell>
          <cell r="M2885">
            <v>31</v>
          </cell>
          <cell r="N2885" t="str">
            <v>RESOLUCION</v>
          </cell>
          <cell r="O2885">
            <v>2982</v>
          </cell>
          <cell r="P2885">
            <v>43315</v>
          </cell>
          <cell r="Q2885" t="str">
            <v>AYUDA TEMPORAL A LAS FAMILIAS DE VARIAS LOCALIDADES, PARA RELOCALIZACIÓN DE HOGARES LOCALIZADOS EN ZONAS DE ALTO RIESGO NO MITIGABLE ID:2015-OTR-01477, LOCALIDAD:19 CIUDAD BOLÍVAR, UPZ:67 LUCERO, SECTOR:TABOR ALTALOMA</v>
          </cell>
          <cell r="R2885">
            <v>2706270</v>
          </cell>
          <cell r="S2885">
            <v>0</v>
          </cell>
          <cell r="T2885">
            <v>0</v>
          </cell>
          <cell r="U2885">
            <v>2706270</v>
          </cell>
          <cell r="V2885">
            <v>451045</v>
          </cell>
        </row>
        <row r="2886">
          <cell r="J2886">
            <v>2594</v>
          </cell>
          <cell r="K2886">
            <v>43315</v>
          </cell>
          <cell r="L2886" t="str">
            <v>CARLOS ALBERTO QUEMBA VARGAS</v>
          </cell>
          <cell r="M2886">
            <v>31</v>
          </cell>
          <cell r="N2886" t="str">
            <v>RESOLUCION</v>
          </cell>
          <cell r="O2886">
            <v>3046</v>
          </cell>
          <cell r="P2886">
            <v>43315</v>
          </cell>
          <cell r="Q2886" t="str">
            <v>AYUDA TEMPORAL A LAS FAMILIAS DE VARIAS LOCALIDADES, PARA RELOCALIZACIÓN DE HOGARES LOCALIZADOS EN ZONAS DE ALTO RIESGO NO MITIGABLE ID:2016-04-14890, LOCALIDAD: 04 SAN CRISTOBAL, UPZ: 32 SAN BLAS, SECTOR: TRIANGULO ALTO</v>
          </cell>
          <cell r="R2886">
            <v>2343726</v>
          </cell>
          <cell r="S2886">
            <v>0</v>
          </cell>
          <cell r="T2886">
            <v>0</v>
          </cell>
          <cell r="U2886">
            <v>2343726</v>
          </cell>
          <cell r="V2886">
            <v>390621</v>
          </cell>
        </row>
        <row r="2887">
          <cell r="J2887">
            <v>2598</v>
          </cell>
          <cell r="K2887">
            <v>43315</v>
          </cell>
          <cell r="L2887" t="str">
            <v>ANA LUCIA GONZALEZ PARRA</v>
          </cell>
          <cell r="M2887">
            <v>31</v>
          </cell>
          <cell r="N2887" t="str">
            <v>RESOLUCION</v>
          </cell>
          <cell r="O2887">
            <v>3035</v>
          </cell>
          <cell r="P2887">
            <v>43315</v>
          </cell>
          <cell r="Q2887" t="str">
            <v>VUR de la actual vigencia. La asignación se realiza para dar cumplimiento al fallo de acción popular 2002-00152- Suba Gavilanes. Dto 255 de 2013. LOCALIDAD: SUBA GAVILANES; BARRIO: BILVAO; ID: 2018-11-15258</v>
          </cell>
          <cell r="R2887">
            <v>39062100</v>
          </cell>
          <cell r="S2887">
            <v>0</v>
          </cell>
          <cell r="T2887">
            <v>0</v>
          </cell>
          <cell r="U2887">
            <v>39062100</v>
          </cell>
          <cell r="V2887">
            <v>0</v>
          </cell>
        </row>
        <row r="2888">
          <cell r="J2888">
            <v>2599</v>
          </cell>
          <cell r="K2888">
            <v>43315</v>
          </cell>
          <cell r="L2888" t="str">
            <v>MARIA ORFA ARISTIZABAL DE MONTES</v>
          </cell>
          <cell r="M2888">
            <v>31</v>
          </cell>
          <cell r="N2888" t="str">
            <v>RESOLUCION</v>
          </cell>
          <cell r="O2888">
            <v>3016</v>
          </cell>
          <cell r="P2888">
            <v>43315</v>
          </cell>
          <cell r="Q2888" t="str">
            <v>AYUDA TEMPORAL A LAS FAMILIAS DE VARIAS LOCALIDADES, PARA RELOCALIZACIÓN DE HOGARES LOCALIZADOS EN ZONAS DE ALTO RIESGO NO MITIGABLE ID:2012-19-14248, LOCALIDAD:19 CIUDAD BOLÍVAR, UPZ:67 LUCERO</v>
          </cell>
          <cell r="R2888">
            <v>3718096</v>
          </cell>
          <cell r="S2888">
            <v>0</v>
          </cell>
          <cell r="T2888">
            <v>0</v>
          </cell>
          <cell r="U2888">
            <v>3718096</v>
          </cell>
          <cell r="V2888">
            <v>464762</v>
          </cell>
        </row>
        <row r="2889">
          <cell r="J2889">
            <v>2601</v>
          </cell>
          <cell r="K2889">
            <v>43315</v>
          </cell>
          <cell r="L2889" t="str">
            <v>EDNA LICED CAPERA SERRANO</v>
          </cell>
          <cell r="M2889">
            <v>31</v>
          </cell>
          <cell r="N2889" t="str">
            <v>RESOLUCION</v>
          </cell>
          <cell r="O2889">
            <v>2976</v>
          </cell>
          <cell r="P2889">
            <v>43315</v>
          </cell>
          <cell r="Q2889" t="str">
            <v>AYUDA TEMPORAL A LAS FAMILIAS DE VARIAS LOCALIDADES, PARA RELOCALIZACIÓN DE HOGARES LOCALIZADOS EN ZONAS DE ALTO RIESGO NO MITIGABLE ID:2016-08-14900, LOCALIDAD:08 KENNEDY, UPZ:82 PATIO BONITO, SECTOR:PALMITAS</v>
          </cell>
          <cell r="R2889">
            <v>4131216</v>
          </cell>
          <cell r="S2889">
            <v>0</v>
          </cell>
          <cell r="T2889">
            <v>0</v>
          </cell>
          <cell r="U2889">
            <v>4131216</v>
          </cell>
          <cell r="V2889">
            <v>516402</v>
          </cell>
        </row>
        <row r="2890">
          <cell r="J2890">
            <v>2602</v>
          </cell>
          <cell r="K2890">
            <v>43315</v>
          </cell>
          <cell r="L2890" t="str">
            <v>JORGE ELIECER SILVA ORTEGA</v>
          </cell>
          <cell r="M2890">
            <v>31</v>
          </cell>
          <cell r="N2890" t="str">
            <v>RESOLUCION</v>
          </cell>
          <cell r="O2890">
            <v>2975</v>
          </cell>
          <cell r="P2890">
            <v>43315</v>
          </cell>
          <cell r="Q2890" t="str">
            <v>AYUDA TEMPORAL A LAS FAMILIAS DE VARIAS LOCALIDADES, PARA RELOCALIZACIÓN DE HOGARES LOCALIZADOS EN ZONAS DE ALTO RIESGO NO MITIGABLE ID:2011-19-13478, LOCALIDAD:19 CIUDAD BOLÍVAR, UPZ:68 EL TESORO</v>
          </cell>
          <cell r="R2890">
            <v>2031230</v>
          </cell>
          <cell r="S2890">
            <v>0</v>
          </cell>
          <cell r="T2890">
            <v>0</v>
          </cell>
          <cell r="U2890">
            <v>2031230</v>
          </cell>
          <cell r="V2890">
            <v>0</v>
          </cell>
        </row>
        <row r="2891">
          <cell r="J2891">
            <v>2603</v>
          </cell>
          <cell r="K2891">
            <v>43315</v>
          </cell>
          <cell r="L2891" t="str">
            <v>LUIS ALFREDO MARTINEZ</v>
          </cell>
          <cell r="M2891">
            <v>31</v>
          </cell>
          <cell r="N2891" t="str">
            <v>RESOLUCION</v>
          </cell>
          <cell r="O2891">
            <v>2974</v>
          </cell>
          <cell r="P2891">
            <v>43315</v>
          </cell>
          <cell r="Q2891" t="str">
            <v>AYUDA TEMPORAL A LAS FAMILIAS DE VARIAS LOCALIDADES, PARA RELOCALIZACIÓN DE HOGARES LOCALIZADOS EN ZONAS DE ALTO RIESGO NO MITIGABLE ID:2013000314, LOCALIDAD:19 CIUDAD BOLÍVAR, UPZ:67 LUCERO, SECTOR:PEÑA COLORADA</v>
          </cell>
          <cell r="R2891">
            <v>2859348</v>
          </cell>
          <cell r="S2891">
            <v>0</v>
          </cell>
          <cell r="T2891">
            <v>0</v>
          </cell>
          <cell r="U2891">
            <v>2859348</v>
          </cell>
          <cell r="V2891">
            <v>476558</v>
          </cell>
        </row>
        <row r="2892">
          <cell r="J2892">
            <v>2604</v>
          </cell>
          <cell r="K2892">
            <v>43315</v>
          </cell>
          <cell r="L2892" t="str">
            <v>CINDY PAOLA MARTINEZ ECHEVERRY</v>
          </cell>
          <cell r="M2892">
            <v>31</v>
          </cell>
          <cell r="N2892" t="str">
            <v>RESOLUCION</v>
          </cell>
          <cell r="O2892">
            <v>2973</v>
          </cell>
          <cell r="P2892">
            <v>43315</v>
          </cell>
          <cell r="Q2892" t="str">
            <v>AYUDA TEMPORAL A LAS FAMILIAS DE VARIAS LOCALIDADES, PARA RELOCALIZACIÓN DE HOGARES LOCALIZADOS EN ZONAS DE ALTO RIESGO NO MITIGABLE ID:2016-08-14805, LOCALIDAD:08 KENNEDY, UPZ:82 PATIO BONITO, SECTOR:PALMITAS</v>
          </cell>
          <cell r="R2892">
            <v>1829540</v>
          </cell>
          <cell r="S2892">
            <v>0</v>
          </cell>
          <cell r="T2892">
            <v>0</v>
          </cell>
          <cell r="U2892">
            <v>1829540</v>
          </cell>
          <cell r="V2892">
            <v>457385</v>
          </cell>
        </row>
        <row r="2893">
          <cell r="J2893">
            <v>2605</v>
          </cell>
          <cell r="K2893">
            <v>43315</v>
          </cell>
          <cell r="L2893" t="str">
            <v>HECTOR JULIO TOVAR AREVALO</v>
          </cell>
          <cell r="M2893">
            <v>31</v>
          </cell>
          <cell r="N2893" t="str">
            <v>RESOLUCION</v>
          </cell>
          <cell r="O2893">
            <v>2972</v>
          </cell>
          <cell r="P2893">
            <v>43315</v>
          </cell>
          <cell r="Q2893" t="str">
            <v>AYUDA TEMPORAL A LAS FAMILIAS DE VARIAS LOCALIDADES, PARA RELOCALIZACIÓN DE HOGARES LOCALIZADOS EN ZONAS DE ALTO RIESGO NO MITIGABLE ID:2015-Q03-01449, LOCALIDAD:19 CIUDAD BOLÍVAR, UPZ:66 SAN FRANCISCO, SECTOR:LIMAS</v>
          </cell>
          <cell r="R2893">
            <v>2706270</v>
          </cell>
          <cell r="S2893">
            <v>0</v>
          </cell>
          <cell r="T2893">
            <v>0</v>
          </cell>
          <cell r="U2893">
            <v>2706270</v>
          </cell>
          <cell r="V2893">
            <v>451045</v>
          </cell>
        </row>
        <row r="2894">
          <cell r="J2894">
            <v>2606</v>
          </cell>
          <cell r="K2894">
            <v>43315</v>
          </cell>
          <cell r="L2894" t="str">
            <v>ALBENIS  CARRILLO</v>
          </cell>
          <cell r="M2894">
            <v>31</v>
          </cell>
          <cell r="N2894" t="str">
            <v>RESOLUCION</v>
          </cell>
          <cell r="O2894">
            <v>2971</v>
          </cell>
          <cell r="P2894">
            <v>43315</v>
          </cell>
          <cell r="Q2894" t="str">
            <v>AYUDA TEMPORAL A LAS FAMILIAS DE VARIAS LOCALIDADES, PARA RELOCALIZACIÓN DE HOGARES LOCALIZADOS EN ZONAS DE ALTO RIESGO NO MITIGABLE ID:2011-4-12661, LOCALIDAD:04 SAN CRISTÓBAL, UPZ:32 SAN BLAS</v>
          </cell>
          <cell r="R2894">
            <v>2343726</v>
          </cell>
          <cell r="S2894">
            <v>0</v>
          </cell>
          <cell r="T2894">
            <v>0</v>
          </cell>
          <cell r="U2894">
            <v>2343726</v>
          </cell>
          <cell r="V2894">
            <v>390621</v>
          </cell>
        </row>
        <row r="2895">
          <cell r="J2895">
            <v>2607</v>
          </cell>
          <cell r="K2895">
            <v>43315</v>
          </cell>
          <cell r="L2895" t="str">
            <v>JHON EDUARDO CABALLERO URRIAGO</v>
          </cell>
          <cell r="M2895">
            <v>31</v>
          </cell>
          <cell r="N2895" t="str">
            <v>RESOLUCION</v>
          </cell>
          <cell r="O2895">
            <v>3045</v>
          </cell>
          <cell r="P2895">
            <v>43315</v>
          </cell>
          <cell r="Q2895" t="str">
            <v>AYUDA TEMPORAL A LAS FAMILIAS DE VARIAS LOCALIDADES, PARA RELOCALIZACIÓN DE HOGARES LOCALIZADOS EN ZONAS DE ALTO RIESGO NO MITIGABLE ID:2014-Q03-01081, LOCALIDAD:19 CIUDAD BOLÍVAR, UPZ:66 SAN FRANCISCO, SECTOR:LIMAS</v>
          </cell>
          <cell r="R2895">
            <v>2343726</v>
          </cell>
          <cell r="S2895">
            <v>0</v>
          </cell>
          <cell r="T2895">
            <v>0</v>
          </cell>
          <cell r="U2895">
            <v>2343726</v>
          </cell>
          <cell r="V2895">
            <v>390621</v>
          </cell>
        </row>
        <row r="2896">
          <cell r="J2896">
            <v>2608</v>
          </cell>
          <cell r="K2896">
            <v>43320</v>
          </cell>
          <cell r="L2896" t="str">
            <v>LEONARDO  VARELA</v>
          </cell>
          <cell r="M2896">
            <v>31</v>
          </cell>
          <cell r="N2896" t="str">
            <v>RESOLUCION</v>
          </cell>
          <cell r="O2896">
            <v>3032</v>
          </cell>
          <cell r="P2896">
            <v>43320</v>
          </cell>
          <cell r="Q2896" t="str">
            <v>VUR de la actual vigencia. La asignación se realiza para dar cumplimiento al fallo de acción popular 2002-00152- Suba Gavilanes. Dto 255 de 2013. LOCALIDAD: SUBA GAVILANES; BARRIO: SANTA CECILIA; ID: 2018-11-15173</v>
          </cell>
          <cell r="R2896">
            <v>39062100</v>
          </cell>
          <cell r="S2896">
            <v>0</v>
          </cell>
          <cell r="T2896">
            <v>0</v>
          </cell>
          <cell r="U2896">
            <v>39062100</v>
          </cell>
          <cell r="V2896">
            <v>0</v>
          </cell>
        </row>
        <row r="2897">
          <cell r="J2897">
            <v>2609</v>
          </cell>
          <cell r="K2897">
            <v>43320</v>
          </cell>
          <cell r="L2897" t="str">
            <v>LUZ ANDREA CASERES PEÑALOZA</v>
          </cell>
          <cell r="M2897">
            <v>31</v>
          </cell>
          <cell r="N2897" t="str">
            <v>RESOLUCION</v>
          </cell>
          <cell r="O2897">
            <v>3017</v>
          </cell>
          <cell r="P2897">
            <v>43315</v>
          </cell>
          <cell r="Q2897" t="str">
            <v>AYUDA TEMPORAL A LAS FAMILIAS DE VARIAS LOCALIDADES, PARA RELOCALIZACIÓN DE HOGARES LOCALIZADOS EN ZONAS DE ALTO RIESGO NO MITIGABLE ID:2016-08-14899, LOCALIDAD:08 KENNEDY, UPZ:82 PATIO BONITO, SECTOR:PALMITAS</v>
          </cell>
          <cell r="R2897">
            <v>3614814</v>
          </cell>
          <cell r="S2897">
            <v>0</v>
          </cell>
          <cell r="T2897">
            <v>0</v>
          </cell>
          <cell r="U2897">
            <v>3614814</v>
          </cell>
          <cell r="V2897">
            <v>0</v>
          </cell>
        </row>
        <row r="2898">
          <cell r="J2898">
            <v>2610</v>
          </cell>
          <cell r="K2898">
            <v>43320</v>
          </cell>
          <cell r="L2898" t="str">
            <v>LUIS ALFREDO RODRIGUEZ GAVILAN</v>
          </cell>
          <cell r="M2898">
            <v>31</v>
          </cell>
          <cell r="N2898" t="str">
            <v>RESOLUCION</v>
          </cell>
          <cell r="O2898">
            <v>3018</v>
          </cell>
          <cell r="P2898">
            <v>43320</v>
          </cell>
          <cell r="Q2898" t="str">
            <v>AYUDA TEMPORAL A LAS FAMILIAS DE VARIAS LOCALIDADES, PARA RELOCALIZACIÓN DE HOGARES LOCALIZADOS EN ZONAS DE ALTO RIESGO NO MITIGABLE ID:2015-OTR-01446, LOCALIDAD:02 CHAPINERO, UPZ:90 PARDO RUBIO</v>
          </cell>
          <cell r="R2898">
            <v>3017000</v>
          </cell>
          <cell r="S2898">
            <v>0</v>
          </cell>
          <cell r="T2898">
            <v>0</v>
          </cell>
          <cell r="U2898">
            <v>3017000</v>
          </cell>
          <cell r="V2898">
            <v>862000</v>
          </cell>
        </row>
        <row r="2899">
          <cell r="J2899">
            <v>2620</v>
          </cell>
          <cell r="K2899">
            <v>43325</v>
          </cell>
          <cell r="L2899" t="str">
            <v>ANGELA JACKELINE ACOSTA RAMIREZ</v>
          </cell>
          <cell r="M2899">
            <v>31</v>
          </cell>
          <cell r="N2899" t="str">
            <v>RESOLUCION</v>
          </cell>
          <cell r="O2899">
            <v>3074</v>
          </cell>
          <cell r="P2899">
            <v>43325</v>
          </cell>
          <cell r="Q2899" t="str">
            <v>AYUDA TEMPORAL A LAS FAMILIAS DE VARIAS LOCALIDADES, PARA RELOCALIZACIÓN DE HOGARES LOCALIZADOS EN ZONAS DE ALTO RIESGO NO MITIGABLE ID:2013-Q09-00118, LOCALIDAD:04 SAN CRISTÓBAL, UPZ:51 LOS LIBERTADORES, SECTOR:QUEBRADA VEREJONES</v>
          </cell>
          <cell r="R2899">
            <v>4136000</v>
          </cell>
          <cell r="S2899">
            <v>0</v>
          </cell>
          <cell r="T2899">
            <v>0</v>
          </cell>
          <cell r="U2899">
            <v>4136000</v>
          </cell>
          <cell r="V2899">
            <v>517000</v>
          </cell>
        </row>
        <row r="2900">
          <cell r="J2900">
            <v>2621</v>
          </cell>
          <cell r="K2900">
            <v>43325</v>
          </cell>
          <cell r="L2900" t="str">
            <v>TEODOLINDA  SANCHEZ DE GUZMAN</v>
          </cell>
          <cell r="M2900">
            <v>31</v>
          </cell>
          <cell r="N2900" t="str">
            <v>RESOLUCION</v>
          </cell>
          <cell r="O2900">
            <v>3076</v>
          </cell>
          <cell r="P2900">
            <v>43325</v>
          </cell>
          <cell r="Q2900" t="str">
            <v>AYUDA TEMPORAL A LAS FAMILIAS DE VARIAS LOCALIDADES, PARA LA RELOCALIZACIÓN DE HOGARES LOCALIZADOS EN ZONAS DE ALTO RIESGO NO MITIGABLE ID:2011-18-12393, LOCALIDAD:18 RAFAEL URIBE URIBE, UPZ:55 DIANA TURBAY, SECTOR:OLA INVERNAL 2010 FOPAE</v>
          </cell>
          <cell r="R2900">
            <v>3247223</v>
          </cell>
          <cell r="S2900">
            <v>0</v>
          </cell>
          <cell r="T2900">
            <v>0</v>
          </cell>
          <cell r="U2900">
            <v>3247223</v>
          </cell>
          <cell r="V2900">
            <v>463889</v>
          </cell>
        </row>
        <row r="2901">
          <cell r="J2901">
            <v>2622</v>
          </cell>
          <cell r="K2901">
            <v>43325</v>
          </cell>
          <cell r="L2901" t="str">
            <v>EVARISTO  HEREDIA CAMACHO</v>
          </cell>
          <cell r="M2901">
            <v>31</v>
          </cell>
          <cell r="N2901" t="str">
            <v>RESOLUCION</v>
          </cell>
          <cell r="O2901">
            <v>3077</v>
          </cell>
          <cell r="P2901">
            <v>43325</v>
          </cell>
          <cell r="Q2901" t="str">
            <v>AYUDA TEMPORAL A LAS FAMILIAS DE VARIAS LOCALIDADES, PARA RELOCALIZACIÓN DE HOGARES LOCALIZADOS EN ZONAS DE ALTO RIESGO NO MITIGABLE ID:2010-18-12318, LOCALIDAD:18 RAFAEL URIBE URIBE, UPZ:55 DIANA TURBAY, SECTOR:OLA INVERNAL 2010 FOPAE</v>
          </cell>
          <cell r="R2901">
            <v>3729152</v>
          </cell>
          <cell r="S2901">
            <v>0</v>
          </cell>
          <cell r="T2901">
            <v>0</v>
          </cell>
          <cell r="U2901">
            <v>3729152</v>
          </cell>
          <cell r="V2901">
            <v>932288</v>
          </cell>
        </row>
        <row r="2902">
          <cell r="J2902">
            <v>2623</v>
          </cell>
          <cell r="K2902">
            <v>43325</v>
          </cell>
          <cell r="L2902" t="str">
            <v>RICARDO  CASTAÑEDA CARDENAS</v>
          </cell>
          <cell r="M2902">
            <v>31</v>
          </cell>
          <cell r="N2902" t="str">
            <v>RESOLUCION</v>
          </cell>
          <cell r="O2902">
            <v>3078</v>
          </cell>
          <cell r="P2902">
            <v>43325</v>
          </cell>
          <cell r="Q2902" t="str">
            <v>AYUDA TEMPORAL A LAS FAMILIAS DE VARIAS LOCALIDADES, PARA RELOCALIZACIÓN DE HOGARES LOCALIZADOS EN ZONAS DE ALTO RIESGO NO MITIGABLE ID:2012-3-14494, LOCALIDAD:03 SANTA FE, UPZ:96 LOURDES</v>
          </cell>
          <cell r="R2902">
            <v>4426304</v>
          </cell>
          <cell r="S2902">
            <v>0</v>
          </cell>
          <cell r="T2902">
            <v>0</v>
          </cell>
          <cell r="U2902">
            <v>4426304</v>
          </cell>
          <cell r="V2902">
            <v>553288</v>
          </cell>
        </row>
        <row r="2903">
          <cell r="J2903">
            <v>2627</v>
          </cell>
          <cell r="K2903">
            <v>43325</v>
          </cell>
          <cell r="L2903" t="str">
            <v>JOSE ENRIQUE ESPEJO AGUILAR</v>
          </cell>
          <cell r="M2903">
            <v>31</v>
          </cell>
          <cell r="N2903" t="str">
            <v>RESOLUCION</v>
          </cell>
          <cell r="O2903">
            <v>3089</v>
          </cell>
          <cell r="P2903">
            <v>43325</v>
          </cell>
          <cell r="Q2903" t="str">
            <v>AYUDA TEMPORAL A LAS FAMILIAS DE VARIAS LOCALIDADES, PARA RELOCALIZACIÓN DE HOGARES LOCALIZADOS EN ZONAS DE ALTO RIESGO NO MITIGABLE ID:2003-19-5366, LOCALIDAD:19 CIUDAD BOLÍVAR, UPZ:69 ISMAEL PERDOMO, SECTOR:ALTOS DE LA ESTANCIA</v>
          </cell>
          <cell r="R2903">
            <v>2343726</v>
          </cell>
          <cell r="S2903">
            <v>0</v>
          </cell>
          <cell r="T2903">
            <v>0</v>
          </cell>
          <cell r="U2903">
            <v>2343726</v>
          </cell>
          <cell r="V2903">
            <v>390621</v>
          </cell>
        </row>
        <row r="2904">
          <cell r="J2904">
            <v>2628</v>
          </cell>
          <cell r="K2904">
            <v>43325</v>
          </cell>
          <cell r="L2904" t="str">
            <v>JOSEFINA  ROZO MONTES</v>
          </cell>
          <cell r="M2904">
            <v>31</v>
          </cell>
          <cell r="N2904" t="str">
            <v>RESOLUCION</v>
          </cell>
          <cell r="O2904">
            <v>3090</v>
          </cell>
          <cell r="P2904">
            <v>43325</v>
          </cell>
          <cell r="Q2904" t="str">
            <v>AYUDA TEMPORAL A LAS FAMILIAS DE VARIAS LOCALIDADES, PARA RELOCALIZACIÓN DE HOGARES LOCALIZADOS EN ZONAS DE ALTO RIESGO NO MITIGABLE ID:2015-Q03-03660, LOCALIDAD:19 CIUDAD BOLÍVAR, UPZ:67 LUCERO, SECTOR:LIMAS</v>
          </cell>
          <cell r="R2904">
            <v>3098410</v>
          </cell>
          <cell r="S2904">
            <v>0</v>
          </cell>
          <cell r="T2904">
            <v>0</v>
          </cell>
          <cell r="U2904">
            <v>3098410</v>
          </cell>
          <cell r="V2904">
            <v>442630</v>
          </cell>
        </row>
        <row r="2905">
          <cell r="J2905">
            <v>2629</v>
          </cell>
          <cell r="K2905">
            <v>43325</v>
          </cell>
          <cell r="L2905" t="str">
            <v>NURY YOLIMA ORJUELA PACHECO</v>
          </cell>
          <cell r="M2905">
            <v>31</v>
          </cell>
          <cell r="N2905" t="str">
            <v>RESOLUCION</v>
          </cell>
          <cell r="O2905">
            <v>3115</v>
          </cell>
          <cell r="P2905">
            <v>43325</v>
          </cell>
          <cell r="Q2905" t="str">
            <v>AYUDA TEMPORAL A LAS FAMILIAS DE VARIAS LOCALIDADES, PARA RELOCALIZACIÓN DE HOGARES LOCALIZADOS EN ZONAS DE ALTO RIESGO NO MITIGABLE ID:2016-08-14915, LOCALIDAD:08 KENNEDY, UPZ:82 PATIO BONITO, SECTOR:PALMITAS</v>
          </cell>
          <cell r="R2905">
            <v>3319728</v>
          </cell>
          <cell r="S2905">
            <v>0</v>
          </cell>
          <cell r="T2905">
            <v>0</v>
          </cell>
          <cell r="U2905">
            <v>3319728</v>
          </cell>
          <cell r="V2905">
            <v>553288</v>
          </cell>
        </row>
        <row r="2906">
          <cell r="J2906">
            <v>2630</v>
          </cell>
          <cell r="K2906">
            <v>43326</v>
          </cell>
          <cell r="L2906" t="str">
            <v>BERENICE  BALLESTEROS CARRION</v>
          </cell>
          <cell r="M2906">
            <v>31</v>
          </cell>
          <cell r="N2906" t="str">
            <v>RESOLUCION</v>
          </cell>
          <cell r="O2906">
            <v>3091</v>
          </cell>
          <cell r="P2906">
            <v>43326</v>
          </cell>
          <cell r="Q2906" t="str">
            <v>AYUDA TEMPORAL A LAS FAMILIAS DE VARIAS LOCALIDADES, PARA RELOCALIZACIÓN DE HOGARES LOCALIZADOS EN ZONAS DE ALTO RIESGO NO MITIGABLE ID:2014-Q03-01019, LOCALIDAD:19 CIUDAD BOLÍVAR, UPZ:66 SAN FRANCISCO, SECTOR:LIMAS</v>
          </cell>
          <cell r="R2906">
            <v>2437476</v>
          </cell>
          <cell r="S2906">
            <v>0</v>
          </cell>
          <cell r="T2906">
            <v>0</v>
          </cell>
          <cell r="U2906">
            <v>2437476</v>
          </cell>
          <cell r="V2906">
            <v>406246</v>
          </cell>
        </row>
        <row r="2907">
          <cell r="J2907">
            <v>2631</v>
          </cell>
          <cell r="K2907">
            <v>43326</v>
          </cell>
          <cell r="L2907" t="str">
            <v>JOHANA KARIN DURAN CLAVIJO</v>
          </cell>
          <cell r="M2907">
            <v>31</v>
          </cell>
          <cell r="N2907" t="str">
            <v>RESOLUCION</v>
          </cell>
          <cell r="O2907">
            <v>2981</v>
          </cell>
          <cell r="P2907">
            <v>43326</v>
          </cell>
          <cell r="Q2907" t="str">
            <v>AYUDA TEMPORAL A LAS FAMILIAS DE VARIAS LOCALIDADES, PARA RELOCALIZACIÓN DE HOGARES LOCALIZADOS EN ZONAS DE ALTO RIESGO NO MITIGABLE ID:2015-Q01-04312, LOCALIDAD:05 USME, UPZ:56 DANUBIO, SECTOR:HOYA DEL RAMO</v>
          </cell>
          <cell r="R2907">
            <v>2906220</v>
          </cell>
          <cell r="S2907">
            <v>0</v>
          </cell>
          <cell r="T2907">
            <v>0</v>
          </cell>
          <cell r="U2907">
            <v>2906220</v>
          </cell>
          <cell r="V2907">
            <v>484370</v>
          </cell>
        </row>
        <row r="2908">
          <cell r="J2908">
            <v>2632</v>
          </cell>
          <cell r="K2908">
            <v>43326</v>
          </cell>
          <cell r="L2908" t="str">
            <v>AURA ROSA BUITRAGO VARGAS</v>
          </cell>
          <cell r="M2908">
            <v>31</v>
          </cell>
          <cell r="N2908" t="str">
            <v>RESOLUCION</v>
          </cell>
          <cell r="O2908">
            <v>2979</v>
          </cell>
          <cell r="P2908">
            <v>43326</v>
          </cell>
          <cell r="Q2908" t="str">
            <v>AYUDA TEMPORAL A LAS FAMILIAS DE VARIAS LOCALIDADES, PARA RELOCALIZACIÓN DE HOGARES LOCALIZADOS EN ZONAS DE ALTO RIESGO NO MITIGABLE ID:2018-Q18-15501, LOCALIDAD:19 CIUDAD BOLÍVAR, UPZ: 70 JERUSALÉN, SECTOR:ZANJÓN MURALLA</v>
          </cell>
          <cell r="R2908">
            <v>3421842</v>
          </cell>
          <cell r="S2908">
            <v>0</v>
          </cell>
          <cell r="T2908">
            <v>0</v>
          </cell>
          <cell r="U2908">
            <v>3421842</v>
          </cell>
          <cell r="V2908">
            <v>570307</v>
          </cell>
        </row>
        <row r="2909">
          <cell r="J2909">
            <v>2633</v>
          </cell>
          <cell r="K2909">
            <v>43326</v>
          </cell>
          <cell r="L2909" t="str">
            <v>LUIS ALFONSO BOLAÑOS SAAVEDRA</v>
          </cell>
          <cell r="M2909">
            <v>31</v>
          </cell>
          <cell r="N2909" t="str">
            <v>RESOLUCION</v>
          </cell>
          <cell r="O2909">
            <v>2977</v>
          </cell>
          <cell r="P2909">
            <v>43326</v>
          </cell>
          <cell r="Q2909" t="str">
            <v>AYUDA TEMPORAL A LAS FAMILIAS DE VARIAS LOCALIDADES, PARA RELOCALIZACIÓN DE HOGARES LOCALIZADOS EN ZONAS DE ALTO RIESGO NO MITIGABLE ID:2016-Q04-14917, LOCALIDAD:19 CIUDAD BOLÍVAR, UPZ:67 LUCERO, SECTOR:PEÑA COLORADA</v>
          </cell>
          <cell r="R2909">
            <v>4874952</v>
          </cell>
          <cell r="S2909">
            <v>0</v>
          </cell>
          <cell r="T2909">
            <v>0</v>
          </cell>
          <cell r="U2909">
            <v>4874952</v>
          </cell>
          <cell r="V2909">
            <v>609369</v>
          </cell>
        </row>
        <row r="2910">
          <cell r="J2910">
            <v>2634</v>
          </cell>
          <cell r="K2910">
            <v>43326</v>
          </cell>
          <cell r="L2910" t="str">
            <v>MARIA DANIELA MORTIGO BOCANEGRA</v>
          </cell>
          <cell r="M2910">
            <v>31</v>
          </cell>
          <cell r="N2910" t="str">
            <v>RESOLUCION</v>
          </cell>
          <cell r="O2910">
            <v>3079</v>
          </cell>
          <cell r="P2910">
            <v>43326</v>
          </cell>
          <cell r="Q2910" t="str">
            <v>AYUDA TEMPORAL A LAS FAMILIAS DE VARIAS LOCALIDADES, PARA RELOCALIZACIÓN DE HOGARES LOCALIZADOS EN ZONAS DE ALTO RIESGO NO MITIGABLE ID:2011-18-13337, LOCALIDAD:18 RAFAEL URIBE URIBE, UPZ:54 MARRUECOS</v>
          </cell>
          <cell r="R2910">
            <v>3659080</v>
          </cell>
          <cell r="S2910">
            <v>0</v>
          </cell>
          <cell r="T2910">
            <v>0</v>
          </cell>
          <cell r="U2910">
            <v>3659080</v>
          </cell>
          <cell r="V2910">
            <v>457385</v>
          </cell>
        </row>
        <row r="2911">
          <cell r="J2911">
            <v>2635</v>
          </cell>
          <cell r="K2911">
            <v>43326</v>
          </cell>
          <cell r="L2911" t="str">
            <v>ROSA ELVIRA PAEZ CAMARGO</v>
          </cell>
          <cell r="M2911">
            <v>31</v>
          </cell>
          <cell r="N2911" t="str">
            <v>RESOLUCION</v>
          </cell>
          <cell r="O2911">
            <v>3080</v>
          </cell>
          <cell r="P2911">
            <v>43326</v>
          </cell>
          <cell r="Q2911" t="str">
            <v>AYUDA TEMPORAL A LAS FAMILIAS DE VARIAS LOCALIDADES, PARA RELOCALIZACIÓN DE HOGARES LOCALIZADOS EN ZONAS DE ALTO RIESGO NO MITIGABLE ID:2015-D227-00042, LOCALIDAD:04 SAN CRISTÓBAL, UPZ:51 LOS LIBERTADORES, SECTOR:SANTA TERESITA</v>
          </cell>
          <cell r="R2911">
            <v>4027933</v>
          </cell>
          <cell r="S2911">
            <v>0</v>
          </cell>
          <cell r="T2911">
            <v>0</v>
          </cell>
          <cell r="U2911">
            <v>4027933</v>
          </cell>
          <cell r="V2911">
            <v>0</v>
          </cell>
        </row>
        <row r="2912">
          <cell r="J2912">
            <v>2636</v>
          </cell>
          <cell r="K2912">
            <v>43326</v>
          </cell>
          <cell r="L2912" t="str">
            <v>MARTHA LUCIA CAMPUZANO ARANGO</v>
          </cell>
          <cell r="M2912">
            <v>31</v>
          </cell>
          <cell r="N2912" t="str">
            <v>RESOLUCION</v>
          </cell>
          <cell r="O2912">
            <v>3081</v>
          </cell>
          <cell r="P2912">
            <v>43326</v>
          </cell>
          <cell r="Q2912" t="str">
            <v>AYUDA TEMPORAL A LAS FAMILIAS DE VARIAS LOCALIDADES, PARA RELOCALIZACIÓN DE HOGARES LOCALIZADOS EN ZONAS DE ALTO RIESGO NO MITIGABLE ID:2013000527, LOCALIDAD:19 CIUDAD BOLÍVAR, UPZ:67 LUCERO, SECTOR:BRAZO DERECHO DE LIMAS</v>
          </cell>
          <cell r="R2912">
            <v>3124968</v>
          </cell>
          <cell r="S2912">
            <v>0</v>
          </cell>
          <cell r="T2912">
            <v>0</v>
          </cell>
          <cell r="U2912">
            <v>3124968</v>
          </cell>
          <cell r="V2912">
            <v>390621</v>
          </cell>
        </row>
        <row r="2913">
          <cell r="J2913">
            <v>2637</v>
          </cell>
          <cell r="K2913">
            <v>43326</v>
          </cell>
          <cell r="L2913" t="str">
            <v>DAGOBERTO  CABRERA GASCA</v>
          </cell>
          <cell r="M2913">
            <v>31</v>
          </cell>
          <cell r="N2913" t="str">
            <v>RESOLUCION</v>
          </cell>
          <cell r="O2913">
            <v>3082</v>
          </cell>
          <cell r="P2913">
            <v>43326</v>
          </cell>
          <cell r="Q2913" t="str">
            <v>AYUDA TEMPORAL A LAS FAMILIAS DE VARIAS LOCALIDADES, PARA RELOCALIZACIÓN DE HOGARES LOCALIZADOS EN ZONAS DE ALTO RIESGO NO MITIGABLE ID:2013000454, LOCALIDAD:19 CIUDAD BOLÍVAR, UPZ:67 LUCERO, SECTOR:PEÑA COLORADA</v>
          </cell>
          <cell r="R2913">
            <v>2109355</v>
          </cell>
          <cell r="S2913">
            <v>0</v>
          </cell>
          <cell r="T2913">
            <v>0</v>
          </cell>
          <cell r="U2913">
            <v>2109355</v>
          </cell>
          <cell r="V2913">
            <v>421871</v>
          </cell>
        </row>
        <row r="2914">
          <cell r="J2914">
            <v>2639</v>
          </cell>
          <cell r="K2914">
            <v>43326</v>
          </cell>
          <cell r="L2914" t="str">
            <v>HERNAN  PULIDO GALINDO</v>
          </cell>
          <cell r="M2914">
            <v>31</v>
          </cell>
          <cell r="N2914" t="str">
            <v>RESOLUCION</v>
          </cell>
          <cell r="O2914">
            <v>3083</v>
          </cell>
          <cell r="P2914">
            <v>43326</v>
          </cell>
          <cell r="Q2914" t="str">
            <v>AYUDA TEMPORAL A LAS FAMILIAS DE VARIAS LOCALIDADES, PARA RELOCALIZACIÓN DE HOGARES LOCALIZADOS EN ZONAS DE ALTO RIESGO NO MITIGABLE ID:2015-Q03-03337, LOCALIDAD:19 CIUDAD BOLÍVAR, UPZ:67 LUCERO, SECTOR:LIMAS</v>
          </cell>
          <cell r="R2914">
            <v>2706270</v>
          </cell>
          <cell r="S2914">
            <v>0</v>
          </cell>
          <cell r="T2914">
            <v>0</v>
          </cell>
          <cell r="U2914">
            <v>2706270</v>
          </cell>
          <cell r="V2914">
            <v>451045</v>
          </cell>
        </row>
        <row r="2915">
          <cell r="J2915">
            <v>2641</v>
          </cell>
          <cell r="K2915">
            <v>43326</v>
          </cell>
          <cell r="L2915" t="str">
            <v>MARIA ISMELDA REMICIO TAPIA</v>
          </cell>
          <cell r="M2915">
            <v>31</v>
          </cell>
          <cell r="N2915" t="str">
            <v>RESOLUCION</v>
          </cell>
          <cell r="O2915">
            <v>3084</v>
          </cell>
          <cell r="P2915">
            <v>43326</v>
          </cell>
          <cell r="Q2915" t="str">
            <v>AYUDA TEMPORAL A LAS FAMILIAS DE VARIAS LOCALIDADES, PARA RELOCALIZACIÓN DE HOGARES LOCALIZADOS EN ZONAS DE ALTO RIESGO NO MITIGABLE ID:2011-19-12959, LOCALIDAD:19 CIUDAD BOLÍVAR, UPZ:68 EL TESORO, SECTOR:QUEBRADA TROMPETA</v>
          </cell>
          <cell r="R2915">
            <v>2439360</v>
          </cell>
          <cell r="S2915">
            <v>0</v>
          </cell>
          <cell r="T2915">
            <v>0</v>
          </cell>
          <cell r="U2915">
            <v>2439360</v>
          </cell>
          <cell r="V2915">
            <v>406560</v>
          </cell>
        </row>
        <row r="2916">
          <cell r="J2916">
            <v>2642</v>
          </cell>
          <cell r="K2916">
            <v>43326</v>
          </cell>
          <cell r="L2916" t="str">
            <v>JOSE ANGEL TORRES SAGANOME</v>
          </cell>
          <cell r="M2916">
            <v>31</v>
          </cell>
          <cell r="N2916" t="str">
            <v>RESOLUCION</v>
          </cell>
          <cell r="O2916">
            <v>3085</v>
          </cell>
          <cell r="P2916">
            <v>43326</v>
          </cell>
          <cell r="Q2916" t="str">
            <v>AYUDA TEMPORAL A LAS FAMILIAS DE VARIAS LOCALIDADES, PARA RELOCALIZACIÓN DE HOGARES LOCALIZADOS EN ZONAS DE ALTO RIESGO NO MITIGABLE ID:2014-OTR-01149, LOCALIDAD:11 SUBA, UPZ:71 TIBABUYES, SECTOR:GAVILANES</v>
          </cell>
          <cell r="R2916">
            <v>3445274</v>
          </cell>
          <cell r="S2916">
            <v>0</v>
          </cell>
          <cell r="T2916">
            <v>0</v>
          </cell>
          <cell r="U2916">
            <v>3445274</v>
          </cell>
          <cell r="V2916">
            <v>492182</v>
          </cell>
        </row>
        <row r="2917">
          <cell r="J2917">
            <v>2643</v>
          </cell>
          <cell r="K2917">
            <v>43326</v>
          </cell>
          <cell r="L2917" t="str">
            <v>NANCY NEY DUCUARA</v>
          </cell>
          <cell r="M2917">
            <v>31</v>
          </cell>
          <cell r="N2917" t="str">
            <v>RESOLUCION</v>
          </cell>
          <cell r="O2917">
            <v>3088</v>
          </cell>
          <cell r="P2917">
            <v>43326</v>
          </cell>
          <cell r="Q2917" t="str">
            <v>AYUDA TEMPORAL A LAS FAMILIAS DE VARIAS LOCALIDADES, PARA RELOCALIZACIÓN DE HOGARES LOCALIZADOS EN ZONAS DE ALTO RIESGO NO MITIGABLE ID:2011-19-13757, LOCALIDAD:19 CIUDAD BOLÍVAR, UPZ:67 LUCERO</v>
          </cell>
          <cell r="R2917">
            <v>3342144</v>
          </cell>
          <cell r="S2917">
            <v>0</v>
          </cell>
          <cell r="T2917">
            <v>0</v>
          </cell>
          <cell r="U2917">
            <v>3342144</v>
          </cell>
          <cell r="V2917">
            <v>417768</v>
          </cell>
        </row>
        <row r="2918">
          <cell r="J2918">
            <v>2657</v>
          </cell>
          <cell r="K2918">
            <v>43327</v>
          </cell>
          <cell r="L2918" t="str">
            <v>CARLOS ALBERTO ORTIZ</v>
          </cell>
          <cell r="M2918">
            <v>31</v>
          </cell>
          <cell r="N2918" t="str">
            <v>RESOLUCION</v>
          </cell>
          <cell r="O2918">
            <v>2958</v>
          </cell>
          <cell r="P2918">
            <v>43327</v>
          </cell>
          <cell r="Q2918" t="str">
            <v>AYUDA TEMPORAL A LAS FAMILIAS DE VARIAS LOCALIDADES, PARA LA RELOCALIZACIÓN DE HOGARES LOCALIZADOS EN ZONAS DE ALTO RIESGO NO MITIGABLE ID: 2012-ALES-91, LOCALIDAD: 19 CIUDAD BOLIVAR,UPZ: 69 ISMAEL PERDOMO</v>
          </cell>
          <cell r="R2918">
            <v>4218710</v>
          </cell>
          <cell r="S2918">
            <v>0</v>
          </cell>
          <cell r="T2918">
            <v>0</v>
          </cell>
          <cell r="U2918">
            <v>4218710</v>
          </cell>
          <cell r="V2918">
            <v>421871</v>
          </cell>
        </row>
        <row r="2919">
          <cell r="J2919">
            <v>2658</v>
          </cell>
          <cell r="K2919">
            <v>43327</v>
          </cell>
          <cell r="L2919" t="str">
            <v>MERCEDES  CASTAÑEDA CARDENAS</v>
          </cell>
          <cell r="M2919">
            <v>31</v>
          </cell>
          <cell r="N2919" t="str">
            <v>RESOLUCION</v>
          </cell>
          <cell r="O2919">
            <v>3075</v>
          </cell>
          <cell r="P2919">
            <v>43327</v>
          </cell>
          <cell r="Q2919" t="str">
            <v>AYUDA TEMPORAL A LAS FAMILIAS DE VARIAS LOCALIDADES, PARA LA RELOCALIZACIÓN DE HOGARES LOCALIZADOS EN ZONAS DE ALTO RIESGO NO MITIGABLE ID:2012-3-14493, LOCALIDAD:03 SANTA FE, UPZ:96 LOURDES</v>
          </cell>
          <cell r="R2919">
            <v>2531226</v>
          </cell>
          <cell r="S2919">
            <v>0</v>
          </cell>
          <cell r="T2919">
            <v>0</v>
          </cell>
          <cell r="U2919">
            <v>2531226</v>
          </cell>
          <cell r="V2919">
            <v>421871</v>
          </cell>
        </row>
        <row r="2920">
          <cell r="J2920">
            <v>2668</v>
          </cell>
          <cell r="K2920">
            <v>43328</v>
          </cell>
          <cell r="L2920" t="str">
            <v>SANDRA MILENA LESMES RODRIGUEZ</v>
          </cell>
          <cell r="M2920">
            <v>31</v>
          </cell>
          <cell r="N2920" t="str">
            <v>RESOLUCION</v>
          </cell>
          <cell r="O2920">
            <v>3121</v>
          </cell>
          <cell r="P2920">
            <v>43328</v>
          </cell>
          <cell r="Q2920" t="str">
            <v>AYUDA TEMPORAL A LAS FAMILIAS DE VARIAS LOCALIDADES, PARA RELOCALIZACIÓN DE HOGARES LOCALIZADOS EN ZONAS DE ALTO RIESGO NO MITIGABLE ID:2011-19-12628, LOCALIDAD:19 CIUDAD BOLÍVAR, UPZ:68 EL TESORO, SECTOR:OLA INVERNAL 2010 FOPAE</v>
          </cell>
          <cell r="R2920">
            <v>2845920</v>
          </cell>
          <cell r="S2920">
            <v>0</v>
          </cell>
          <cell r="T2920">
            <v>0</v>
          </cell>
          <cell r="U2920">
            <v>2845920</v>
          </cell>
          <cell r="V2920">
            <v>0</v>
          </cell>
        </row>
        <row r="2921">
          <cell r="J2921">
            <v>2669</v>
          </cell>
          <cell r="K2921">
            <v>43328</v>
          </cell>
          <cell r="L2921" t="str">
            <v>YONY JAVIER CARO LEMUS</v>
          </cell>
          <cell r="M2921">
            <v>31</v>
          </cell>
          <cell r="N2921" t="str">
            <v>RESOLUCION</v>
          </cell>
          <cell r="O2921">
            <v>3130</v>
          </cell>
          <cell r="P2921">
            <v>43328</v>
          </cell>
          <cell r="Q2921" t="str">
            <v>AYUDA TEMPORAL A LAS FAMILIAS DE VARIAS LOCALIDADES, PARA RELOCALIZACIÓN DE HOGARES LOCALIZADOS EN ZONAS DE ALTO RIESGO NO MITIGABLE ID:2011-4-13533, LOCALIDAD:04 SAN CRISTÓBAL, UPZ:50 LA GLORIA</v>
          </cell>
          <cell r="R2921">
            <v>2783868</v>
          </cell>
          <cell r="S2921">
            <v>0</v>
          </cell>
          <cell r="T2921">
            <v>0</v>
          </cell>
          <cell r="U2921">
            <v>2783868</v>
          </cell>
          <cell r="V2921">
            <v>0</v>
          </cell>
        </row>
        <row r="2922">
          <cell r="J2922">
            <v>2679</v>
          </cell>
          <cell r="K2922">
            <v>43329</v>
          </cell>
          <cell r="L2922" t="str">
            <v>ROMELIO  RODRIGUEZ RODRIGUEZ</v>
          </cell>
          <cell r="M2922">
            <v>31</v>
          </cell>
          <cell r="N2922" t="str">
            <v>RESOLUCION</v>
          </cell>
          <cell r="O2922">
            <v>3150</v>
          </cell>
          <cell r="P2922">
            <v>43329</v>
          </cell>
          <cell r="Q2922" t="str">
            <v>adquisición predial por Dto. 511 de 2010.LOCALIDAD:CIUDAD BOLIVAR; BARRIO:VILLA GLORIA ID: 2014-Q21-00936</v>
          </cell>
          <cell r="R2922">
            <v>45084240</v>
          </cell>
          <cell r="S2922">
            <v>0</v>
          </cell>
          <cell r="T2922">
            <v>0</v>
          </cell>
          <cell r="U2922">
            <v>45084240</v>
          </cell>
          <cell r="V2922">
            <v>0</v>
          </cell>
        </row>
        <row r="2923">
          <cell r="J2923">
            <v>2695</v>
          </cell>
          <cell r="K2923">
            <v>43334</v>
          </cell>
          <cell r="L2923" t="str">
            <v>JOSE PASCUAL RISCANEVO</v>
          </cell>
          <cell r="M2923">
            <v>31</v>
          </cell>
          <cell r="N2923" t="str">
            <v>RESOLUCION</v>
          </cell>
          <cell r="O2923">
            <v>3151</v>
          </cell>
          <cell r="P2923">
            <v>43334</v>
          </cell>
          <cell r="Q2923" t="str">
            <v>adquisición predial por Dto. 511 de 2010.LOCALIDAD:SAN CRISTOBAL; BARRIO:VILLA DEL CERRO;ID: 2015-Q24-04224</v>
          </cell>
          <cell r="R2923">
            <v>65332300</v>
          </cell>
          <cell r="S2923">
            <v>0</v>
          </cell>
          <cell r="T2923">
            <v>0</v>
          </cell>
          <cell r="U2923">
            <v>65332300</v>
          </cell>
          <cell r="V2923">
            <v>0</v>
          </cell>
        </row>
        <row r="2924">
          <cell r="J2924">
            <v>2696</v>
          </cell>
          <cell r="K2924">
            <v>43334</v>
          </cell>
          <cell r="L2924" t="str">
            <v>MARIA MERCEDES PEDRAZA CASTELLANOS</v>
          </cell>
          <cell r="M2924">
            <v>31</v>
          </cell>
          <cell r="N2924" t="str">
            <v>RESOLUCION</v>
          </cell>
          <cell r="O2924">
            <v>3148</v>
          </cell>
          <cell r="P2924">
            <v>43334</v>
          </cell>
          <cell r="Q2924" t="str">
            <v>Adquisición predial Dto. 511 de 2010. LOCALIDAD: CIUDAD BOLIVAR; BARRIO: PARAISO QUIBA; ID: 2013-Q04-00281</v>
          </cell>
          <cell r="R2924">
            <v>18216000</v>
          </cell>
          <cell r="S2924">
            <v>0</v>
          </cell>
          <cell r="T2924">
            <v>0</v>
          </cell>
          <cell r="U2924">
            <v>18216000</v>
          </cell>
          <cell r="V2924">
            <v>0</v>
          </cell>
        </row>
        <row r="2925">
          <cell r="J2925">
            <v>2704</v>
          </cell>
          <cell r="K2925">
            <v>43334</v>
          </cell>
          <cell r="L2925" t="str">
            <v>JORGE HUMBERTO SILVA RAMIREZ</v>
          </cell>
          <cell r="M2925">
            <v>31</v>
          </cell>
          <cell r="N2925" t="str">
            <v>RESOLUCION</v>
          </cell>
          <cell r="O2925">
            <v>3149</v>
          </cell>
          <cell r="P2925">
            <v>43334</v>
          </cell>
          <cell r="Q2925" t="str">
            <v>VUR DE LA ACTUAL VIGENCIA.DTO 255 DE 2013. LOCALIDAD: CIUDAD BOLIVAR; BARRIO: LAS BRISAS; ID: 2015-Q18-04433</v>
          </cell>
          <cell r="R2925">
            <v>39062100</v>
          </cell>
          <cell r="S2925">
            <v>0</v>
          </cell>
          <cell r="T2925">
            <v>0</v>
          </cell>
          <cell r="U2925">
            <v>39062100</v>
          </cell>
          <cell r="V2925">
            <v>0</v>
          </cell>
        </row>
        <row r="2926">
          <cell r="J2926">
            <v>2738</v>
          </cell>
          <cell r="K2926">
            <v>43336</v>
          </cell>
          <cell r="L2926" t="str">
            <v>MARIA INES URIBE</v>
          </cell>
          <cell r="M2926">
            <v>31</v>
          </cell>
          <cell r="N2926" t="str">
            <v>RESOLUCION</v>
          </cell>
          <cell r="O2926">
            <v>3172</v>
          </cell>
          <cell r="P2926">
            <v>43336</v>
          </cell>
          <cell r="Q2926" t="str">
            <v>VUR de la actual vigencia. La asignación se realiza para dar cumplimiento al fallo de acción popular 2002-00152- Suba Gavilanes. Dto 255 de 2013. LOCALIDAD: SUBA GAVILANES; BARRIO: BILBAO; ID: 2018-11-15243</v>
          </cell>
          <cell r="R2926">
            <v>39062100</v>
          </cell>
          <cell r="S2926">
            <v>0</v>
          </cell>
          <cell r="T2926">
            <v>0</v>
          </cell>
          <cell r="U2926">
            <v>39062100</v>
          </cell>
          <cell r="V2926">
            <v>0</v>
          </cell>
        </row>
        <row r="2927">
          <cell r="J2927">
            <v>2757</v>
          </cell>
          <cell r="K2927">
            <v>43339</v>
          </cell>
          <cell r="L2927" t="str">
            <v>NELLY MARLEN PADILLA ACOSTA</v>
          </cell>
          <cell r="M2927">
            <v>31</v>
          </cell>
          <cell r="N2927" t="str">
            <v>RESOLUCION</v>
          </cell>
          <cell r="O2927">
            <v>3207</v>
          </cell>
          <cell r="P2927">
            <v>43339</v>
          </cell>
          <cell r="Q2927" t="str">
            <v>AYUDA TEMPORAL A LAS FAMILIAS DE VARIAS LOCALIDADES, PARA RELOCALIZACIÓN DE HOGARES LOCALIZADOS EN ZONAS DE ALTO RIESGO NO MITIGABLE ID:2015-D227-00061, LOCALIDAD:04 SAN CRISTÓBAL, UPZ:51 LOS LIBERTADORES, SECTOR:SANTA TERESITA</v>
          </cell>
          <cell r="R2927">
            <v>2977345</v>
          </cell>
          <cell r="S2927">
            <v>2977345</v>
          </cell>
          <cell r="T2927">
            <v>0</v>
          </cell>
          <cell r="U2927">
            <v>0</v>
          </cell>
          <cell r="V2927">
            <v>0</v>
          </cell>
        </row>
        <row r="2928">
          <cell r="J2928">
            <v>2758</v>
          </cell>
          <cell r="K2928">
            <v>43339</v>
          </cell>
          <cell r="L2928" t="str">
            <v>ANA RUBIELA CASTRO TOVAR</v>
          </cell>
          <cell r="M2928">
            <v>31</v>
          </cell>
          <cell r="N2928" t="str">
            <v>RESOLUCION</v>
          </cell>
          <cell r="O2928">
            <v>3206</v>
          </cell>
          <cell r="P2928">
            <v>43339</v>
          </cell>
          <cell r="Q2928" t="str">
            <v>AAYUDA TEMPORAL A LAS FAMILIAS DE VARIAS LOCALIDADES, PARA RELOCALIZACIÓN DE HOGARES LOCALIZADOS EN ZONAS DE ALTO RIESGO NO MITIGABLE ID:2007-19-9566, LOCALIDAD:19 CIUDAD BOLÍVAR, UPZ:69 ISMAEL PERDOMO</v>
          </cell>
          <cell r="R2928">
            <v>2158990</v>
          </cell>
          <cell r="S2928">
            <v>0</v>
          </cell>
          <cell r="T2928">
            <v>0</v>
          </cell>
          <cell r="U2928">
            <v>2158990</v>
          </cell>
          <cell r="V2928">
            <v>0</v>
          </cell>
        </row>
        <row r="2929">
          <cell r="J2929">
            <v>2759</v>
          </cell>
          <cell r="K2929">
            <v>43339</v>
          </cell>
          <cell r="L2929" t="str">
            <v>NELLY MARLEN PADILLA ACOSTA</v>
          </cell>
          <cell r="M2929">
            <v>31</v>
          </cell>
          <cell r="N2929" t="str">
            <v>RESOLUCION</v>
          </cell>
          <cell r="O2929">
            <v>3207</v>
          </cell>
          <cell r="P2929">
            <v>43339</v>
          </cell>
          <cell r="Q2929" t="str">
            <v>AYUDA TEMPORAL A LAS FAMILIAS DE VARIAS LOCALIDADES, PARA RELOCALIZACIÓN DE HOGARES LOCALIZADOS EN ZONAS DE ALTO RIESGO NO MITIGABLE ID:2015-D227-00061, LOCALIDAD:04 SAN CRISTÓBAL, UPZ:51 LOS LIBERTADORES, SECTOR:SANTA TERESITA</v>
          </cell>
          <cell r="R2929">
            <v>2977345</v>
          </cell>
          <cell r="S2929">
            <v>0</v>
          </cell>
          <cell r="T2929">
            <v>0</v>
          </cell>
          <cell r="U2929">
            <v>2977345</v>
          </cell>
          <cell r="V2929">
            <v>0</v>
          </cell>
        </row>
        <row r="2930">
          <cell r="J2930">
            <v>2760</v>
          </cell>
          <cell r="K2930">
            <v>43340</v>
          </cell>
          <cell r="L2930" t="str">
            <v>JOSE  GUISA NARANJO</v>
          </cell>
          <cell r="M2930">
            <v>31</v>
          </cell>
          <cell r="N2930" t="str">
            <v>RESOLUCION</v>
          </cell>
          <cell r="O2930">
            <v>3203</v>
          </cell>
          <cell r="P2930">
            <v>43340</v>
          </cell>
          <cell r="Q2930" t="str">
            <v>AYUDA TEMPORAL A LAS FAMILIAS DE VARIAS LOCALIDADES, PARA RELOCALIZACIÓN DE HOGARES LOCALIZADOS EN ZONAS DE ALTO RIESGO NO MITIGABLE ID:2012-18-14374, LOCALIDAD:18 RAFAEL URIBE URIBE, UPZ:55 DIANA TURBAY</v>
          </cell>
          <cell r="R2930">
            <v>3374968</v>
          </cell>
          <cell r="S2930">
            <v>0</v>
          </cell>
          <cell r="T2930">
            <v>0</v>
          </cell>
          <cell r="U2930">
            <v>3374968</v>
          </cell>
          <cell r="V2930">
            <v>0</v>
          </cell>
        </row>
        <row r="2931">
          <cell r="J2931">
            <v>2761</v>
          </cell>
          <cell r="K2931">
            <v>43340</v>
          </cell>
          <cell r="L2931" t="str">
            <v>VICTORIA EUGENIA BENITEZ BASTIDAS</v>
          </cell>
          <cell r="M2931">
            <v>31</v>
          </cell>
          <cell r="N2931" t="str">
            <v>RESOLUCION</v>
          </cell>
          <cell r="O2931">
            <v>3202</v>
          </cell>
          <cell r="P2931">
            <v>43340</v>
          </cell>
          <cell r="Q2931" t="str">
            <v>AYUDA TEMPORAL A LAS FAMILIAS DE VARIAS LOCALIDADES, PARA RELOCALIZACIÓN DE HOGARES LOCALIZADOS EN ZONAS DE ALTO RIESGO NO MITIGABLE ID:2012-19-14380, LOCALIDAD:19 CIUDAD BOLÍVAR, UPZ:68 EL TESORO</v>
          </cell>
          <cell r="R2931">
            <v>2642105</v>
          </cell>
          <cell r="S2931">
            <v>0</v>
          </cell>
          <cell r="T2931">
            <v>0</v>
          </cell>
          <cell r="U2931">
            <v>2642105</v>
          </cell>
          <cell r="V2931">
            <v>0</v>
          </cell>
        </row>
        <row r="2932">
          <cell r="J2932">
            <v>2762</v>
          </cell>
          <cell r="K2932">
            <v>43340</v>
          </cell>
          <cell r="L2932" t="str">
            <v>YEIMY ANDREA CHAUX VARGAS</v>
          </cell>
          <cell r="M2932">
            <v>31</v>
          </cell>
          <cell r="N2932" t="str">
            <v>RESOLUCION</v>
          </cell>
          <cell r="O2932">
            <v>3204</v>
          </cell>
          <cell r="P2932">
            <v>43340</v>
          </cell>
          <cell r="Q2932" t="str">
            <v>AYUDA TEMPORAL A LAS FAMILIAS DE VARIAS LOCALIDADES, PARA RELOCALIZACIÓN DE HOGARES LOCALIZADOS EN ZONAS DE ALTO RIESGO NO MITIGABLE ID:2016-08-00034, LOCALIDAD:08 KENNEDY, UPZ:45 CARVAJAL, SECTOR:GUADALUPE RIO TUNJUELO</v>
          </cell>
          <cell r="R2932">
            <v>2851535</v>
          </cell>
          <cell r="S2932">
            <v>0</v>
          </cell>
          <cell r="T2932">
            <v>0</v>
          </cell>
          <cell r="U2932">
            <v>2851535</v>
          </cell>
          <cell r="V2932">
            <v>0</v>
          </cell>
        </row>
        <row r="2933">
          <cell r="J2933">
            <v>2763</v>
          </cell>
          <cell r="K2933">
            <v>43340</v>
          </cell>
          <cell r="L2933" t="str">
            <v>MARGARITA  VALLEJO RINCON</v>
          </cell>
          <cell r="M2933">
            <v>31</v>
          </cell>
          <cell r="N2933" t="str">
            <v>RESOLUCION</v>
          </cell>
          <cell r="O2933">
            <v>3205</v>
          </cell>
          <cell r="P2933">
            <v>43340</v>
          </cell>
          <cell r="Q2933" t="str">
            <v>AYUDA TEMPORAL A LAS FAMILIAS DE VARIAS LOCALIDADES, PARA RELOCALIZACIÓN DE HOGARES LOCALIZADOS EN ZONAS DE ALTO RIESGO NO MITIGABLE ID:2015-Q03-03378, LOCALIDAD:19 CIUDAD BOLÍVAR, UPZ:67 LUCERO, SECTOR:LIMAS</v>
          </cell>
          <cell r="R2933">
            <v>2843722</v>
          </cell>
          <cell r="S2933">
            <v>0</v>
          </cell>
          <cell r="T2933">
            <v>0</v>
          </cell>
          <cell r="U2933">
            <v>2843722</v>
          </cell>
          <cell r="V2933">
            <v>0</v>
          </cell>
        </row>
        <row r="2934">
          <cell r="J2934">
            <v>1717</v>
          </cell>
          <cell r="K2934">
            <v>43195</v>
          </cell>
          <cell r="L2934" t="str">
            <v>POSITIVA COMPAÑIA DE SEGUROS SA</v>
          </cell>
          <cell r="M2934">
            <v>30</v>
          </cell>
          <cell r="N2934" t="str">
            <v>ORDEN DE PRESTACION DE SERVICIOS</v>
          </cell>
          <cell r="O2934">
            <v>4</v>
          </cell>
          <cell r="P2934">
            <v>43195</v>
          </cell>
          <cell r="Q2934" t="str">
            <v>PAGO DE COTIZACIÓN AL SISTEMA GENERAL DE RIESGOS LABORALES DE LAS PERSONAS VINCULADAS A TRAVÉS DE UN CONTRATO DE PRESTACIÓN DE SERVICIOS CON LA CAJA DE LA VIVIENDA POPULAR QUE LABORAN EN ACTIVIDADES DE ALTO RIESGO, SEGÚN EN EL ARTÍCULO 13 DEL DECRETO 723 DE 2013. MES DE ABRIL DE 2018</v>
          </cell>
          <cell r="R2934">
            <v>2660200</v>
          </cell>
          <cell r="S2934">
            <v>2660200</v>
          </cell>
          <cell r="T2934">
            <v>0</v>
          </cell>
          <cell r="U2934">
            <v>0</v>
          </cell>
          <cell r="V2934">
            <v>0</v>
          </cell>
        </row>
        <row r="2935">
          <cell r="J2935">
            <v>1028</v>
          </cell>
          <cell r="K2935">
            <v>43143</v>
          </cell>
          <cell r="L2935" t="str">
            <v>SUPERINTENDENCIA DE NOTARIADO Y REGISTRO</v>
          </cell>
          <cell r="M2935">
            <v>31</v>
          </cell>
          <cell r="N2935" t="str">
            <v>RESOLUCION</v>
          </cell>
          <cell r="O2935">
            <v>1127</v>
          </cell>
          <cell r="P2935">
            <v>43143</v>
          </cell>
          <cell r="Q2935" t="str">
            <v>Sufragar los gastos que impliquen la trasferencia de dominio de los bienes fiscales propiedad de la Caja de la Vivienda Popular por concepto de registro y beneficencia, conforme a lo establecido por el Acuerdo N.º 07 de 02 de Junio de 2017 de la Junta Directiva de la Caja e la Vivienda Popular.</v>
          </cell>
          <cell r="R2935">
            <v>366900</v>
          </cell>
          <cell r="S2935">
            <v>0</v>
          </cell>
          <cell r="T2935">
            <v>0</v>
          </cell>
          <cell r="U2935">
            <v>366900</v>
          </cell>
          <cell r="V2935">
            <v>366900</v>
          </cell>
        </row>
        <row r="2936">
          <cell r="J2936">
            <v>1029</v>
          </cell>
          <cell r="K2936">
            <v>43143</v>
          </cell>
          <cell r="L2936" t="str">
            <v>DEPARTAMENTO DE CUNDINAMARCA - TESORERIA GENERAL</v>
          </cell>
          <cell r="M2936">
            <v>31</v>
          </cell>
          <cell r="N2936" t="str">
            <v>RESOLUCION</v>
          </cell>
          <cell r="O2936">
            <v>1127</v>
          </cell>
          <cell r="P2936">
            <v>43143</v>
          </cell>
          <cell r="Q2936" t="str">
            <v>Sufragar los gastos que impliquen la trasferencia de dominio de los bienes fiscales propiedad de la Caja de la Vivienda Popular por concepto de registro y beneficencia, conforme a lo establecido por el Acuerdo N.º 07 de 02 de Junio de 2017 de la Junta Directiva de la Caja e la Vivienda Popular.</v>
          </cell>
          <cell r="R2936">
            <v>169300</v>
          </cell>
          <cell r="S2936">
            <v>0</v>
          </cell>
          <cell r="T2936">
            <v>0</v>
          </cell>
          <cell r="U2936">
            <v>169300</v>
          </cell>
          <cell r="V2936">
            <v>169300</v>
          </cell>
        </row>
        <row r="2937">
          <cell r="J2937">
            <v>1569</v>
          </cell>
          <cell r="K2937">
            <v>43173</v>
          </cell>
          <cell r="L2937" t="str">
            <v>HENRY EUGENIO LIZARAZO GONZALEZ</v>
          </cell>
          <cell r="M2937">
            <v>31</v>
          </cell>
          <cell r="N2937" t="str">
            <v>RESOLUCION</v>
          </cell>
          <cell r="O2937">
            <v>1526</v>
          </cell>
          <cell r="P2937">
            <v>43173</v>
          </cell>
          <cell r="Q2937" t="str">
            <v>SOLICITUD DE COPIAS DE ESCRITURA PÚBLICA 1453 DE 2017, ANTE LA NOTARIA 74 DEL CIRCULO DE BOGOTÁ, PARA FINIQUITAR EL PROCESO DE TRANSFERENCIA A TÍTULO GRATUITO QUE LA CAJA DE LA VIVIENDA POPULAR ADELANTA FRENTE ALGUNOS PREDIOS UBICADOS EN LA LOCALIDAD DE SAN CRISTÓBAL SUR, CIUDADELA SANTA ROSA, A NOMBRE DEL DEPARTAMENTO ADMINISTRATIVO DE LA DEFENSORÍA DEL ESPACIO PÚBLICO - DADEP.</v>
          </cell>
          <cell r="R2937">
            <v>300000</v>
          </cell>
          <cell r="S2937">
            <v>0</v>
          </cell>
          <cell r="T2937">
            <v>0</v>
          </cell>
          <cell r="U2937">
            <v>300000</v>
          </cell>
          <cell r="V2937">
            <v>300000</v>
          </cell>
        </row>
        <row r="2938">
          <cell r="J2938">
            <v>1708</v>
          </cell>
          <cell r="K2938">
            <v>43195</v>
          </cell>
          <cell r="L2938" t="str">
            <v>POSITIVA COMPAÑIA DE SEGUROS SA</v>
          </cell>
          <cell r="M2938">
            <v>30</v>
          </cell>
          <cell r="N2938" t="str">
            <v>ORDEN DE PRESTACION DE SERVICIOS</v>
          </cell>
          <cell r="O2938">
            <v>4</v>
          </cell>
          <cell r="P2938">
            <v>43195</v>
          </cell>
          <cell r="Q2938" t="str">
            <v>Pago de cotización al sistema general de riesgos laborales de las personas vinculadas a través de un contrato de prestación de servicios con la Caja de la Vivienda Popular que laboran en actividades de alto riesgo, según en el artículo 13 del decreto 723 de 2013.</v>
          </cell>
          <cell r="R2938">
            <v>1161100</v>
          </cell>
          <cell r="S2938">
            <v>1161100</v>
          </cell>
          <cell r="T2938">
            <v>0</v>
          </cell>
          <cell r="U2938">
            <v>0</v>
          </cell>
          <cell r="V2938">
            <v>0</v>
          </cell>
        </row>
        <row r="2939">
          <cell r="J2939">
            <v>1806</v>
          </cell>
          <cell r="K2939">
            <v>43207</v>
          </cell>
          <cell r="L2939" t="str">
            <v>HECTOR CARLOS FERNANDO HERRERA REYES</v>
          </cell>
          <cell r="M2939">
            <v>31</v>
          </cell>
          <cell r="N2939" t="str">
            <v>RESOLUCION</v>
          </cell>
          <cell r="O2939">
            <v>1868</v>
          </cell>
          <cell r="P2939">
            <v>43207</v>
          </cell>
          <cell r="Q2939" t="str">
            <v>Sufragar los costos de liquidación de expensas ante Curaduría Urbana, impuesto de delineación urbana, copias de los planos y demás trámites requeridos ante las Curadurías Urbanas Nos: 1, 3 y 5 de Bogotá, para el proceso de licenciamiento de Demolición y Cerramiento de las Viviendas Transitorias de propiedad de la CVP localizadas en el barrio Los Laches.</v>
          </cell>
          <cell r="R2939">
            <v>1500000</v>
          </cell>
          <cell r="S2939">
            <v>0</v>
          </cell>
          <cell r="T2939">
            <v>0</v>
          </cell>
          <cell r="U2939">
            <v>1500000</v>
          </cell>
          <cell r="V2939">
            <v>1500000</v>
          </cell>
        </row>
        <row r="2940">
          <cell r="J2940">
            <v>1840</v>
          </cell>
          <cell r="K2940">
            <v>43214</v>
          </cell>
          <cell r="L2940" t="str">
            <v>HENRY EUGENIO LIZARAZO GONZALEZ</v>
          </cell>
          <cell r="M2940">
            <v>31</v>
          </cell>
          <cell r="N2940" t="str">
            <v>RESOLUCION</v>
          </cell>
          <cell r="O2940">
            <v>1935</v>
          </cell>
          <cell r="P2940">
            <v>43214</v>
          </cell>
          <cell r="Q2940" t="str">
            <v>Sufragar los costos por concepto de gastos notariales e impuesto de registro en el proceso de escritura de desenglobe y cesión al DADEP del lote denominado equipamiento de la Urbanización Arboleda Santa Teresita ante la Notaría 34 del Círculo de Bogotá D.C.</v>
          </cell>
          <cell r="R2940">
            <v>1047000</v>
          </cell>
          <cell r="S2940">
            <v>0</v>
          </cell>
          <cell r="T2940">
            <v>0</v>
          </cell>
          <cell r="U2940">
            <v>1047000</v>
          </cell>
          <cell r="V2940">
            <v>1047000</v>
          </cell>
        </row>
        <row r="2941">
          <cell r="J2941">
            <v>1863</v>
          </cell>
          <cell r="K2941">
            <v>43227</v>
          </cell>
          <cell r="L2941" t="str">
            <v>HENRY EUGENIO LIZARAZO GONZALEZ</v>
          </cell>
          <cell r="M2941">
            <v>31</v>
          </cell>
          <cell r="N2941" t="str">
            <v>RESOLUCION</v>
          </cell>
          <cell r="O2941">
            <v>1932</v>
          </cell>
          <cell r="P2941">
            <v>43227</v>
          </cell>
          <cell r="Q2941" t="str">
            <v>Sufragar los costos por concepto de gastos notariales en el proceso de la escritura de de transferencia al DADEP de las zonas de cesion de Atahualpa ante la Notaría 24 del Círculo de Bogotá D.C</v>
          </cell>
          <cell r="R2941">
            <v>119276</v>
          </cell>
          <cell r="S2941">
            <v>0</v>
          </cell>
          <cell r="T2941">
            <v>0</v>
          </cell>
          <cell r="U2941">
            <v>119276</v>
          </cell>
          <cell r="V2941">
            <v>119276</v>
          </cell>
        </row>
        <row r="2942">
          <cell r="J2942">
            <v>1895</v>
          </cell>
          <cell r="K2942">
            <v>43230</v>
          </cell>
          <cell r="L2942" t="str">
            <v>SUPERINTENDENCIA DE NOTARIADO Y REGISTRO</v>
          </cell>
          <cell r="M2942">
            <v>31</v>
          </cell>
          <cell r="N2942" t="str">
            <v>RESOLUCION</v>
          </cell>
          <cell r="O2942">
            <v>2059</v>
          </cell>
          <cell r="P2942">
            <v>43230</v>
          </cell>
          <cell r="Q2942" t="str">
            <v>Sufragar los gastos que impliquen la trasferencia de dominio de los bienes fiscales propiedad de la Caja de la Vivienda Popular por concepto de registro y beneficencia, conforme a lo establecido por el Acuerdo N.º 07 de 02 de Junio de 2017 de la Junta Directiva de la Caja e la Vivienda Popular.</v>
          </cell>
          <cell r="R2942">
            <v>1407900</v>
          </cell>
          <cell r="S2942">
            <v>0</v>
          </cell>
          <cell r="T2942">
            <v>0</v>
          </cell>
          <cell r="U2942">
            <v>1407900</v>
          </cell>
          <cell r="V2942">
            <v>1407900</v>
          </cell>
        </row>
        <row r="2943">
          <cell r="J2943">
            <v>1896</v>
          </cell>
          <cell r="K2943">
            <v>43230</v>
          </cell>
          <cell r="L2943" t="str">
            <v>DEPARTAMENTO DE CUNDINAMARCA - TESORERIA GENERAL</v>
          </cell>
          <cell r="M2943">
            <v>31</v>
          </cell>
          <cell r="N2943" t="str">
            <v>RESOLUCION</v>
          </cell>
          <cell r="O2943">
            <v>2059</v>
          </cell>
          <cell r="P2943">
            <v>43230</v>
          </cell>
          <cell r="Q2943" t="str">
            <v>Sufragar los gastos que impliquen la trasferencia de dominio de los bienes fiscales propiedad de la Caja de la Vivienda Popular por concepto de registro y beneficencia, conforme a lo establecido por el Acuerdo N.º 07 de 02 de Junio de 2017 de la Junta Directiva de la Caja e la Vivienda Popular.</v>
          </cell>
          <cell r="R2943">
            <v>596400</v>
          </cell>
          <cell r="S2943">
            <v>0</v>
          </cell>
          <cell r="T2943">
            <v>0</v>
          </cell>
          <cell r="U2943">
            <v>596400</v>
          </cell>
          <cell r="V2943">
            <v>596400</v>
          </cell>
        </row>
        <row r="2944">
          <cell r="J2944">
            <v>1924</v>
          </cell>
          <cell r="K2944">
            <v>43241</v>
          </cell>
          <cell r="L2944" t="str">
            <v>LEIDY PAOLA FLOREZ GALEANO</v>
          </cell>
          <cell r="M2944">
            <v>31</v>
          </cell>
          <cell r="N2944" t="str">
            <v>RESOLUCION</v>
          </cell>
          <cell r="O2944">
            <v>2095</v>
          </cell>
          <cell r="P2944">
            <v>43241</v>
          </cell>
          <cell r="Q2944" t="str">
            <v>Sufragar los costos de liquidación de expensas ante Curaduría Urbana, impuesto de delineación urbana, copias de los planos y demás trámites requeridos ante las Curadurías Urbanas Nos: 1, 3 y 5 de Bogotá, para el proceso de licenciamiento de Demolición y Cerramiento de las Viviendas Transitorias de propiedad de la CVP localizadas en el barrio Los Laches.</v>
          </cell>
          <cell r="R2944">
            <v>350000</v>
          </cell>
          <cell r="S2944">
            <v>0</v>
          </cell>
          <cell r="T2944">
            <v>0</v>
          </cell>
          <cell r="U2944">
            <v>350000</v>
          </cell>
          <cell r="V2944">
            <v>350000</v>
          </cell>
        </row>
        <row r="2945">
          <cell r="J2945">
            <v>1938</v>
          </cell>
          <cell r="K2945">
            <v>43242</v>
          </cell>
          <cell r="L2945" t="str">
            <v>YAIR JOSUE LIZARAZO CALDERON</v>
          </cell>
          <cell r="M2945">
            <v>31</v>
          </cell>
          <cell r="N2945" t="str">
            <v>RESOLUCION</v>
          </cell>
          <cell r="O2945">
            <v>2099</v>
          </cell>
          <cell r="P2945">
            <v>43242</v>
          </cell>
          <cell r="Q2945" t="str">
            <v>Sufragar los gastos que impliquen la trasferencia de dominio de los bienes fiscales propiedad de la Caja de la Vivienda Popular por concepto de registro y beneficencia, conforme a lo establecido por el Acuerdo N.º 07 de 02 de Junio de 2017 de la Junta Directiva de la Caja e la Vivienda Popular.</v>
          </cell>
          <cell r="R2945">
            <v>668000</v>
          </cell>
          <cell r="S2945">
            <v>0</v>
          </cell>
          <cell r="T2945">
            <v>0</v>
          </cell>
          <cell r="U2945">
            <v>668000</v>
          </cell>
          <cell r="V2945">
            <v>668000</v>
          </cell>
        </row>
        <row r="2946">
          <cell r="J2946">
            <v>2006</v>
          </cell>
          <cell r="K2946">
            <v>43258</v>
          </cell>
          <cell r="L2946" t="str">
            <v>HENRY EUGENIO LIZARAZO GONZALEZ</v>
          </cell>
          <cell r="M2946">
            <v>31</v>
          </cell>
          <cell r="N2946" t="str">
            <v>RESOLUCION</v>
          </cell>
          <cell r="O2946">
            <v>2186</v>
          </cell>
          <cell r="P2946">
            <v>43258</v>
          </cell>
          <cell r="Q2946" t="str">
            <v>Sufragar los costos por concepto de gastos notariales en el proceso de otorgamiento y autorización de la escritura aclaratoria y de ratificación de la EP No. 4364 de 2016, ante la Notaria 62 del circuito de Bogotá, a fin de realizar la transferencia al DADEP de la zona de cesión ubicada en el barrio Arborizadora Alta de la localidad de Ciudad Bolívar</v>
          </cell>
          <cell r="R2946">
            <v>95119</v>
          </cell>
          <cell r="S2946">
            <v>0</v>
          </cell>
          <cell r="T2946">
            <v>0</v>
          </cell>
          <cell r="U2946">
            <v>95119</v>
          </cell>
          <cell r="V2946">
            <v>95119</v>
          </cell>
        </row>
        <row r="2947">
          <cell r="J2947">
            <v>2015</v>
          </cell>
          <cell r="K2947">
            <v>43266</v>
          </cell>
          <cell r="L2947" t="str">
            <v>YAIR JOSUE LIZARAZO CALDERON</v>
          </cell>
          <cell r="M2947">
            <v>31</v>
          </cell>
          <cell r="N2947" t="str">
            <v>RESOLUCION</v>
          </cell>
          <cell r="O2947">
            <v>2258</v>
          </cell>
          <cell r="P2947">
            <v>43266</v>
          </cell>
          <cell r="Q2947" t="str">
            <v>Sufragar los gastos que se incurran para la radicación de la  demanda ante el Tribunal de Arbitramento, relacionada con el proceso arbitral que se adelantará por parte la CVP contra la sociedad comercial CONSTRUCCIONAR Y CIA LTDA, hoy DESARROLLOS INMOBILIARIOS ATAHUALPA II LTDA y la entonces Fiduciaria Tequendama, hoy Servitrust Sudameris, vocera del Patrimonio Autónomo Parques de Atahualpa.</v>
          </cell>
          <cell r="R2947">
            <v>1859356</v>
          </cell>
          <cell r="S2947">
            <v>0</v>
          </cell>
          <cell r="T2947">
            <v>0</v>
          </cell>
          <cell r="U2947">
            <v>1859356</v>
          </cell>
          <cell r="V2947">
            <v>1859356</v>
          </cell>
        </row>
        <row r="2948">
          <cell r="J2948">
            <v>2119</v>
          </cell>
          <cell r="K2948">
            <v>43273</v>
          </cell>
          <cell r="L2948" t="str">
            <v>SUPERINTENDENCIA DE NOTARIADO Y REGISTRO</v>
          </cell>
          <cell r="M2948">
            <v>31</v>
          </cell>
          <cell r="N2948" t="str">
            <v>RESOLUCION</v>
          </cell>
          <cell r="O2948">
            <v>2572</v>
          </cell>
          <cell r="P2948">
            <v>43273</v>
          </cell>
          <cell r="Q2948" t="str">
            <v>Sufragar los gastos que impliquen la trasferencia de dominio de los bienes fiscales propiedad de la Caja de la Vivienda Popular por concepto de registro y beneficencia, conforme a lo establecido por el Acuerdo N.º 07 de 02 de Junio de 2017 de la Junta Directiva de la Caja e la Vivienda Popular.</v>
          </cell>
          <cell r="R2948">
            <v>1106300</v>
          </cell>
          <cell r="S2948">
            <v>0</v>
          </cell>
          <cell r="T2948">
            <v>0</v>
          </cell>
          <cell r="U2948">
            <v>1106300</v>
          </cell>
          <cell r="V2948">
            <v>1106300</v>
          </cell>
        </row>
        <row r="2949">
          <cell r="J2949">
            <v>2120</v>
          </cell>
          <cell r="K2949">
            <v>43273</v>
          </cell>
          <cell r="L2949" t="str">
            <v>DEPARTAMENTO DE CUNDINAMARCA - TESORERIA GENERAL</v>
          </cell>
          <cell r="M2949">
            <v>31</v>
          </cell>
          <cell r="N2949" t="str">
            <v>RESOLUCION</v>
          </cell>
          <cell r="O2949">
            <v>2572</v>
          </cell>
          <cell r="P2949">
            <v>43273</v>
          </cell>
          <cell r="Q2949" t="str">
            <v>Sufragar los gastos que impliquen la trasferencia de dominio de los bienes fiscales propiedad de la Caja de la Vivienda Popular por concepto de registro y beneficencia, conforme a lo establecido por el Acuerdo N.º 07 de 02 de Junio de 2017 de la Junta Directiva de la Caja e la Vivienda Popular.</v>
          </cell>
          <cell r="R2949">
            <v>867800</v>
          </cell>
          <cell r="S2949">
            <v>0</v>
          </cell>
          <cell r="T2949">
            <v>0</v>
          </cell>
          <cell r="U2949">
            <v>867800</v>
          </cell>
          <cell r="V2949">
            <v>867800</v>
          </cell>
        </row>
        <row r="2950">
          <cell r="J2950">
            <v>2523</v>
          </cell>
          <cell r="K2950">
            <v>43305</v>
          </cell>
          <cell r="L2950" t="str">
            <v>YAIR JOSUE LIZARAZO CALDERON</v>
          </cell>
          <cell r="M2950">
            <v>31</v>
          </cell>
          <cell r="N2950" t="str">
            <v>RESOLUCION</v>
          </cell>
          <cell r="O2950">
            <v>2903</v>
          </cell>
          <cell r="P2950">
            <v>43305</v>
          </cell>
          <cell r="Q2950" t="str">
            <v>Sufragar los gastos que impliquen la trasferencia de dominio de los bienes fiscales propiedad de la Caja de la Vivienda Popular por concepto de registro y beneficencia, conforme a lo establecido por el Acuerdo N.º 07 de 02 de Junio de 2017 de la Junta Directiva de la Caja e la Vivienda Popular.</v>
          </cell>
          <cell r="R2950">
            <v>120400</v>
          </cell>
          <cell r="S2950">
            <v>0</v>
          </cell>
          <cell r="T2950">
            <v>0</v>
          </cell>
          <cell r="U2950">
            <v>120400</v>
          </cell>
          <cell r="V2950">
            <v>120400</v>
          </cell>
        </row>
        <row r="2951">
          <cell r="J2951">
            <v>2524</v>
          </cell>
          <cell r="K2951">
            <v>43305</v>
          </cell>
          <cell r="L2951" t="str">
            <v>LEIDY PAOLA FLOREZ GALEANO</v>
          </cell>
          <cell r="M2951">
            <v>31</v>
          </cell>
          <cell r="N2951" t="str">
            <v>RESOLUCION</v>
          </cell>
          <cell r="O2951">
            <v>2915</v>
          </cell>
          <cell r="P2951">
            <v>43305</v>
          </cell>
          <cell r="Q2951" t="str">
            <v>Sufragar los costos de liquidación de expensas ante Curaduría Urbana, impuesto de delineación urbana, copias de los planos y demás trámites requeridos ante las Curadurías Urbanas Nos: 1, 3 y 5 de Bogotá, para el proceso de licenciamiento de Demolición y Cerramiento de las Viviendas Transitorias de propiedad de la CVP localizadas en el barrio Los Laches.</v>
          </cell>
          <cell r="R2951">
            <v>350000</v>
          </cell>
          <cell r="S2951">
            <v>0</v>
          </cell>
          <cell r="T2951">
            <v>0</v>
          </cell>
          <cell r="U2951">
            <v>350000</v>
          </cell>
          <cell r="V2951">
            <v>350000</v>
          </cell>
        </row>
        <row r="2952">
          <cell r="J2952">
            <v>2676</v>
          </cell>
          <cell r="K2952">
            <v>43329</v>
          </cell>
          <cell r="L2952" t="str">
            <v>DEPARTAMENTO DE CUNDINAMARCA - TESORERIA GENERAL</v>
          </cell>
          <cell r="M2952">
            <v>31</v>
          </cell>
          <cell r="N2952" t="str">
            <v>RESOLUCION</v>
          </cell>
          <cell r="O2952">
            <v>3146</v>
          </cell>
          <cell r="P2952">
            <v>43329</v>
          </cell>
          <cell r="Q2952" t="str">
            <v>Sufragar los gastos que impliquen la trasferencia de dominio de los bienes fiscales propiedad de la Caja de la Vivienda Popular por concepto de registro y beneficencia, conforme a lo establecido por el Acuerdo N.º 07 de 02 de Junio de 2017 de la Junta Directiva de la Caja e la Vivienda Popular.</v>
          </cell>
          <cell r="R2952">
            <v>249000</v>
          </cell>
          <cell r="S2952">
            <v>0</v>
          </cell>
          <cell r="T2952">
            <v>0</v>
          </cell>
          <cell r="U2952">
            <v>249000</v>
          </cell>
          <cell r="V2952">
            <v>249000</v>
          </cell>
        </row>
        <row r="2953">
          <cell r="J2953">
            <v>2678</v>
          </cell>
          <cell r="K2953">
            <v>43329</v>
          </cell>
          <cell r="L2953" t="str">
            <v>SUPERINTENDENCIA DE NOTARIADO Y REGISTRO</v>
          </cell>
          <cell r="M2953">
            <v>31</v>
          </cell>
          <cell r="N2953" t="str">
            <v>RESOLUCION</v>
          </cell>
          <cell r="O2953">
            <v>3146</v>
          </cell>
          <cell r="P2953">
            <v>43329</v>
          </cell>
          <cell r="Q2953" t="str">
            <v>Sufragar los gastos que impliquen la trasferencia de dominio de los bienes fiscales propiedad de la Caja de la Vivienda Popular por concepto de registro y beneficencia, conforme a lo establecido por el Acuerdo N.º 07 de 02 de Junio de 2017 de la Junta Directiva de la Caja e la Vivienda Popular.</v>
          </cell>
          <cell r="R2953">
            <v>463500</v>
          </cell>
          <cell r="S2953">
            <v>0</v>
          </cell>
          <cell r="T2953">
            <v>0</v>
          </cell>
          <cell r="U2953">
            <v>463500</v>
          </cell>
          <cell r="V2953">
            <v>463500</v>
          </cell>
        </row>
        <row r="2954">
          <cell r="J2954">
            <v>2703</v>
          </cell>
          <cell r="K2954">
            <v>43334</v>
          </cell>
          <cell r="L2954" t="str">
            <v>YAIR JOSUE LIZARAZO CALDERON</v>
          </cell>
          <cell r="M2954">
            <v>31</v>
          </cell>
          <cell r="N2954" t="str">
            <v>RESOLUCION</v>
          </cell>
          <cell r="O2954">
            <v>3164</v>
          </cell>
          <cell r="P2954">
            <v>43334</v>
          </cell>
          <cell r="Q2954" t="str">
            <v>Sufragar los costos de radicación y expedición de solicitud concepto de norma urbanística - Reglamento Colombiano de Construcción Sismo Resistente norma NSR ¿ 10, título k - numeral k.3.8.3 ¿ escaleras interiores k.3.8.3.3 (k.3.8.3.3 ¿ ancho mínimo). Para las Licencias de construcción números: LC 15-2-0901, LC 15-2-0902 del 2 de junio de 2015 para los proyectos (Arborizadora Baja Manzana 54 y manzana 55). y LC 16-2-0884 del 11 de julio de 2016 (Proyecto Urbanización Arboleda Santa Teresita), de propiedad de la Caja de la Vivienda Popular.</v>
          </cell>
          <cell r="R2954">
            <v>929678</v>
          </cell>
          <cell r="S2954">
            <v>0</v>
          </cell>
          <cell r="T2954">
            <v>0</v>
          </cell>
          <cell r="U2954">
            <v>929678</v>
          </cell>
          <cell r="V2954">
            <v>929678</v>
          </cell>
        </row>
        <row r="2955">
          <cell r="J2955">
            <v>2511</v>
          </cell>
          <cell r="K2955">
            <v>43300</v>
          </cell>
          <cell r="L2955" t="str">
            <v>GIOVANNI  QUIROGA BERMUDEZ</v>
          </cell>
          <cell r="M2955">
            <v>145</v>
          </cell>
          <cell r="N2955" t="str">
            <v>CONTRATO DE PRESTACION DE SERVICIOS PROFESIONALES</v>
          </cell>
          <cell r="O2955">
            <v>447</v>
          </cell>
          <cell r="P2955">
            <v>43300</v>
          </cell>
          <cell r="Q2955" t="str">
            <v>Prestación de servicios profesionales, para apoyar el proceso de asistencia técnica a las familias inscritas en la Dirección de Mejoramiento de Vivienda que solicitan y/o requieren adelantar trámite de licencia de construcción y/o actos de reconocimiento, en cuanto al diseño estructural, calculo memorias y planos estructurales requeridos por la normatividad vigente de las curadurías urbanas; así como soporte a las actividades que se desarrollan dentro del marco de los proyectos de Mejoramiento Integral de la DMV de la CVP</v>
          </cell>
          <cell r="R2955">
            <v>26265000</v>
          </cell>
          <cell r="S2955">
            <v>0</v>
          </cell>
          <cell r="T2955">
            <v>0</v>
          </cell>
          <cell r="U2955">
            <v>26265000</v>
          </cell>
          <cell r="V2955">
            <v>2101200</v>
          </cell>
        </row>
        <row r="2956">
          <cell r="J2956">
            <v>2590</v>
          </cell>
          <cell r="K2956">
            <v>43315</v>
          </cell>
          <cell r="L2956" t="str">
            <v>OSCAR JAVIER ZUÑIGA GOMEZ</v>
          </cell>
          <cell r="M2956">
            <v>145</v>
          </cell>
          <cell r="N2956" t="str">
            <v>CONTRATO DE PRESTACION DE SERVICIOS PROFESIONALES</v>
          </cell>
          <cell r="O2956">
            <v>481</v>
          </cell>
          <cell r="P2956">
            <v>43315</v>
          </cell>
          <cell r="Q2956" t="str">
            <v>restar los servicios profesionales para apoyar y acompañar en el proceso de Supervisión de Interventoría de Obras de la Dirección de Mejoramiento de Vivienda, además de prestar asesoría en la asistencia técnica, para la obtención de actos de reconocimiento o licencias de construcción ante las curadurías urbanas.</v>
          </cell>
          <cell r="R2956">
            <v>49000000</v>
          </cell>
          <cell r="S2956">
            <v>49000000</v>
          </cell>
          <cell r="T2956">
            <v>0</v>
          </cell>
          <cell r="U2956">
            <v>0</v>
          </cell>
          <cell r="V2956">
            <v>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W1413"/>
  <sheetViews>
    <sheetView tabSelected="1" zoomScale="60" zoomScaleNormal="60" workbookViewId="0">
      <selection activeCell="H5" sqref="H5"/>
    </sheetView>
  </sheetViews>
  <sheetFormatPr baseColWidth="10" defaultRowHeight="15" x14ac:dyDescent="0.25"/>
  <cols>
    <col min="1" max="1" width="11.7109375" bestFit="1" customWidth="1"/>
    <col min="5" max="5" width="11.7109375" bestFit="1" customWidth="1"/>
    <col min="11" max="11" width="14" bestFit="1" customWidth="1"/>
    <col min="12" max="12" width="19.42578125" bestFit="1" customWidth="1"/>
    <col min="13" max="13" width="14" bestFit="1" customWidth="1"/>
    <col min="14" max="15" width="11.7109375" bestFit="1" customWidth="1"/>
    <col min="16" max="16" width="17" customWidth="1"/>
    <col min="17" max="17" width="21.7109375" bestFit="1" customWidth="1"/>
    <col min="18" max="18" width="11.7109375" bestFit="1" customWidth="1"/>
    <col min="19" max="19" width="22.28515625" bestFit="1" customWidth="1"/>
    <col min="20" max="20" width="14" bestFit="1" customWidth="1"/>
    <col min="21" max="21" width="12.85546875" bestFit="1" customWidth="1"/>
    <col min="22" max="22" width="11.7109375" bestFit="1" customWidth="1"/>
    <col min="23" max="23" width="14" bestFit="1" customWidth="1"/>
    <col min="24" max="25" width="12.85546875" bestFit="1" customWidth="1"/>
    <col min="26" max="26" width="22.28515625" bestFit="1" customWidth="1"/>
    <col min="27" max="28" width="11.7109375" bestFit="1" customWidth="1"/>
    <col min="29" max="29" width="18.7109375" bestFit="1" customWidth="1"/>
    <col min="30" max="30" width="22.28515625" bestFit="1" customWidth="1"/>
    <col min="31" max="31" width="18.7109375" bestFit="1" customWidth="1"/>
    <col min="32" max="32" width="11.7109375" bestFit="1" customWidth="1"/>
    <col min="33" max="33" width="17" bestFit="1" customWidth="1"/>
    <col min="34" max="34" width="22.28515625" bestFit="1" customWidth="1"/>
    <col min="35" max="36" width="11.7109375" bestFit="1" customWidth="1"/>
    <col min="37" max="37" width="17.140625" bestFit="1" customWidth="1"/>
    <col min="38" max="39" width="22.28515625" bestFit="1" customWidth="1"/>
    <col min="40" max="40" width="20.42578125" bestFit="1" customWidth="1"/>
    <col min="41" max="41" width="18.28515625" bestFit="1" customWidth="1"/>
    <col min="42" max="42" width="14.7109375" bestFit="1" customWidth="1"/>
    <col min="43" max="46" width="11.7109375" bestFit="1" customWidth="1"/>
  </cols>
  <sheetData>
    <row r="1" spans="1:49" s="215" customFormat="1" ht="16.5" customHeight="1" x14ac:dyDescent="0.25">
      <c r="A1" s="210"/>
      <c r="B1" s="210"/>
      <c r="C1" s="210"/>
      <c r="D1" s="211" t="s">
        <v>3786</v>
      </c>
      <c r="E1" s="212"/>
      <c r="F1" s="212"/>
      <c r="G1" s="212"/>
      <c r="H1" s="212"/>
      <c r="I1" s="212"/>
      <c r="J1" s="212"/>
      <c r="K1" s="212"/>
      <c r="L1" s="212"/>
      <c r="M1" s="212"/>
      <c r="N1" s="212"/>
      <c r="O1" s="212"/>
      <c r="P1" s="212"/>
      <c r="Q1" s="212"/>
      <c r="R1" s="212"/>
      <c r="S1" s="212"/>
      <c r="T1" s="212"/>
      <c r="U1" s="212"/>
      <c r="V1" s="212"/>
      <c r="W1" s="212"/>
      <c r="X1" s="212"/>
      <c r="Y1" s="212"/>
      <c r="Z1" s="212"/>
      <c r="AA1" s="212"/>
      <c r="AB1" s="212"/>
      <c r="AC1" s="212"/>
      <c r="AD1" s="212"/>
      <c r="AE1" s="212"/>
      <c r="AF1" s="212"/>
      <c r="AG1" s="212"/>
      <c r="AH1" s="212"/>
      <c r="AI1" s="212"/>
      <c r="AJ1" s="212"/>
      <c r="AK1" s="212"/>
      <c r="AL1" s="212"/>
      <c r="AM1" s="212"/>
      <c r="AN1" s="212"/>
      <c r="AO1" s="212"/>
      <c r="AP1" s="212"/>
      <c r="AQ1" s="212"/>
      <c r="AR1" s="213"/>
      <c r="AS1" s="214" t="s">
        <v>3787</v>
      </c>
      <c r="AT1" s="214"/>
      <c r="AU1" s="214"/>
      <c r="AV1" s="214"/>
    </row>
    <row r="2" spans="1:49" s="215" customFormat="1" ht="21" customHeight="1" x14ac:dyDescent="0.25">
      <c r="A2" s="210"/>
      <c r="B2" s="210"/>
      <c r="C2" s="210"/>
      <c r="D2" s="211"/>
      <c r="E2" s="212"/>
      <c r="F2" s="212"/>
      <c r="G2" s="212"/>
      <c r="H2" s="212"/>
      <c r="I2" s="212"/>
      <c r="J2" s="212"/>
      <c r="K2" s="212"/>
      <c r="L2" s="212"/>
      <c r="M2" s="212"/>
      <c r="N2" s="212"/>
      <c r="O2" s="212"/>
      <c r="P2" s="212"/>
      <c r="Q2" s="212"/>
      <c r="R2" s="212"/>
      <c r="S2" s="212"/>
      <c r="T2" s="212"/>
      <c r="U2" s="212"/>
      <c r="V2" s="212"/>
      <c r="W2" s="212"/>
      <c r="X2" s="212"/>
      <c r="Y2" s="212"/>
      <c r="Z2" s="212"/>
      <c r="AA2" s="212"/>
      <c r="AB2" s="212"/>
      <c r="AC2" s="212"/>
      <c r="AD2" s="212"/>
      <c r="AE2" s="212"/>
      <c r="AF2" s="212"/>
      <c r="AG2" s="212"/>
      <c r="AH2" s="212"/>
      <c r="AI2" s="212"/>
      <c r="AJ2" s="212"/>
      <c r="AK2" s="212"/>
      <c r="AL2" s="212"/>
      <c r="AM2" s="212"/>
      <c r="AN2" s="212"/>
      <c r="AO2" s="212"/>
      <c r="AP2" s="212"/>
      <c r="AQ2" s="212"/>
      <c r="AR2" s="213"/>
      <c r="AS2" s="214" t="s">
        <v>3788</v>
      </c>
      <c r="AT2" s="214"/>
      <c r="AU2" s="216" t="s">
        <v>3789</v>
      </c>
      <c r="AV2" s="216"/>
    </row>
    <row r="3" spans="1:49" s="215" customFormat="1" ht="37.5" customHeight="1" x14ac:dyDescent="0.25">
      <c r="A3" s="210"/>
      <c r="B3" s="210"/>
      <c r="C3" s="210"/>
      <c r="D3" s="217"/>
      <c r="E3" s="218"/>
      <c r="F3" s="218"/>
      <c r="G3" s="218"/>
      <c r="H3" s="218"/>
      <c r="I3" s="218"/>
      <c r="J3" s="218"/>
      <c r="K3" s="218"/>
      <c r="L3" s="218"/>
      <c r="M3" s="218"/>
      <c r="N3" s="218"/>
      <c r="O3" s="218"/>
      <c r="P3" s="218"/>
      <c r="Q3" s="218"/>
      <c r="R3" s="218"/>
      <c r="S3" s="218"/>
      <c r="T3" s="218"/>
      <c r="U3" s="218"/>
      <c r="V3" s="218"/>
      <c r="W3" s="218"/>
      <c r="X3" s="218"/>
      <c r="Y3" s="218"/>
      <c r="Z3" s="218"/>
      <c r="AA3" s="218"/>
      <c r="AB3" s="218"/>
      <c r="AC3" s="218"/>
      <c r="AD3" s="218"/>
      <c r="AE3" s="218"/>
      <c r="AF3" s="218"/>
      <c r="AG3" s="218"/>
      <c r="AH3" s="218"/>
      <c r="AI3" s="218"/>
      <c r="AJ3" s="218"/>
      <c r="AK3" s="218"/>
      <c r="AL3" s="218"/>
      <c r="AM3" s="218"/>
      <c r="AN3" s="218"/>
      <c r="AO3" s="218"/>
      <c r="AP3" s="218"/>
      <c r="AQ3" s="218"/>
      <c r="AR3" s="219"/>
      <c r="AS3" s="214" t="s">
        <v>3790</v>
      </c>
      <c r="AT3" s="214"/>
      <c r="AU3" s="214"/>
      <c r="AV3" s="214"/>
    </row>
    <row r="4" spans="1:49" ht="67.5" x14ac:dyDescent="0.25">
      <c r="A4" s="1" t="s">
        <v>0</v>
      </c>
      <c r="B4" s="1" t="s">
        <v>1</v>
      </c>
      <c r="C4" s="1" t="s">
        <v>2</v>
      </c>
      <c r="D4" s="1" t="s">
        <v>3</v>
      </c>
      <c r="E4" s="1" t="s">
        <v>4</v>
      </c>
      <c r="F4" s="1" t="s">
        <v>5</v>
      </c>
      <c r="G4" s="1" t="s">
        <v>6</v>
      </c>
      <c r="H4" s="1" t="s">
        <v>7</v>
      </c>
      <c r="I4" s="1" t="s">
        <v>8</v>
      </c>
      <c r="J4" s="1" t="s">
        <v>9</v>
      </c>
      <c r="K4" s="1" t="s">
        <v>10</v>
      </c>
      <c r="L4" s="1" t="s">
        <v>11</v>
      </c>
      <c r="M4" s="1" t="s">
        <v>12</v>
      </c>
      <c r="N4" s="1" t="s">
        <v>13</v>
      </c>
      <c r="O4" s="1" t="s">
        <v>14</v>
      </c>
      <c r="P4" s="1" t="s">
        <v>15</v>
      </c>
      <c r="Q4" s="1" t="s">
        <v>16</v>
      </c>
      <c r="R4" s="1" t="s">
        <v>17</v>
      </c>
      <c r="S4" s="1" t="s">
        <v>18</v>
      </c>
      <c r="T4" s="1" t="s">
        <v>19</v>
      </c>
      <c r="U4" s="1" t="s">
        <v>20</v>
      </c>
      <c r="V4" s="2" t="s">
        <v>21</v>
      </c>
      <c r="W4" s="1" t="s">
        <v>22</v>
      </c>
      <c r="X4" s="1" t="s">
        <v>23</v>
      </c>
      <c r="Y4" s="1" t="s">
        <v>24</v>
      </c>
      <c r="Z4" s="3" t="s">
        <v>25</v>
      </c>
      <c r="AA4" s="4" t="s">
        <v>26</v>
      </c>
      <c r="AB4" s="5" t="s">
        <v>27</v>
      </c>
      <c r="AC4" s="6" t="s">
        <v>28</v>
      </c>
      <c r="AD4" s="7" t="s">
        <v>29</v>
      </c>
      <c r="AE4" s="8" t="s">
        <v>30</v>
      </c>
      <c r="AF4" s="9" t="s">
        <v>31</v>
      </c>
      <c r="AG4" s="10" t="s">
        <v>32</v>
      </c>
      <c r="AH4" s="11" t="s">
        <v>33</v>
      </c>
      <c r="AI4" s="12" t="s">
        <v>34</v>
      </c>
      <c r="AJ4" s="10" t="s">
        <v>35</v>
      </c>
      <c r="AK4" s="8" t="s">
        <v>36</v>
      </c>
      <c r="AL4" s="11" t="s">
        <v>37</v>
      </c>
      <c r="AM4" s="11" t="s">
        <v>38</v>
      </c>
      <c r="AN4" s="13" t="s">
        <v>39</v>
      </c>
      <c r="AO4" s="13" t="s">
        <v>40</v>
      </c>
      <c r="AP4" s="8" t="s">
        <v>41</v>
      </c>
      <c r="AQ4" s="1" t="s">
        <v>42</v>
      </c>
      <c r="AR4" s="1" t="s">
        <v>43</v>
      </c>
      <c r="AS4" s="1" t="s">
        <v>44</v>
      </c>
      <c r="AT4" s="1" t="s">
        <v>45</v>
      </c>
      <c r="AU4" s="1" t="s">
        <v>46</v>
      </c>
      <c r="AV4" s="1" t="s">
        <v>47</v>
      </c>
    </row>
    <row r="5" spans="1:49" s="221" customFormat="1" ht="399" x14ac:dyDescent="0.25">
      <c r="A5" s="47">
        <v>1</v>
      </c>
      <c r="B5" s="47" t="s">
        <v>48</v>
      </c>
      <c r="C5" s="123" t="s">
        <v>49</v>
      </c>
      <c r="D5" s="63" t="s">
        <v>50</v>
      </c>
      <c r="E5" s="47" t="s">
        <v>51</v>
      </c>
      <c r="F5" s="63" t="s">
        <v>52</v>
      </c>
      <c r="G5" s="63" t="s">
        <v>53</v>
      </c>
      <c r="H5" s="124" t="s">
        <v>54</v>
      </c>
      <c r="I5" s="63" t="s">
        <v>55</v>
      </c>
      <c r="J5" s="63" t="s">
        <v>56</v>
      </c>
      <c r="K5" s="126">
        <v>801116</v>
      </c>
      <c r="L5" s="126" t="s">
        <v>57</v>
      </c>
      <c r="M5" s="47" t="s">
        <v>58</v>
      </c>
      <c r="N5" s="47" t="s">
        <v>59</v>
      </c>
      <c r="O5" s="125" t="s">
        <v>60</v>
      </c>
      <c r="P5" s="47" t="s">
        <v>61</v>
      </c>
      <c r="Q5" s="44">
        <v>6180000</v>
      </c>
      <c r="R5" s="45">
        <v>1</v>
      </c>
      <c r="S5" s="46">
        <f>37080000+1545000-1545000</f>
        <v>37080000</v>
      </c>
      <c r="T5" s="47" t="s">
        <v>62</v>
      </c>
      <c r="U5" s="48" t="s">
        <v>63</v>
      </c>
      <c r="V5" s="49" t="s">
        <v>64</v>
      </c>
      <c r="W5" s="48">
        <v>11.5</v>
      </c>
      <c r="X5" s="50" t="s">
        <v>65</v>
      </c>
      <c r="Y5" s="51">
        <v>43104</v>
      </c>
      <c r="Z5" s="52">
        <f>S5</f>
        <v>37080000</v>
      </c>
      <c r="AA5" s="50"/>
      <c r="AB5" s="50">
        <v>212</v>
      </c>
      <c r="AC5" s="53"/>
      <c r="AD5" s="44">
        <v>71070000</v>
      </c>
      <c r="AE5" s="54">
        <v>1545000</v>
      </c>
      <c r="AF5" s="50">
        <v>379</v>
      </c>
      <c r="AG5" s="50">
        <v>43124</v>
      </c>
      <c r="AH5" s="55">
        <v>37080000</v>
      </c>
      <c r="AI5" s="50" t="s">
        <v>66</v>
      </c>
      <c r="AJ5" s="50">
        <v>305</v>
      </c>
      <c r="AK5" s="64"/>
      <c r="AL5" s="55">
        <v>37080000</v>
      </c>
      <c r="AM5" s="69">
        <v>37080000</v>
      </c>
      <c r="AN5" s="69">
        <v>0</v>
      </c>
      <c r="AO5" s="58" t="s">
        <v>67</v>
      </c>
      <c r="AP5" s="70">
        <f>AE5</f>
        <v>1545000</v>
      </c>
      <c r="AQ5" s="58" t="s">
        <v>68</v>
      </c>
      <c r="AR5" s="60">
        <v>43339</v>
      </c>
      <c r="AS5" s="58" t="s">
        <v>69</v>
      </c>
      <c r="AT5" s="64"/>
      <c r="AU5" s="64"/>
      <c r="AV5" s="64"/>
      <c r="AW5" s="220"/>
    </row>
    <row r="6" spans="1:49" s="221" customFormat="1" ht="270.75" x14ac:dyDescent="0.25">
      <c r="A6" s="47">
        <v>2</v>
      </c>
      <c r="B6" s="47" t="s">
        <v>70</v>
      </c>
      <c r="C6" s="123" t="s">
        <v>49</v>
      </c>
      <c r="D6" s="63" t="s">
        <v>50</v>
      </c>
      <c r="E6" s="47" t="s">
        <v>51</v>
      </c>
      <c r="F6" s="63" t="s">
        <v>52</v>
      </c>
      <c r="G6" s="63" t="s">
        <v>53</v>
      </c>
      <c r="H6" s="124" t="s">
        <v>54</v>
      </c>
      <c r="I6" s="63" t="s">
        <v>55</v>
      </c>
      <c r="J6" s="63" t="s">
        <v>56</v>
      </c>
      <c r="K6" s="126">
        <v>801116</v>
      </c>
      <c r="L6" s="126" t="s">
        <v>57</v>
      </c>
      <c r="M6" s="47" t="s">
        <v>58</v>
      </c>
      <c r="N6" s="47" t="s">
        <v>59</v>
      </c>
      <c r="O6" s="125" t="s">
        <v>60</v>
      </c>
      <c r="P6" s="47" t="s">
        <v>71</v>
      </c>
      <c r="Q6" s="44">
        <v>3090000</v>
      </c>
      <c r="R6" s="45">
        <v>1</v>
      </c>
      <c r="S6" s="46">
        <f t="shared" ref="S6:S69" si="0">+Q6*R6*W6</f>
        <v>35535000</v>
      </c>
      <c r="T6" s="48" t="s">
        <v>62</v>
      </c>
      <c r="U6" s="48" t="s">
        <v>63</v>
      </c>
      <c r="V6" s="49" t="s">
        <v>64</v>
      </c>
      <c r="W6" s="48">
        <v>11.5</v>
      </c>
      <c r="X6" s="50" t="s">
        <v>72</v>
      </c>
      <c r="Y6" s="51">
        <v>43104</v>
      </c>
      <c r="Z6" s="52">
        <f t="shared" ref="Z6:Z69" si="1">S6</f>
        <v>35535000</v>
      </c>
      <c r="AA6" s="50"/>
      <c r="AB6" s="50">
        <v>214</v>
      </c>
      <c r="AC6" s="53">
        <v>43105</v>
      </c>
      <c r="AD6" s="44">
        <v>35535000</v>
      </c>
      <c r="AE6" s="70">
        <v>0</v>
      </c>
      <c r="AF6" s="50">
        <v>157</v>
      </c>
      <c r="AG6" s="50">
        <v>43118</v>
      </c>
      <c r="AH6" s="55">
        <v>35535000</v>
      </c>
      <c r="AI6" s="50" t="s">
        <v>73</v>
      </c>
      <c r="AJ6" s="50">
        <v>126</v>
      </c>
      <c r="AK6" s="64"/>
      <c r="AL6" s="55">
        <v>35535000</v>
      </c>
      <c r="AM6" s="69">
        <v>21218000</v>
      </c>
      <c r="AN6" s="69">
        <v>14317000</v>
      </c>
      <c r="AO6" s="58" t="s">
        <v>67</v>
      </c>
      <c r="AP6" s="64"/>
      <c r="AQ6" s="64"/>
      <c r="AR6" s="64"/>
      <c r="AS6" s="64"/>
      <c r="AT6" s="64"/>
      <c r="AU6" s="64"/>
      <c r="AV6" s="64"/>
      <c r="AW6" s="220"/>
    </row>
    <row r="7" spans="1:49" s="221" customFormat="1" ht="242.25" x14ac:dyDescent="0.25">
      <c r="A7" s="47">
        <v>3</v>
      </c>
      <c r="B7" s="47" t="s">
        <v>74</v>
      </c>
      <c r="C7" s="123" t="s">
        <v>49</v>
      </c>
      <c r="D7" s="63" t="s">
        <v>50</v>
      </c>
      <c r="E7" s="47" t="s">
        <v>51</v>
      </c>
      <c r="F7" s="63" t="s">
        <v>52</v>
      </c>
      <c r="G7" s="63" t="s">
        <v>53</v>
      </c>
      <c r="H7" s="124" t="s">
        <v>54</v>
      </c>
      <c r="I7" s="63" t="s">
        <v>55</v>
      </c>
      <c r="J7" s="63" t="s">
        <v>56</v>
      </c>
      <c r="K7" s="126">
        <v>801116</v>
      </c>
      <c r="L7" s="126" t="s">
        <v>57</v>
      </c>
      <c r="M7" s="47" t="s">
        <v>58</v>
      </c>
      <c r="N7" s="47" t="s">
        <v>59</v>
      </c>
      <c r="O7" s="125" t="s">
        <v>60</v>
      </c>
      <c r="P7" s="47" t="s">
        <v>75</v>
      </c>
      <c r="Q7" s="44">
        <v>3343930</v>
      </c>
      <c r="R7" s="47">
        <v>1</v>
      </c>
      <c r="S7" s="46">
        <f>+Q7*R7*W7-38455195</f>
        <v>0</v>
      </c>
      <c r="T7" s="48" t="s">
        <v>62</v>
      </c>
      <c r="U7" s="48" t="s">
        <v>63</v>
      </c>
      <c r="V7" s="49" t="s">
        <v>64</v>
      </c>
      <c r="W7" s="48">
        <v>11.5</v>
      </c>
      <c r="X7" s="48" t="s">
        <v>76</v>
      </c>
      <c r="Y7" s="60">
        <v>43104</v>
      </c>
      <c r="Z7" s="44">
        <f t="shared" si="1"/>
        <v>0</v>
      </c>
      <c r="AA7" s="64"/>
      <c r="AB7" s="50">
        <v>0</v>
      </c>
      <c r="AC7" s="60">
        <v>0</v>
      </c>
      <c r="AD7" s="44">
        <v>0</v>
      </c>
      <c r="AE7" s="64"/>
      <c r="AF7" s="50">
        <v>0</v>
      </c>
      <c r="AG7" s="50">
        <v>0</v>
      </c>
      <c r="AH7" s="55">
        <v>0</v>
      </c>
      <c r="AI7" s="50">
        <v>0</v>
      </c>
      <c r="AJ7" s="50">
        <v>0</v>
      </c>
      <c r="AK7" s="64"/>
      <c r="AL7" s="55">
        <v>0</v>
      </c>
      <c r="AM7" s="55">
        <v>0</v>
      </c>
      <c r="AN7" s="64"/>
      <c r="AO7" s="58" t="s">
        <v>67</v>
      </c>
      <c r="AP7" s="64"/>
      <c r="AQ7" s="58" t="s">
        <v>77</v>
      </c>
      <c r="AR7" s="61">
        <v>43150</v>
      </c>
      <c r="AS7" s="58" t="s">
        <v>78</v>
      </c>
      <c r="AT7" s="64"/>
      <c r="AU7" s="58" t="s">
        <v>79</v>
      </c>
      <c r="AV7" s="64"/>
      <c r="AW7" s="220"/>
    </row>
    <row r="8" spans="1:49" s="221" customFormat="1" ht="228" x14ac:dyDescent="0.25">
      <c r="A8" s="47">
        <v>4</v>
      </c>
      <c r="B8" s="47" t="s">
        <v>80</v>
      </c>
      <c r="C8" s="123" t="s">
        <v>49</v>
      </c>
      <c r="D8" s="63" t="s">
        <v>50</v>
      </c>
      <c r="E8" s="47" t="s">
        <v>51</v>
      </c>
      <c r="F8" s="63" t="s">
        <v>52</v>
      </c>
      <c r="G8" s="63" t="s">
        <v>53</v>
      </c>
      <c r="H8" s="124" t="s">
        <v>54</v>
      </c>
      <c r="I8" s="63" t="s">
        <v>55</v>
      </c>
      <c r="J8" s="63" t="s">
        <v>56</v>
      </c>
      <c r="K8" s="126">
        <v>801116</v>
      </c>
      <c r="L8" s="126" t="s">
        <v>57</v>
      </c>
      <c r="M8" s="47" t="s">
        <v>58</v>
      </c>
      <c r="N8" s="47" t="s">
        <v>59</v>
      </c>
      <c r="O8" s="125" t="s">
        <v>60</v>
      </c>
      <c r="P8" s="47" t="s">
        <v>81</v>
      </c>
      <c r="Q8" s="44">
        <v>2060000</v>
      </c>
      <c r="R8" s="45">
        <v>1</v>
      </c>
      <c r="S8" s="46">
        <f t="shared" si="0"/>
        <v>23690000</v>
      </c>
      <c r="T8" s="48" t="s">
        <v>62</v>
      </c>
      <c r="U8" s="48" t="s">
        <v>63</v>
      </c>
      <c r="V8" s="49" t="s">
        <v>64</v>
      </c>
      <c r="W8" s="48">
        <v>11.5</v>
      </c>
      <c r="X8" s="50" t="s">
        <v>82</v>
      </c>
      <c r="Y8" s="51">
        <v>43104</v>
      </c>
      <c r="Z8" s="52">
        <f t="shared" si="1"/>
        <v>23690000</v>
      </c>
      <c r="AA8" s="50"/>
      <c r="AB8" s="50">
        <v>219</v>
      </c>
      <c r="AC8" s="53">
        <v>43105</v>
      </c>
      <c r="AD8" s="44">
        <v>23690000</v>
      </c>
      <c r="AE8" s="70">
        <v>0</v>
      </c>
      <c r="AF8" s="50">
        <v>44</v>
      </c>
      <c r="AG8" s="50">
        <v>43116</v>
      </c>
      <c r="AH8" s="55">
        <v>23690000</v>
      </c>
      <c r="AI8" s="50" t="s">
        <v>83</v>
      </c>
      <c r="AJ8" s="50">
        <v>36</v>
      </c>
      <c r="AK8" s="64"/>
      <c r="AL8" s="55">
        <v>23690000</v>
      </c>
      <c r="AM8" s="69">
        <v>14420000</v>
      </c>
      <c r="AN8" s="69">
        <v>9270000</v>
      </c>
      <c r="AO8" s="58" t="s">
        <v>67</v>
      </c>
      <c r="AP8" s="64"/>
      <c r="AQ8" s="64"/>
      <c r="AR8" s="64"/>
      <c r="AS8" s="64"/>
      <c r="AT8" s="64"/>
      <c r="AU8" s="64"/>
      <c r="AV8" s="64"/>
      <c r="AW8" s="220"/>
    </row>
    <row r="9" spans="1:49" s="221" customFormat="1" ht="285" x14ac:dyDescent="0.25">
      <c r="A9" s="47">
        <v>5</v>
      </c>
      <c r="B9" s="47" t="s">
        <v>84</v>
      </c>
      <c r="C9" s="123" t="s">
        <v>49</v>
      </c>
      <c r="D9" s="63" t="s">
        <v>50</v>
      </c>
      <c r="E9" s="47" t="s">
        <v>51</v>
      </c>
      <c r="F9" s="63" t="s">
        <v>52</v>
      </c>
      <c r="G9" s="63" t="s">
        <v>53</v>
      </c>
      <c r="H9" s="124" t="s">
        <v>54</v>
      </c>
      <c r="I9" s="63" t="s">
        <v>55</v>
      </c>
      <c r="J9" s="63" t="s">
        <v>56</v>
      </c>
      <c r="K9" s="126">
        <v>801116</v>
      </c>
      <c r="L9" s="126" t="s">
        <v>57</v>
      </c>
      <c r="M9" s="47" t="s">
        <v>58</v>
      </c>
      <c r="N9" s="47" t="s">
        <v>59</v>
      </c>
      <c r="O9" s="125" t="s">
        <v>60</v>
      </c>
      <c r="P9" s="47" t="s">
        <v>85</v>
      </c>
      <c r="Q9" s="44">
        <v>3326900</v>
      </c>
      <c r="R9" s="45">
        <v>1</v>
      </c>
      <c r="S9" s="46">
        <f t="shared" si="0"/>
        <v>38259350</v>
      </c>
      <c r="T9" s="48" t="s">
        <v>62</v>
      </c>
      <c r="U9" s="48" t="s">
        <v>63</v>
      </c>
      <c r="V9" s="49" t="s">
        <v>64</v>
      </c>
      <c r="W9" s="48">
        <v>11.5</v>
      </c>
      <c r="X9" s="50" t="s">
        <v>86</v>
      </c>
      <c r="Y9" s="51">
        <v>43104</v>
      </c>
      <c r="Z9" s="52">
        <f t="shared" si="1"/>
        <v>38259350</v>
      </c>
      <c r="AA9" s="50"/>
      <c r="AB9" s="50">
        <v>221</v>
      </c>
      <c r="AC9" s="53">
        <v>43105</v>
      </c>
      <c r="AD9" s="44">
        <v>38259350</v>
      </c>
      <c r="AE9" s="70">
        <v>0</v>
      </c>
      <c r="AF9" s="50">
        <v>86</v>
      </c>
      <c r="AG9" s="50">
        <v>43116</v>
      </c>
      <c r="AH9" s="55">
        <v>38259350</v>
      </c>
      <c r="AI9" s="50" t="s">
        <v>87</v>
      </c>
      <c r="AJ9" s="50">
        <v>74</v>
      </c>
      <c r="AK9" s="64"/>
      <c r="AL9" s="55">
        <v>38259350</v>
      </c>
      <c r="AM9" s="69">
        <v>16523603</v>
      </c>
      <c r="AN9" s="69">
        <v>21735747</v>
      </c>
      <c r="AO9" s="58" t="s">
        <v>67</v>
      </c>
      <c r="AP9" s="64"/>
      <c r="AQ9" s="64"/>
      <c r="AR9" s="64"/>
      <c r="AS9" s="64"/>
      <c r="AT9" s="64"/>
      <c r="AU9" s="64"/>
      <c r="AV9" s="64"/>
      <c r="AW9" s="220"/>
    </row>
    <row r="10" spans="1:49" s="221" customFormat="1" ht="185.25" x14ac:dyDescent="0.25">
      <c r="A10" s="47">
        <v>6</v>
      </c>
      <c r="B10" s="47" t="s">
        <v>88</v>
      </c>
      <c r="C10" s="123" t="s">
        <v>49</v>
      </c>
      <c r="D10" s="63" t="s">
        <v>50</v>
      </c>
      <c r="E10" s="47" t="s">
        <v>89</v>
      </c>
      <c r="F10" s="63" t="s">
        <v>52</v>
      </c>
      <c r="G10" s="63" t="s">
        <v>53</v>
      </c>
      <c r="H10" s="124" t="s">
        <v>54</v>
      </c>
      <c r="I10" s="63" t="s">
        <v>55</v>
      </c>
      <c r="J10" s="63" t="s">
        <v>56</v>
      </c>
      <c r="K10" s="126">
        <v>801116</v>
      </c>
      <c r="L10" s="126" t="s">
        <v>57</v>
      </c>
      <c r="M10" s="47" t="s">
        <v>58</v>
      </c>
      <c r="N10" s="47" t="s">
        <v>59</v>
      </c>
      <c r="O10" s="125" t="s">
        <v>60</v>
      </c>
      <c r="P10" s="47" t="s">
        <v>90</v>
      </c>
      <c r="Q10" s="44">
        <v>3399000</v>
      </c>
      <c r="R10" s="45">
        <v>1</v>
      </c>
      <c r="S10" s="44">
        <f t="shared" si="0"/>
        <v>39088500</v>
      </c>
      <c r="T10" s="48" t="s">
        <v>62</v>
      </c>
      <c r="U10" s="48" t="s">
        <v>63</v>
      </c>
      <c r="V10" s="49" t="s">
        <v>64</v>
      </c>
      <c r="W10" s="48">
        <v>11.5</v>
      </c>
      <c r="X10" s="50" t="s">
        <v>91</v>
      </c>
      <c r="Y10" s="51">
        <v>43104</v>
      </c>
      <c r="Z10" s="52">
        <f t="shared" si="1"/>
        <v>39088500</v>
      </c>
      <c r="AA10" s="50"/>
      <c r="AB10" s="50">
        <v>222</v>
      </c>
      <c r="AC10" s="53">
        <v>43105</v>
      </c>
      <c r="AD10" s="44">
        <v>39088500</v>
      </c>
      <c r="AE10" s="70">
        <v>0</v>
      </c>
      <c r="AF10" s="50">
        <v>357</v>
      </c>
      <c r="AG10" s="50">
        <v>43123</v>
      </c>
      <c r="AH10" s="55">
        <v>39088500</v>
      </c>
      <c r="AI10" s="50" t="s">
        <v>92</v>
      </c>
      <c r="AJ10" s="50">
        <v>355</v>
      </c>
      <c r="AK10" s="64"/>
      <c r="AL10" s="55">
        <v>39088500</v>
      </c>
      <c r="AM10" s="69">
        <v>24472800</v>
      </c>
      <c r="AN10" s="69">
        <v>14615700</v>
      </c>
      <c r="AO10" s="58" t="s">
        <v>67</v>
      </c>
      <c r="AP10" s="64"/>
      <c r="AQ10" s="64"/>
      <c r="AR10" s="64"/>
      <c r="AS10" s="64"/>
      <c r="AT10" s="64"/>
      <c r="AU10" s="64"/>
      <c r="AV10" s="64"/>
      <c r="AW10" s="220"/>
    </row>
    <row r="11" spans="1:49" s="221" customFormat="1" ht="370.5" x14ac:dyDescent="0.25">
      <c r="A11" s="47">
        <v>7</v>
      </c>
      <c r="B11" s="47" t="s">
        <v>93</v>
      </c>
      <c r="C11" s="123" t="s">
        <v>49</v>
      </c>
      <c r="D11" s="63" t="s">
        <v>50</v>
      </c>
      <c r="E11" s="47" t="s">
        <v>51</v>
      </c>
      <c r="F11" s="63" t="s">
        <v>52</v>
      </c>
      <c r="G11" s="63" t="s">
        <v>53</v>
      </c>
      <c r="H11" s="124" t="s">
        <v>54</v>
      </c>
      <c r="I11" s="63" t="s">
        <v>55</v>
      </c>
      <c r="J11" s="63" t="s">
        <v>56</v>
      </c>
      <c r="K11" s="126">
        <v>801116</v>
      </c>
      <c r="L11" s="126" t="s">
        <v>57</v>
      </c>
      <c r="M11" s="47" t="s">
        <v>58</v>
      </c>
      <c r="N11" s="47" t="s">
        <v>59</v>
      </c>
      <c r="O11" s="125" t="s">
        <v>60</v>
      </c>
      <c r="P11" s="47" t="s">
        <v>94</v>
      </c>
      <c r="Q11" s="44">
        <v>7210000</v>
      </c>
      <c r="R11" s="45">
        <v>1</v>
      </c>
      <c r="S11" s="46">
        <f t="shared" si="0"/>
        <v>82915000</v>
      </c>
      <c r="T11" s="48" t="s">
        <v>62</v>
      </c>
      <c r="U11" s="48" t="s">
        <v>63</v>
      </c>
      <c r="V11" s="49" t="s">
        <v>64</v>
      </c>
      <c r="W11" s="48">
        <v>11.5</v>
      </c>
      <c r="X11" s="50" t="s">
        <v>95</v>
      </c>
      <c r="Y11" s="51">
        <v>43104</v>
      </c>
      <c r="Z11" s="52">
        <f t="shared" si="1"/>
        <v>82915000</v>
      </c>
      <c r="AA11" s="50"/>
      <c r="AB11" s="50">
        <v>225</v>
      </c>
      <c r="AC11" s="53">
        <v>43105</v>
      </c>
      <c r="AD11" s="44">
        <v>82915000</v>
      </c>
      <c r="AE11" s="70">
        <v>0</v>
      </c>
      <c r="AF11" s="50">
        <v>387</v>
      </c>
      <c r="AG11" s="50">
        <v>43124</v>
      </c>
      <c r="AH11" s="55">
        <v>82915000</v>
      </c>
      <c r="AI11" s="50" t="s">
        <v>96</v>
      </c>
      <c r="AJ11" s="50">
        <v>309</v>
      </c>
      <c r="AK11" s="64"/>
      <c r="AL11" s="55">
        <v>82915000</v>
      </c>
      <c r="AM11" s="69">
        <v>49749000</v>
      </c>
      <c r="AN11" s="69">
        <v>33166000</v>
      </c>
      <c r="AO11" s="58" t="s">
        <v>67</v>
      </c>
      <c r="AP11" s="64"/>
      <c r="AQ11" s="64"/>
      <c r="AR11" s="64"/>
      <c r="AS11" s="64"/>
      <c r="AT11" s="64"/>
      <c r="AU11" s="64"/>
      <c r="AV11" s="64"/>
      <c r="AW11" s="220"/>
    </row>
    <row r="12" spans="1:49" s="221" customFormat="1" ht="285" x14ac:dyDescent="0.25">
      <c r="A12" s="47">
        <v>8</v>
      </c>
      <c r="B12" s="47" t="s">
        <v>97</v>
      </c>
      <c r="C12" s="123" t="s">
        <v>49</v>
      </c>
      <c r="D12" s="63" t="s">
        <v>50</v>
      </c>
      <c r="E12" s="47" t="s">
        <v>89</v>
      </c>
      <c r="F12" s="63" t="s">
        <v>52</v>
      </c>
      <c r="G12" s="63" t="s">
        <v>53</v>
      </c>
      <c r="H12" s="124" t="s">
        <v>54</v>
      </c>
      <c r="I12" s="63" t="s">
        <v>55</v>
      </c>
      <c r="J12" s="63" t="s">
        <v>56</v>
      </c>
      <c r="K12" s="126">
        <v>801116</v>
      </c>
      <c r="L12" s="126" t="s">
        <v>57</v>
      </c>
      <c r="M12" s="47" t="s">
        <v>58</v>
      </c>
      <c r="N12" s="47" t="s">
        <v>59</v>
      </c>
      <c r="O12" s="125" t="s">
        <v>60</v>
      </c>
      <c r="P12" s="47" t="s">
        <v>98</v>
      </c>
      <c r="Q12" s="44">
        <v>3326900</v>
      </c>
      <c r="R12" s="45">
        <v>1</v>
      </c>
      <c r="S12" s="44">
        <f t="shared" si="0"/>
        <v>38259350</v>
      </c>
      <c r="T12" s="48" t="s">
        <v>62</v>
      </c>
      <c r="U12" s="48" t="s">
        <v>63</v>
      </c>
      <c r="V12" s="49" t="s">
        <v>64</v>
      </c>
      <c r="W12" s="48">
        <v>11.5</v>
      </c>
      <c r="X12" s="50" t="s">
        <v>99</v>
      </c>
      <c r="Y12" s="51">
        <v>43104</v>
      </c>
      <c r="Z12" s="52">
        <f t="shared" si="1"/>
        <v>38259350</v>
      </c>
      <c r="AA12" s="50"/>
      <c r="AB12" s="50">
        <v>226</v>
      </c>
      <c r="AC12" s="53">
        <v>43105</v>
      </c>
      <c r="AD12" s="44">
        <v>38259350</v>
      </c>
      <c r="AE12" s="70">
        <v>0</v>
      </c>
      <c r="AF12" s="50">
        <v>280</v>
      </c>
      <c r="AG12" s="50">
        <v>43122</v>
      </c>
      <c r="AH12" s="55">
        <v>38259350</v>
      </c>
      <c r="AI12" s="50" t="s">
        <v>100</v>
      </c>
      <c r="AJ12" s="50">
        <v>250</v>
      </c>
      <c r="AK12" s="64"/>
      <c r="AL12" s="55">
        <v>38259350</v>
      </c>
      <c r="AM12" s="69">
        <v>24286370</v>
      </c>
      <c r="AN12" s="69">
        <v>13972980</v>
      </c>
      <c r="AO12" s="58" t="s">
        <v>67</v>
      </c>
      <c r="AP12" s="64"/>
      <c r="AQ12" s="64"/>
      <c r="AR12" s="64"/>
      <c r="AS12" s="64"/>
      <c r="AT12" s="64"/>
      <c r="AU12" s="64"/>
      <c r="AV12" s="64"/>
      <c r="AW12" s="220"/>
    </row>
    <row r="13" spans="1:49" s="221" customFormat="1" ht="199.5" x14ac:dyDescent="0.25">
      <c r="A13" s="47">
        <v>9</v>
      </c>
      <c r="B13" s="47" t="s">
        <v>101</v>
      </c>
      <c r="C13" s="123" t="s">
        <v>49</v>
      </c>
      <c r="D13" s="63" t="s">
        <v>50</v>
      </c>
      <c r="E13" s="47" t="s">
        <v>51</v>
      </c>
      <c r="F13" s="63" t="s">
        <v>52</v>
      </c>
      <c r="G13" s="63" t="s">
        <v>53</v>
      </c>
      <c r="H13" s="124" t="s">
        <v>54</v>
      </c>
      <c r="I13" s="63" t="s">
        <v>55</v>
      </c>
      <c r="J13" s="63" t="s">
        <v>56</v>
      </c>
      <c r="K13" s="126">
        <v>801116</v>
      </c>
      <c r="L13" s="126" t="s">
        <v>57</v>
      </c>
      <c r="M13" s="47" t="s">
        <v>58</v>
      </c>
      <c r="N13" s="47" t="s">
        <v>59</v>
      </c>
      <c r="O13" s="125" t="s">
        <v>60</v>
      </c>
      <c r="P13" s="47" t="s">
        <v>102</v>
      </c>
      <c r="Q13" s="44">
        <v>4532000</v>
      </c>
      <c r="R13" s="45">
        <v>1</v>
      </c>
      <c r="S13" s="46">
        <f t="shared" si="0"/>
        <v>13596000</v>
      </c>
      <c r="T13" s="48" t="s">
        <v>62</v>
      </c>
      <c r="U13" s="48" t="s">
        <v>63</v>
      </c>
      <c r="V13" s="49" t="s">
        <v>64</v>
      </c>
      <c r="W13" s="48">
        <v>3</v>
      </c>
      <c r="X13" s="50" t="s">
        <v>103</v>
      </c>
      <c r="Y13" s="51">
        <v>43104</v>
      </c>
      <c r="Z13" s="52">
        <f t="shared" si="1"/>
        <v>13596000</v>
      </c>
      <c r="AA13" s="50"/>
      <c r="AB13" s="50">
        <v>228</v>
      </c>
      <c r="AC13" s="53">
        <v>43105</v>
      </c>
      <c r="AD13" s="44">
        <v>13596000</v>
      </c>
      <c r="AE13" s="70">
        <v>0</v>
      </c>
      <c r="AF13" s="50">
        <v>343</v>
      </c>
      <c r="AG13" s="50">
        <v>43123</v>
      </c>
      <c r="AH13" s="55">
        <v>13596000</v>
      </c>
      <c r="AI13" s="50" t="s">
        <v>104</v>
      </c>
      <c r="AJ13" s="50">
        <v>347</v>
      </c>
      <c r="AK13" s="64"/>
      <c r="AL13" s="55">
        <v>13596000</v>
      </c>
      <c r="AM13" s="69">
        <v>13596000</v>
      </c>
      <c r="AN13" s="69">
        <v>0</v>
      </c>
      <c r="AO13" s="58" t="s">
        <v>67</v>
      </c>
      <c r="AP13" s="64"/>
      <c r="AQ13" s="64"/>
      <c r="AR13" s="64"/>
      <c r="AS13" s="64"/>
      <c r="AT13" s="64"/>
      <c r="AU13" s="64"/>
      <c r="AV13" s="64"/>
      <c r="AW13" s="220"/>
    </row>
    <row r="14" spans="1:49" s="221" customFormat="1" ht="270.75" x14ac:dyDescent="0.25">
      <c r="A14" s="47">
        <v>10</v>
      </c>
      <c r="B14" s="47" t="s">
        <v>105</v>
      </c>
      <c r="C14" s="123" t="s">
        <v>49</v>
      </c>
      <c r="D14" s="63" t="s">
        <v>50</v>
      </c>
      <c r="E14" s="47" t="s">
        <v>89</v>
      </c>
      <c r="F14" s="63" t="s">
        <v>52</v>
      </c>
      <c r="G14" s="63" t="s">
        <v>53</v>
      </c>
      <c r="H14" s="124" t="s">
        <v>54</v>
      </c>
      <c r="I14" s="63" t="s">
        <v>55</v>
      </c>
      <c r="J14" s="63" t="s">
        <v>56</v>
      </c>
      <c r="K14" s="126">
        <v>801116</v>
      </c>
      <c r="L14" s="126" t="s">
        <v>57</v>
      </c>
      <c r="M14" s="47" t="s">
        <v>58</v>
      </c>
      <c r="N14" s="47" t="s">
        <v>59</v>
      </c>
      <c r="O14" s="125" t="s">
        <v>60</v>
      </c>
      <c r="P14" s="47" t="s">
        <v>106</v>
      </c>
      <c r="Q14" s="44">
        <v>1545000</v>
      </c>
      <c r="R14" s="45">
        <v>1</v>
      </c>
      <c r="S14" s="44">
        <f t="shared" si="0"/>
        <v>17767500</v>
      </c>
      <c r="T14" s="48" t="s">
        <v>62</v>
      </c>
      <c r="U14" s="48" t="s">
        <v>63</v>
      </c>
      <c r="V14" s="49" t="s">
        <v>64</v>
      </c>
      <c r="W14" s="48">
        <v>11.5</v>
      </c>
      <c r="X14" s="50" t="s">
        <v>107</v>
      </c>
      <c r="Y14" s="51">
        <v>43104</v>
      </c>
      <c r="Z14" s="52">
        <f t="shared" si="1"/>
        <v>17767500</v>
      </c>
      <c r="AA14" s="50"/>
      <c r="AB14" s="50">
        <v>177</v>
      </c>
      <c r="AC14" s="53">
        <v>43105</v>
      </c>
      <c r="AD14" s="44">
        <v>17767500</v>
      </c>
      <c r="AE14" s="70">
        <v>0</v>
      </c>
      <c r="AF14" s="50">
        <v>218</v>
      </c>
      <c r="AG14" s="50">
        <v>43118</v>
      </c>
      <c r="AH14" s="55">
        <v>17767500</v>
      </c>
      <c r="AI14" s="50" t="s">
        <v>108</v>
      </c>
      <c r="AJ14" s="50">
        <v>186</v>
      </c>
      <c r="AK14" s="64"/>
      <c r="AL14" s="55">
        <v>17767500</v>
      </c>
      <c r="AM14" s="69">
        <v>11433000</v>
      </c>
      <c r="AN14" s="69">
        <v>6334500</v>
      </c>
      <c r="AO14" s="58" t="s">
        <v>67</v>
      </c>
      <c r="AP14" s="64"/>
      <c r="AQ14" s="64"/>
      <c r="AR14" s="64"/>
      <c r="AS14" s="64"/>
      <c r="AT14" s="64"/>
      <c r="AU14" s="64"/>
      <c r="AV14" s="64"/>
      <c r="AW14" s="220"/>
    </row>
    <row r="15" spans="1:49" s="221" customFormat="1" ht="213.75" x14ac:dyDescent="0.25">
      <c r="A15" s="47">
        <v>11</v>
      </c>
      <c r="B15" s="47" t="s">
        <v>109</v>
      </c>
      <c r="C15" s="123" t="s">
        <v>49</v>
      </c>
      <c r="D15" s="63" t="s">
        <v>50</v>
      </c>
      <c r="E15" s="47" t="s">
        <v>89</v>
      </c>
      <c r="F15" s="63" t="s">
        <v>52</v>
      </c>
      <c r="G15" s="63" t="s">
        <v>53</v>
      </c>
      <c r="H15" s="124" t="s">
        <v>54</v>
      </c>
      <c r="I15" s="63" t="s">
        <v>55</v>
      </c>
      <c r="J15" s="63" t="s">
        <v>56</v>
      </c>
      <c r="K15" s="126">
        <v>801116</v>
      </c>
      <c r="L15" s="126" t="s">
        <v>57</v>
      </c>
      <c r="M15" s="47" t="s">
        <v>58</v>
      </c>
      <c r="N15" s="47" t="s">
        <v>59</v>
      </c>
      <c r="O15" s="125" t="s">
        <v>60</v>
      </c>
      <c r="P15" s="47" t="s">
        <v>110</v>
      </c>
      <c r="Q15" s="44">
        <v>3553500</v>
      </c>
      <c r="R15" s="45">
        <v>1</v>
      </c>
      <c r="S15" s="44">
        <f t="shared" si="0"/>
        <v>40865250</v>
      </c>
      <c r="T15" s="48" t="s">
        <v>62</v>
      </c>
      <c r="U15" s="48" t="s">
        <v>63</v>
      </c>
      <c r="V15" s="49" t="s">
        <v>64</v>
      </c>
      <c r="W15" s="48">
        <v>11.5</v>
      </c>
      <c r="X15" s="50" t="s">
        <v>111</v>
      </c>
      <c r="Y15" s="51">
        <v>43104</v>
      </c>
      <c r="Z15" s="52">
        <f t="shared" si="1"/>
        <v>40865250</v>
      </c>
      <c r="AA15" s="50"/>
      <c r="AB15" s="50">
        <v>180</v>
      </c>
      <c r="AC15" s="53">
        <v>43105</v>
      </c>
      <c r="AD15" s="44">
        <v>40865250</v>
      </c>
      <c r="AE15" s="70">
        <v>0</v>
      </c>
      <c r="AF15" s="50">
        <v>372</v>
      </c>
      <c r="AG15" s="50">
        <v>43124</v>
      </c>
      <c r="AH15" s="55">
        <v>40865250</v>
      </c>
      <c r="AI15" s="50" t="s">
        <v>112</v>
      </c>
      <c r="AJ15" s="50">
        <v>326</v>
      </c>
      <c r="AK15" s="64"/>
      <c r="AL15" s="55">
        <v>40865250</v>
      </c>
      <c r="AM15" s="69">
        <v>25585200</v>
      </c>
      <c r="AN15" s="69">
        <v>15280050</v>
      </c>
      <c r="AO15" s="58" t="s">
        <v>67</v>
      </c>
      <c r="AP15" s="64"/>
      <c r="AQ15" s="64"/>
      <c r="AR15" s="64"/>
      <c r="AS15" s="64"/>
      <c r="AT15" s="64"/>
      <c r="AU15" s="64"/>
      <c r="AV15" s="64"/>
      <c r="AW15" s="220"/>
    </row>
    <row r="16" spans="1:49" s="221" customFormat="1" ht="409.5" x14ac:dyDescent="0.25">
      <c r="A16" s="47">
        <v>12</v>
      </c>
      <c r="B16" s="47" t="s">
        <v>113</v>
      </c>
      <c r="C16" s="123" t="s">
        <v>49</v>
      </c>
      <c r="D16" s="63" t="s">
        <v>50</v>
      </c>
      <c r="E16" s="47" t="s">
        <v>89</v>
      </c>
      <c r="F16" s="63" t="s">
        <v>52</v>
      </c>
      <c r="G16" s="63" t="s">
        <v>53</v>
      </c>
      <c r="H16" s="124" t="s">
        <v>54</v>
      </c>
      <c r="I16" s="63" t="s">
        <v>55</v>
      </c>
      <c r="J16" s="63" t="s">
        <v>56</v>
      </c>
      <c r="K16" s="126">
        <v>801116</v>
      </c>
      <c r="L16" s="126" t="s">
        <v>57</v>
      </c>
      <c r="M16" s="47" t="s">
        <v>58</v>
      </c>
      <c r="N16" s="47" t="s">
        <v>59</v>
      </c>
      <c r="O16" s="125" t="s">
        <v>60</v>
      </c>
      <c r="P16" s="47" t="s">
        <v>114</v>
      </c>
      <c r="Q16" s="44">
        <v>6180000</v>
      </c>
      <c r="R16" s="45">
        <v>1</v>
      </c>
      <c r="S16" s="44">
        <f t="shared" si="0"/>
        <v>71070000</v>
      </c>
      <c r="T16" s="48" t="s">
        <v>62</v>
      </c>
      <c r="U16" s="48" t="s">
        <v>63</v>
      </c>
      <c r="V16" s="49" t="s">
        <v>64</v>
      </c>
      <c r="W16" s="48">
        <v>11.5</v>
      </c>
      <c r="X16" s="50" t="s">
        <v>115</v>
      </c>
      <c r="Y16" s="51">
        <v>43104</v>
      </c>
      <c r="Z16" s="52">
        <f t="shared" si="1"/>
        <v>71070000</v>
      </c>
      <c r="AA16" s="50"/>
      <c r="AB16" s="50">
        <v>184</v>
      </c>
      <c r="AC16" s="53">
        <v>43105</v>
      </c>
      <c r="AD16" s="44">
        <v>71070000</v>
      </c>
      <c r="AE16" s="70">
        <v>0</v>
      </c>
      <c r="AF16" s="50">
        <v>469</v>
      </c>
      <c r="AG16" s="50">
        <v>43126</v>
      </c>
      <c r="AH16" s="55">
        <v>71070000</v>
      </c>
      <c r="AI16" s="50" t="s">
        <v>116</v>
      </c>
      <c r="AJ16" s="50">
        <v>396</v>
      </c>
      <c r="AK16" s="64"/>
      <c r="AL16" s="55">
        <v>71070000</v>
      </c>
      <c r="AM16" s="69">
        <v>43672000</v>
      </c>
      <c r="AN16" s="69">
        <v>27398000</v>
      </c>
      <c r="AO16" s="58" t="s">
        <v>67</v>
      </c>
      <c r="AP16" s="64"/>
      <c r="AQ16" s="64"/>
      <c r="AR16" s="64"/>
      <c r="AS16" s="64"/>
      <c r="AT16" s="64"/>
      <c r="AU16" s="64"/>
      <c r="AV16" s="64"/>
      <c r="AW16" s="220"/>
    </row>
    <row r="17" spans="1:49" s="221" customFormat="1" ht="409.5" x14ac:dyDescent="0.25">
      <c r="A17" s="47">
        <v>13</v>
      </c>
      <c r="B17" s="47" t="s">
        <v>117</v>
      </c>
      <c r="C17" s="123" t="s">
        <v>49</v>
      </c>
      <c r="D17" s="63" t="s">
        <v>50</v>
      </c>
      <c r="E17" s="47" t="s">
        <v>51</v>
      </c>
      <c r="F17" s="63" t="s">
        <v>52</v>
      </c>
      <c r="G17" s="63" t="s">
        <v>53</v>
      </c>
      <c r="H17" s="124" t="s">
        <v>54</v>
      </c>
      <c r="I17" s="63" t="s">
        <v>55</v>
      </c>
      <c r="J17" s="63" t="s">
        <v>56</v>
      </c>
      <c r="K17" s="126">
        <v>801116</v>
      </c>
      <c r="L17" s="126" t="s">
        <v>57</v>
      </c>
      <c r="M17" s="47" t="s">
        <v>58</v>
      </c>
      <c r="N17" s="47" t="s">
        <v>59</v>
      </c>
      <c r="O17" s="125" t="s">
        <v>60</v>
      </c>
      <c r="P17" s="47" t="s">
        <v>118</v>
      </c>
      <c r="Q17" s="44">
        <v>11900000</v>
      </c>
      <c r="R17" s="45">
        <v>1</v>
      </c>
      <c r="S17" s="46">
        <f t="shared" si="0"/>
        <v>136850000</v>
      </c>
      <c r="T17" s="48" t="s">
        <v>62</v>
      </c>
      <c r="U17" s="48" t="s">
        <v>63</v>
      </c>
      <c r="V17" s="49" t="s">
        <v>64</v>
      </c>
      <c r="W17" s="48">
        <v>11.5</v>
      </c>
      <c r="X17" s="50" t="s">
        <v>119</v>
      </c>
      <c r="Y17" s="51">
        <v>43104</v>
      </c>
      <c r="Z17" s="52">
        <f t="shared" si="1"/>
        <v>136850000</v>
      </c>
      <c r="AA17" s="50"/>
      <c r="AB17" s="50">
        <v>187</v>
      </c>
      <c r="AC17" s="53">
        <v>43105</v>
      </c>
      <c r="AD17" s="44">
        <v>136850000</v>
      </c>
      <c r="AE17" s="70">
        <v>0</v>
      </c>
      <c r="AF17" s="50">
        <v>117</v>
      </c>
      <c r="AG17" s="50">
        <v>43117</v>
      </c>
      <c r="AH17" s="55">
        <v>136850000</v>
      </c>
      <c r="AI17" s="50" t="s">
        <v>120</v>
      </c>
      <c r="AJ17" s="50">
        <v>96</v>
      </c>
      <c r="AK17" s="64"/>
      <c r="AL17" s="55">
        <v>136850000</v>
      </c>
      <c r="AM17" s="69">
        <v>88853333</v>
      </c>
      <c r="AN17" s="69">
        <v>47996667</v>
      </c>
      <c r="AO17" s="58" t="s">
        <v>67</v>
      </c>
      <c r="AP17" s="64"/>
      <c r="AQ17" s="64"/>
      <c r="AR17" s="64"/>
      <c r="AS17" s="64"/>
      <c r="AT17" s="64"/>
      <c r="AU17" s="64"/>
      <c r="AV17" s="64"/>
      <c r="AW17" s="220"/>
    </row>
    <row r="18" spans="1:49" s="221" customFormat="1" ht="409.5" x14ac:dyDescent="0.25">
      <c r="A18" s="47">
        <v>14</v>
      </c>
      <c r="B18" s="47" t="s">
        <v>121</v>
      </c>
      <c r="C18" s="123" t="s">
        <v>49</v>
      </c>
      <c r="D18" s="63" t="s">
        <v>50</v>
      </c>
      <c r="E18" s="47" t="s">
        <v>89</v>
      </c>
      <c r="F18" s="63" t="s">
        <v>52</v>
      </c>
      <c r="G18" s="63" t="s">
        <v>53</v>
      </c>
      <c r="H18" s="124" t="s">
        <v>54</v>
      </c>
      <c r="I18" s="63" t="s">
        <v>55</v>
      </c>
      <c r="J18" s="63" t="s">
        <v>56</v>
      </c>
      <c r="K18" s="126">
        <v>801116</v>
      </c>
      <c r="L18" s="126" t="s">
        <v>57</v>
      </c>
      <c r="M18" s="47" t="s">
        <v>58</v>
      </c>
      <c r="N18" s="47" t="s">
        <v>59</v>
      </c>
      <c r="O18" s="125" t="s">
        <v>60</v>
      </c>
      <c r="P18" s="47" t="s">
        <v>122</v>
      </c>
      <c r="Q18" s="44">
        <v>5253000</v>
      </c>
      <c r="R18" s="45">
        <v>1</v>
      </c>
      <c r="S18" s="44">
        <f t="shared" si="0"/>
        <v>60409500</v>
      </c>
      <c r="T18" s="48" t="s">
        <v>62</v>
      </c>
      <c r="U18" s="48" t="s">
        <v>63</v>
      </c>
      <c r="V18" s="49" t="s">
        <v>64</v>
      </c>
      <c r="W18" s="48">
        <v>11.5</v>
      </c>
      <c r="X18" s="50" t="s">
        <v>123</v>
      </c>
      <c r="Y18" s="51">
        <v>43104</v>
      </c>
      <c r="Z18" s="52">
        <f t="shared" si="1"/>
        <v>60409500</v>
      </c>
      <c r="AA18" s="50"/>
      <c r="AB18" s="50">
        <v>218</v>
      </c>
      <c r="AC18" s="53">
        <v>43105</v>
      </c>
      <c r="AD18" s="44">
        <v>60409500</v>
      </c>
      <c r="AE18" s="70">
        <v>0</v>
      </c>
      <c r="AF18" s="50">
        <v>229</v>
      </c>
      <c r="AG18" s="50">
        <v>43118</v>
      </c>
      <c r="AH18" s="55">
        <v>60409500</v>
      </c>
      <c r="AI18" s="50" t="s">
        <v>124</v>
      </c>
      <c r="AJ18" s="50">
        <v>201</v>
      </c>
      <c r="AK18" s="64"/>
      <c r="AL18" s="55">
        <v>60409500</v>
      </c>
      <c r="AM18" s="69">
        <v>38872200</v>
      </c>
      <c r="AN18" s="69">
        <v>21537300</v>
      </c>
      <c r="AO18" s="58" t="s">
        <v>67</v>
      </c>
      <c r="AP18" s="64"/>
      <c r="AQ18" s="64"/>
      <c r="AR18" s="64"/>
      <c r="AS18" s="64"/>
      <c r="AT18" s="64"/>
      <c r="AU18" s="64"/>
      <c r="AV18" s="64"/>
      <c r="AW18" s="220"/>
    </row>
    <row r="19" spans="1:49" s="221" customFormat="1" ht="327.75" x14ac:dyDescent="0.25">
      <c r="A19" s="47">
        <v>15</v>
      </c>
      <c r="B19" s="47" t="s">
        <v>125</v>
      </c>
      <c r="C19" s="123" t="s">
        <v>49</v>
      </c>
      <c r="D19" s="63" t="s">
        <v>50</v>
      </c>
      <c r="E19" s="47" t="s">
        <v>89</v>
      </c>
      <c r="F19" s="63" t="s">
        <v>52</v>
      </c>
      <c r="G19" s="63" t="s">
        <v>53</v>
      </c>
      <c r="H19" s="124" t="s">
        <v>54</v>
      </c>
      <c r="I19" s="63" t="s">
        <v>55</v>
      </c>
      <c r="J19" s="63" t="s">
        <v>56</v>
      </c>
      <c r="K19" s="126">
        <v>801116</v>
      </c>
      <c r="L19" s="126" t="s">
        <v>57</v>
      </c>
      <c r="M19" s="47" t="s">
        <v>58</v>
      </c>
      <c r="N19" s="47" t="s">
        <v>59</v>
      </c>
      <c r="O19" s="125" t="s">
        <v>60</v>
      </c>
      <c r="P19" s="47" t="s">
        <v>126</v>
      </c>
      <c r="Q19" s="44">
        <v>4532000</v>
      </c>
      <c r="R19" s="45">
        <v>1</v>
      </c>
      <c r="S19" s="44">
        <f t="shared" si="0"/>
        <v>52118000</v>
      </c>
      <c r="T19" s="48" t="s">
        <v>62</v>
      </c>
      <c r="U19" s="48" t="s">
        <v>63</v>
      </c>
      <c r="V19" s="49" t="s">
        <v>64</v>
      </c>
      <c r="W19" s="48">
        <v>11.5</v>
      </c>
      <c r="X19" s="50" t="s">
        <v>127</v>
      </c>
      <c r="Y19" s="51">
        <v>43104</v>
      </c>
      <c r="Z19" s="52">
        <f t="shared" si="1"/>
        <v>52118000</v>
      </c>
      <c r="AA19" s="50"/>
      <c r="AB19" s="50">
        <v>224</v>
      </c>
      <c r="AC19" s="53">
        <v>43105</v>
      </c>
      <c r="AD19" s="44">
        <v>52118000</v>
      </c>
      <c r="AE19" s="70">
        <v>0</v>
      </c>
      <c r="AF19" s="50">
        <v>133</v>
      </c>
      <c r="AG19" s="50">
        <v>43117</v>
      </c>
      <c r="AH19" s="55">
        <v>52118000</v>
      </c>
      <c r="AI19" s="50" t="s">
        <v>128</v>
      </c>
      <c r="AJ19" s="50">
        <v>142</v>
      </c>
      <c r="AK19" s="64"/>
      <c r="AL19" s="55">
        <v>52118000</v>
      </c>
      <c r="AM19" s="69">
        <v>33687867</v>
      </c>
      <c r="AN19" s="69">
        <v>18430133</v>
      </c>
      <c r="AO19" s="58" t="s">
        <v>67</v>
      </c>
      <c r="AP19" s="64"/>
      <c r="AQ19" s="64"/>
      <c r="AR19" s="64"/>
      <c r="AS19" s="64"/>
      <c r="AT19" s="64"/>
      <c r="AU19" s="64"/>
      <c r="AV19" s="64"/>
      <c r="AW19" s="220"/>
    </row>
    <row r="20" spans="1:49" s="221" customFormat="1" ht="409.5" x14ac:dyDescent="0.25">
      <c r="A20" s="47">
        <v>16</v>
      </c>
      <c r="B20" s="47" t="s">
        <v>129</v>
      </c>
      <c r="C20" s="123" t="s">
        <v>49</v>
      </c>
      <c r="D20" s="63" t="s">
        <v>50</v>
      </c>
      <c r="E20" s="47" t="s">
        <v>51</v>
      </c>
      <c r="F20" s="63" t="s">
        <v>52</v>
      </c>
      <c r="G20" s="63" t="s">
        <v>53</v>
      </c>
      <c r="H20" s="124" t="s">
        <v>54</v>
      </c>
      <c r="I20" s="63" t="s">
        <v>55</v>
      </c>
      <c r="J20" s="63" t="s">
        <v>56</v>
      </c>
      <c r="K20" s="126">
        <v>801116</v>
      </c>
      <c r="L20" s="126" t="s">
        <v>57</v>
      </c>
      <c r="M20" s="47" t="s">
        <v>58</v>
      </c>
      <c r="N20" s="47" t="s">
        <v>59</v>
      </c>
      <c r="O20" s="125" t="s">
        <v>60</v>
      </c>
      <c r="P20" s="47" t="s">
        <v>130</v>
      </c>
      <c r="Q20" s="44">
        <v>12900000</v>
      </c>
      <c r="R20" s="45">
        <v>1</v>
      </c>
      <c r="S20" s="46">
        <f t="shared" si="0"/>
        <v>148350000</v>
      </c>
      <c r="T20" s="48" t="s">
        <v>62</v>
      </c>
      <c r="U20" s="48" t="s">
        <v>63</v>
      </c>
      <c r="V20" s="49" t="s">
        <v>64</v>
      </c>
      <c r="W20" s="48">
        <v>11.5</v>
      </c>
      <c r="X20" s="50" t="s">
        <v>131</v>
      </c>
      <c r="Y20" s="51">
        <v>43104</v>
      </c>
      <c r="Z20" s="52">
        <f t="shared" si="1"/>
        <v>148350000</v>
      </c>
      <c r="AA20" s="50"/>
      <c r="AB20" s="50">
        <v>227</v>
      </c>
      <c r="AC20" s="53">
        <v>43105</v>
      </c>
      <c r="AD20" s="44">
        <v>148350000</v>
      </c>
      <c r="AE20" s="70">
        <v>0</v>
      </c>
      <c r="AF20" s="50">
        <v>38</v>
      </c>
      <c r="AG20" s="50">
        <v>43116</v>
      </c>
      <c r="AH20" s="55">
        <v>148350000</v>
      </c>
      <c r="AI20" s="50" t="s">
        <v>132</v>
      </c>
      <c r="AJ20" s="50">
        <v>35</v>
      </c>
      <c r="AK20" s="64"/>
      <c r="AL20" s="55">
        <v>148350000</v>
      </c>
      <c r="AM20" s="69">
        <v>96320000</v>
      </c>
      <c r="AN20" s="69">
        <v>52030000</v>
      </c>
      <c r="AO20" s="58" t="s">
        <v>67</v>
      </c>
      <c r="AP20" s="64"/>
      <c r="AQ20" s="64"/>
      <c r="AR20" s="64"/>
      <c r="AS20" s="64"/>
      <c r="AT20" s="64"/>
      <c r="AU20" s="64"/>
      <c r="AV20" s="64"/>
      <c r="AW20" s="220"/>
    </row>
    <row r="21" spans="1:49" s="221" customFormat="1" ht="256.5" x14ac:dyDescent="0.25">
      <c r="A21" s="47">
        <v>17</v>
      </c>
      <c r="B21" s="47" t="s">
        <v>133</v>
      </c>
      <c r="C21" s="123" t="s">
        <v>49</v>
      </c>
      <c r="D21" s="63" t="s">
        <v>50</v>
      </c>
      <c r="E21" s="47" t="s">
        <v>89</v>
      </c>
      <c r="F21" s="63" t="s">
        <v>52</v>
      </c>
      <c r="G21" s="63" t="s">
        <v>53</v>
      </c>
      <c r="H21" s="124" t="s">
        <v>54</v>
      </c>
      <c r="I21" s="63" t="s">
        <v>55</v>
      </c>
      <c r="J21" s="63" t="s">
        <v>56</v>
      </c>
      <c r="K21" s="126">
        <v>801116</v>
      </c>
      <c r="L21" s="126" t="s">
        <v>57</v>
      </c>
      <c r="M21" s="47" t="s">
        <v>58</v>
      </c>
      <c r="N21" s="47" t="s">
        <v>59</v>
      </c>
      <c r="O21" s="125" t="s">
        <v>60</v>
      </c>
      <c r="P21" s="47" t="s">
        <v>134</v>
      </c>
      <c r="Q21" s="44">
        <v>4120000</v>
      </c>
      <c r="R21" s="45">
        <v>1</v>
      </c>
      <c r="S21" s="44">
        <f t="shared" si="0"/>
        <v>47380000</v>
      </c>
      <c r="T21" s="48" t="s">
        <v>62</v>
      </c>
      <c r="U21" s="48" t="s">
        <v>63</v>
      </c>
      <c r="V21" s="49" t="s">
        <v>64</v>
      </c>
      <c r="W21" s="48">
        <v>11.5</v>
      </c>
      <c r="X21" s="50" t="s">
        <v>135</v>
      </c>
      <c r="Y21" s="51">
        <v>43104</v>
      </c>
      <c r="Z21" s="52">
        <f t="shared" si="1"/>
        <v>47380000</v>
      </c>
      <c r="AA21" s="50"/>
      <c r="AB21" s="50">
        <v>229</v>
      </c>
      <c r="AC21" s="53">
        <v>43105</v>
      </c>
      <c r="AD21" s="44">
        <v>47380000</v>
      </c>
      <c r="AE21" s="70">
        <v>0</v>
      </c>
      <c r="AF21" s="50">
        <v>216</v>
      </c>
      <c r="AG21" s="50">
        <v>43118</v>
      </c>
      <c r="AH21" s="55">
        <v>47380000</v>
      </c>
      <c r="AI21" s="50" t="s">
        <v>136</v>
      </c>
      <c r="AJ21" s="50">
        <v>175</v>
      </c>
      <c r="AK21" s="64">
        <v>175</v>
      </c>
      <c r="AL21" s="55">
        <v>47380000</v>
      </c>
      <c r="AM21" s="69">
        <v>30488000</v>
      </c>
      <c r="AN21" s="69">
        <v>16892000</v>
      </c>
      <c r="AO21" s="58" t="s">
        <v>67</v>
      </c>
      <c r="AP21" s="64"/>
      <c r="AQ21" s="64"/>
      <c r="AR21" s="64"/>
      <c r="AS21" s="64"/>
      <c r="AT21" s="64"/>
      <c r="AU21" s="64"/>
      <c r="AV21" s="64"/>
      <c r="AW21" s="220"/>
    </row>
    <row r="22" spans="1:49" s="221" customFormat="1" ht="409.5" x14ac:dyDescent="0.25">
      <c r="A22" s="47">
        <v>18</v>
      </c>
      <c r="B22" s="47" t="s">
        <v>137</v>
      </c>
      <c r="C22" s="123" t="s">
        <v>49</v>
      </c>
      <c r="D22" s="63" t="s">
        <v>50</v>
      </c>
      <c r="E22" s="47" t="s">
        <v>89</v>
      </c>
      <c r="F22" s="63" t="s">
        <v>52</v>
      </c>
      <c r="G22" s="63" t="s">
        <v>53</v>
      </c>
      <c r="H22" s="124" t="s">
        <v>54</v>
      </c>
      <c r="I22" s="63" t="s">
        <v>55</v>
      </c>
      <c r="J22" s="63" t="s">
        <v>56</v>
      </c>
      <c r="K22" s="126">
        <v>801116</v>
      </c>
      <c r="L22" s="126" t="s">
        <v>57</v>
      </c>
      <c r="M22" s="47" t="s">
        <v>58</v>
      </c>
      <c r="N22" s="47" t="s">
        <v>59</v>
      </c>
      <c r="O22" s="125" t="s">
        <v>60</v>
      </c>
      <c r="P22" s="47" t="s">
        <v>138</v>
      </c>
      <c r="Q22" s="44">
        <v>5665000</v>
      </c>
      <c r="R22" s="45">
        <v>1</v>
      </c>
      <c r="S22" s="44">
        <f t="shared" si="0"/>
        <v>65147500</v>
      </c>
      <c r="T22" s="48" t="s">
        <v>62</v>
      </c>
      <c r="U22" s="48" t="s">
        <v>63</v>
      </c>
      <c r="V22" s="49" t="s">
        <v>64</v>
      </c>
      <c r="W22" s="48">
        <v>11.5</v>
      </c>
      <c r="X22" s="50" t="s">
        <v>139</v>
      </c>
      <c r="Y22" s="51">
        <v>43104</v>
      </c>
      <c r="Z22" s="52">
        <f t="shared" si="1"/>
        <v>65147500</v>
      </c>
      <c r="AA22" s="50"/>
      <c r="AB22" s="50">
        <v>231</v>
      </c>
      <c r="AC22" s="53">
        <v>43105</v>
      </c>
      <c r="AD22" s="44">
        <v>65147500</v>
      </c>
      <c r="AE22" s="70">
        <v>0</v>
      </c>
      <c r="AF22" s="50">
        <v>88</v>
      </c>
      <c r="AG22" s="50">
        <v>43116</v>
      </c>
      <c r="AH22" s="55">
        <v>65147500</v>
      </c>
      <c r="AI22" s="50" t="s">
        <v>140</v>
      </c>
      <c r="AJ22" s="50">
        <v>73</v>
      </c>
      <c r="AK22" s="64"/>
      <c r="AL22" s="55">
        <v>65147500</v>
      </c>
      <c r="AM22" s="69">
        <v>42298667</v>
      </c>
      <c r="AN22" s="69">
        <v>22848833</v>
      </c>
      <c r="AO22" s="58" t="s">
        <v>67</v>
      </c>
      <c r="AP22" s="64"/>
      <c r="AQ22" s="64"/>
      <c r="AR22" s="64"/>
      <c r="AS22" s="64"/>
      <c r="AT22" s="64"/>
      <c r="AU22" s="64"/>
      <c r="AV22" s="64"/>
      <c r="AW22" s="220"/>
    </row>
    <row r="23" spans="1:49" s="221" customFormat="1" ht="370.5" x14ac:dyDescent="0.25">
      <c r="A23" s="47">
        <v>19</v>
      </c>
      <c r="B23" s="47" t="s">
        <v>141</v>
      </c>
      <c r="C23" s="123" t="s">
        <v>49</v>
      </c>
      <c r="D23" s="63" t="s">
        <v>50</v>
      </c>
      <c r="E23" s="47" t="s">
        <v>89</v>
      </c>
      <c r="F23" s="63" t="s">
        <v>52</v>
      </c>
      <c r="G23" s="63" t="s">
        <v>53</v>
      </c>
      <c r="H23" s="124" t="s">
        <v>54</v>
      </c>
      <c r="I23" s="63" t="s">
        <v>55</v>
      </c>
      <c r="J23" s="63" t="s">
        <v>56</v>
      </c>
      <c r="K23" s="126">
        <v>801116</v>
      </c>
      <c r="L23" s="126" t="s">
        <v>57</v>
      </c>
      <c r="M23" s="47" t="s">
        <v>58</v>
      </c>
      <c r="N23" s="47" t="s">
        <v>59</v>
      </c>
      <c r="O23" s="125" t="s">
        <v>60</v>
      </c>
      <c r="P23" s="47" t="s">
        <v>142</v>
      </c>
      <c r="Q23" s="44">
        <v>5253000</v>
      </c>
      <c r="R23" s="45">
        <v>1</v>
      </c>
      <c r="S23" s="44">
        <f t="shared" si="0"/>
        <v>60409500</v>
      </c>
      <c r="T23" s="48" t="s">
        <v>62</v>
      </c>
      <c r="U23" s="48" t="s">
        <v>63</v>
      </c>
      <c r="V23" s="49" t="s">
        <v>64</v>
      </c>
      <c r="W23" s="48">
        <v>11.5</v>
      </c>
      <c r="X23" s="50" t="s">
        <v>143</v>
      </c>
      <c r="Y23" s="51">
        <v>43104</v>
      </c>
      <c r="Z23" s="52">
        <f t="shared" si="1"/>
        <v>60409500</v>
      </c>
      <c r="AA23" s="50"/>
      <c r="AB23" s="50">
        <v>233</v>
      </c>
      <c r="AC23" s="53">
        <v>43105</v>
      </c>
      <c r="AD23" s="44">
        <v>60409500</v>
      </c>
      <c r="AE23" s="70">
        <v>0</v>
      </c>
      <c r="AF23" s="50">
        <v>95</v>
      </c>
      <c r="AG23" s="50">
        <v>43116</v>
      </c>
      <c r="AH23" s="55">
        <v>60409500</v>
      </c>
      <c r="AI23" s="50" t="s">
        <v>144</v>
      </c>
      <c r="AJ23" s="50">
        <v>72</v>
      </c>
      <c r="AK23" s="64"/>
      <c r="AL23" s="55">
        <v>60409500</v>
      </c>
      <c r="AM23" s="69">
        <v>39222400</v>
      </c>
      <c r="AN23" s="69">
        <v>21187100</v>
      </c>
      <c r="AO23" s="58" t="s">
        <v>67</v>
      </c>
      <c r="AP23" s="64"/>
      <c r="AQ23" s="64"/>
      <c r="AR23" s="64"/>
      <c r="AS23" s="64"/>
      <c r="AT23" s="64"/>
      <c r="AU23" s="64"/>
      <c r="AV23" s="64"/>
      <c r="AW23" s="220"/>
    </row>
    <row r="24" spans="1:49" s="221" customFormat="1" ht="213.75" x14ac:dyDescent="0.25">
      <c r="A24" s="47">
        <v>20</v>
      </c>
      <c r="B24" s="47" t="s">
        <v>145</v>
      </c>
      <c r="C24" s="123" t="s">
        <v>49</v>
      </c>
      <c r="D24" s="63" t="s">
        <v>50</v>
      </c>
      <c r="E24" s="47" t="s">
        <v>89</v>
      </c>
      <c r="F24" s="63" t="s">
        <v>52</v>
      </c>
      <c r="G24" s="63" t="s">
        <v>53</v>
      </c>
      <c r="H24" s="124" t="s">
        <v>54</v>
      </c>
      <c r="I24" s="63" t="s">
        <v>55</v>
      </c>
      <c r="J24" s="63" t="s">
        <v>56</v>
      </c>
      <c r="K24" s="126">
        <v>801116</v>
      </c>
      <c r="L24" s="126" t="s">
        <v>57</v>
      </c>
      <c r="M24" s="47" t="s">
        <v>58</v>
      </c>
      <c r="N24" s="47" t="s">
        <v>59</v>
      </c>
      <c r="O24" s="125" t="s">
        <v>60</v>
      </c>
      <c r="P24" s="47" t="s">
        <v>110</v>
      </c>
      <c r="Q24" s="44">
        <v>3553500</v>
      </c>
      <c r="R24" s="45">
        <v>1</v>
      </c>
      <c r="S24" s="44">
        <f t="shared" si="0"/>
        <v>40865250</v>
      </c>
      <c r="T24" s="48" t="s">
        <v>62</v>
      </c>
      <c r="U24" s="48" t="s">
        <v>63</v>
      </c>
      <c r="V24" s="49" t="s">
        <v>64</v>
      </c>
      <c r="W24" s="48">
        <v>11.5</v>
      </c>
      <c r="X24" s="50" t="s">
        <v>146</v>
      </c>
      <c r="Y24" s="51">
        <v>43104</v>
      </c>
      <c r="Z24" s="52">
        <f t="shared" si="1"/>
        <v>40865250</v>
      </c>
      <c r="AA24" s="50"/>
      <c r="AB24" s="50">
        <v>243</v>
      </c>
      <c r="AC24" s="53">
        <v>43105</v>
      </c>
      <c r="AD24" s="44">
        <v>40865250</v>
      </c>
      <c r="AE24" s="70">
        <v>0</v>
      </c>
      <c r="AF24" s="50">
        <v>255</v>
      </c>
      <c r="AG24" s="50">
        <v>43119</v>
      </c>
      <c r="AH24" s="55">
        <v>40865250</v>
      </c>
      <c r="AI24" s="50" t="s">
        <v>147</v>
      </c>
      <c r="AJ24" s="50">
        <v>231</v>
      </c>
      <c r="AK24" s="64"/>
      <c r="AL24" s="55">
        <v>40865250</v>
      </c>
      <c r="AM24" s="69">
        <v>25940550</v>
      </c>
      <c r="AN24" s="69">
        <v>14924700</v>
      </c>
      <c r="AO24" s="58" t="s">
        <v>67</v>
      </c>
      <c r="AP24" s="64"/>
      <c r="AQ24" s="64"/>
      <c r="AR24" s="64"/>
      <c r="AS24" s="64"/>
      <c r="AT24" s="64"/>
      <c r="AU24" s="64"/>
      <c r="AV24" s="64"/>
      <c r="AW24" s="220"/>
    </row>
    <row r="25" spans="1:49" s="221" customFormat="1" ht="370.5" x14ac:dyDescent="0.25">
      <c r="A25" s="47">
        <v>21</v>
      </c>
      <c r="B25" s="47" t="s">
        <v>148</v>
      </c>
      <c r="C25" s="123" t="s">
        <v>49</v>
      </c>
      <c r="D25" s="63" t="s">
        <v>50</v>
      </c>
      <c r="E25" s="47" t="s">
        <v>89</v>
      </c>
      <c r="F25" s="63" t="s">
        <v>52</v>
      </c>
      <c r="G25" s="63" t="s">
        <v>53</v>
      </c>
      <c r="H25" s="124" t="s">
        <v>54</v>
      </c>
      <c r="I25" s="63" t="s">
        <v>55</v>
      </c>
      <c r="J25" s="63" t="s">
        <v>56</v>
      </c>
      <c r="K25" s="126">
        <v>801116</v>
      </c>
      <c r="L25" s="126" t="s">
        <v>57</v>
      </c>
      <c r="M25" s="47" t="s">
        <v>58</v>
      </c>
      <c r="N25" s="47" t="s">
        <v>59</v>
      </c>
      <c r="O25" s="125" t="s">
        <v>60</v>
      </c>
      <c r="P25" s="47" t="s">
        <v>94</v>
      </c>
      <c r="Q25" s="44">
        <v>5665000</v>
      </c>
      <c r="R25" s="47">
        <v>1</v>
      </c>
      <c r="S25" s="44">
        <f>+Q25*R25*W25-65147500</f>
        <v>0</v>
      </c>
      <c r="T25" s="48" t="s">
        <v>62</v>
      </c>
      <c r="U25" s="48" t="s">
        <v>63</v>
      </c>
      <c r="V25" s="49" t="s">
        <v>64</v>
      </c>
      <c r="W25" s="48">
        <v>11.5</v>
      </c>
      <c r="X25" s="48" t="s">
        <v>149</v>
      </c>
      <c r="Y25" s="60">
        <v>43104</v>
      </c>
      <c r="Z25" s="44">
        <f t="shared" si="1"/>
        <v>0</v>
      </c>
      <c r="AA25" s="64"/>
      <c r="AB25" s="50">
        <v>0</v>
      </c>
      <c r="AC25" s="60">
        <v>43105</v>
      </c>
      <c r="AD25" s="50">
        <v>0</v>
      </c>
      <c r="AE25" s="64"/>
      <c r="AF25" s="50">
        <v>0</v>
      </c>
      <c r="AG25" s="50">
        <v>0</v>
      </c>
      <c r="AH25" s="55">
        <v>0</v>
      </c>
      <c r="AI25" s="50">
        <v>0</v>
      </c>
      <c r="AJ25" s="50">
        <v>0</v>
      </c>
      <c r="AK25" s="64"/>
      <c r="AL25" s="55">
        <v>0</v>
      </c>
      <c r="AM25" s="55">
        <v>0</v>
      </c>
      <c r="AN25" s="64"/>
      <c r="AO25" s="58" t="s">
        <v>67</v>
      </c>
      <c r="AP25" s="64"/>
      <c r="AQ25" s="58" t="s">
        <v>150</v>
      </c>
      <c r="AR25" s="61">
        <v>43150</v>
      </c>
      <c r="AS25" s="58" t="s">
        <v>78</v>
      </c>
      <c r="AT25" s="64"/>
      <c r="AU25" s="58" t="s">
        <v>79</v>
      </c>
      <c r="AV25" s="64"/>
      <c r="AW25" s="220"/>
    </row>
    <row r="26" spans="1:49" s="221" customFormat="1" ht="409.5" x14ac:dyDescent="0.25">
      <c r="A26" s="47">
        <v>22</v>
      </c>
      <c r="B26" s="47" t="s">
        <v>151</v>
      </c>
      <c r="C26" s="123" t="s">
        <v>49</v>
      </c>
      <c r="D26" s="63" t="s">
        <v>50</v>
      </c>
      <c r="E26" s="47" t="s">
        <v>89</v>
      </c>
      <c r="F26" s="63" t="s">
        <v>52</v>
      </c>
      <c r="G26" s="63" t="s">
        <v>53</v>
      </c>
      <c r="H26" s="124" t="s">
        <v>54</v>
      </c>
      <c r="I26" s="63" t="s">
        <v>55</v>
      </c>
      <c r="J26" s="63" t="s">
        <v>56</v>
      </c>
      <c r="K26" s="126">
        <v>801116</v>
      </c>
      <c r="L26" s="126" t="s">
        <v>57</v>
      </c>
      <c r="M26" s="47" t="s">
        <v>58</v>
      </c>
      <c r="N26" s="47" t="s">
        <v>59</v>
      </c>
      <c r="O26" s="125" t="s">
        <v>60</v>
      </c>
      <c r="P26" s="47" t="s">
        <v>152</v>
      </c>
      <c r="Q26" s="44">
        <v>3553500</v>
      </c>
      <c r="R26" s="45">
        <v>1</v>
      </c>
      <c r="S26" s="44">
        <f t="shared" si="0"/>
        <v>31981500</v>
      </c>
      <c r="T26" s="48" t="s">
        <v>62</v>
      </c>
      <c r="U26" s="48" t="s">
        <v>63</v>
      </c>
      <c r="V26" s="49" t="s">
        <v>64</v>
      </c>
      <c r="W26" s="48">
        <v>9</v>
      </c>
      <c r="X26" s="50" t="s">
        <v>153</v>
      </c>
      <c r="Y26" s="51">
        <v>43104</v>
      </c>
      <c r="Z26" s="52">
        <f t="shared" si="1"/>
        <v>31981500</v>
      </c>
      <c r="AA26" s="50"/>
      <c r="AB26" s="50">
        <v>240</v>
      </c>
      <c r="AC26" s="53">
        <v>43105</v>
      </c>
      <c r="AD26" s="44">
        <v>31981500</v>
      </c>
      <c r="AE26" s="70">
        <v>0</v>
      </c>
      <c r="AF26" s="50">
        <v>301</v>
      </c>
      <c r="AG26" s="50">
        <v>43122</v>
      </c>
      <c r="AH26" s="55">
        <v>31981500</v>
      </c>
      <c r="AI26" s="50" t="s">
        <v>154</v>
      </c>
      <c r="AJ26" s="50">
        <v>266</v>
      </c>
      <c r="AK26" s="64"/>
      <c r="AL26" s="55">
        <v>31981500</v>
      </c>
      <c r="AM26" s="69">
        <v>25822100</v>
      </c>
      <c r="AN26" s="69">
        <v>6159400</v>
      </c>
      <c r="AO26" s="58" t="s">
        <v>67</v>
      </c>
      <c r="AP26" s="64"/>
      <c r="AQ26" s="64"/>
      <c r="AR26" s="64"/>
      <c r="AS26" s="64"/>
      <c r="AT26" s="64"/>
      <c r="AU26" s="64"/>
      <c r="AV26" s="64"/>
      <c r="AW26" s="220"/>
    </row>
    <row r="27" spans="1:49" s="221" customFormat="1" ht="384.75" x14ac:dyDescent="0.25">
      <c r="A27" s="47">
        <v>23</v>
      </c>
      <c r="B27" s="47" t="s">
        <v>155</v>
      </c>
      <c r="C27" s="123" t="s">
        <v>49</v>
      </c>
      <c r="D27" s="63" t="s">
        <v>50</v>
      </c>
      <c r="E27" s="47" t="s">
        <v>51</v>
      </c>
      <c r="F27" s="63" t="s">
        <v>52</v>
      </c>
      <c r="G27" s="63" t="s">
        <v>53</v>
      </c>
      <c r="H27" s="124" t="s">
        <v>54</v>
      </c>
      <c r="I27" s="63" t="s">
        <v>55</v>
      </c>
      <c r="J27" s="63" t="s">
        <v>56</v>
      </c>
      <c r="K27" s="126">
        <v>801116</v>
      </c>
      <c r="L27" s="126" t="s">
        <v>57</v>
      </c>
      <c r="M27" s="47" t="s">
        <v>58</v>
      </c>
      <c r="N27" s="47" t="s">
        <v>59</v>
      </c>
      <c r="O27" s="125" t="s">
        <v>60</v>
      </c>
      <c r="P27" s="47" t="s">
        <v>156</v>
      </c>
      <c r="Q27" s="44">
        <v>8240000</v>
      </c>
      <c r="R27" s="45">
        <v>1</v>
      </c>
      <c r="S27" s="46">
        <f t="shared" si="0"/>
        <v>94760000</v>
      </c>
      <c r="T27" s="48" t="s">
        <v>62</v>
      </c>
      <c r="U27" s="48" t="s">
        <v>63</v>
      </c>
      <c r="V27" s="49" t="s">
        <v>64</v>
      </c>
      <c r="W27" s="48">
        <v>11.5</v>
      </c>
      <c r="X27" s="50" t="s">
        <v>157</v>
      </c>
      <c r="Y27" s="51">
        <v>43104</v>
      </c>
      <c r="Z27" s="52">
        <f t="shared" si="1"/>
        <v>94760000</v>
      </c>
      <c r="AA27" s="50"/>
      <c r="AB27" s="50">
        <v>241</v>
      </c>
      <c r="AC27" s="53">
        <v>43105</v>
      </c>
      <c r="AD27" s="44">
        <v>94760000</v>
      </c>
      <c r="AE27" s="70">
        <v>0</v>
      </c>
      <c r="AF27" s="50">
        <v>136</v>
      </c>
      <c r="AG27" s="50">
        <v>43117</v>
      </c>
      <c r="AH27" s="55">
        <v>94760000</v>
      </c>
      <c r="AI27" s="50" t="s">
        <v>158</v>
      </c>
      <c r="AJ27" s="50">
        <v>114</v>
      </c>
      <c r="AK27" s="64"/>
      <c r="AL27" s="55">
        <v>94760000</v>
      </c>
      <c r="AM27" s="69">
        <v>61250666</v>
      </c>
      <c r="AN27" s="69">
        <v>33509334</v>
      </c>
      <c r="AO27" s="58" t="s">
        <v>67</v>
      </c>
      <c r="AP27" s="64"/>
      <c r="AQ27" s="64"/>
      <c r="AR27" s="64"/>
      <c r="AS27" s="64"/>
      <c r="AT27" s="64"/>
      <c r="AU27" s="64"/>
      <c r="AV27" s="64"/>
      <c r="AW27" s="220"/>
    </row>
    <row r="28" spans="1:49" s="221" customFormat="1" ht="399" x14ac:dyDescent="0.25">
      <c r="A28" s="47">
        <v>24</v>
      </c>
      <c r="B28" s="47" t="s">
        <v>159</v>
      </c>
      <c r="C28" s="123" t="s">
        <v>49</v>
      </c>
      <c r="D28" s="63" t="s">
        <v>50</v>
      </c>
      <c r="E28" s="47" t="s">
        <v>89</v>
      </c>
      <c r="F28" s="63" t="s">
        <v>52</v>
      </c>
      <c r="G28" s="63" t="s">
        <v>53</v>
      </c>
      <c r="H28" s="124" t="s">
        <v>54</v>
      </c>
      <c r="I28" s="63" t="s">
        <v>55</v>
      </c>
      <c r="J28" s="63" t="s">
        <v>56</v>
      </c>
      <c r="K28" s="126">
        <v>801116</v>
      </c>
      <c r="L28" s="126" t="s">
        <v>57</v>
      </c>
      <c r="M28" s="47" t="s">
        <v>58</v>
      </c>
      <c r="N28" s="47" t="s">
        <v>59</v>
      </c>
      <c r="O28" s="125" t="s">
        <v>60</v>
      </c>
      <c r="P28" s="47" t="s">
        <v>160</v>
      </c>
      <c r="Q28" s="44">
        <v>7210000</v>
      </c>
      <c r="R28" s="45">
        <v>1</v>
      </c>
      <c r="S28" s="44">
        <f t="shared" si="0"/>
        <v>82915000</v>
      </c>
      <c r="T28" s="48" t="s">
        <v>62</v>
      </c>
      <c r="U28" s="48" t="s">
        <v>63</v>
      </c>
      <c r="V28" s="49" t="s">
        <v>64</v>
      </c>
      <c r="W28" s="48">
        <v>11.5</v>
      </c>
      <c r="X28" s="50" t="s">
        <v>161</v>
      </c>
      <c r="Y28" s="51">
        <v>43104</v>
      </c>
      <c r="Z28" s="52">
        <f t="shared" si="1"/>
        <v>82915000</v>
      </c>
      <c r="AA28" s="50"/>
      <c r="AB28" s="50">
        <v>242</v>
      </c>
      <c r="AC28" s="53">
        <v>43105</v>
      </c>
      <c r="AD28" s="44">
        <v>82915000</v>
      </c>
      <c r="AE28" s="70">
        <v>0</v>
      </c>
      <c r="AF28" s="50">
        <v>138</v>
      </c>
      <c r="AG28" s="50">
        <v>43117</v>
      </c>
      <c r="AH28" s="55">
        <v>82915000</v>
      </c>
      <c r="AI28" s="50" t="s">
        <v>162</v>
      </c>
      <c r="AJ28" s="50">
        <v>115</v>
      </c>
      <c r="AK28" s="64"/>
      <c r="AL28" s="55">
        <v>82915000</v>
      </c>
      <c r="AM28" s="69">
        <v>53594333</v>
      </c>
      <c r="AN28" s="69">
        <v>29320667</v>
      </c>
      <c r="AO28" s="58" t="s">
        <v>67</v>
      </c>
      <c r="AP28" s="64"/>
      <c r="AQ28" s="64"/>
      <c r="AR28" s="64"/>
      <c r="AS28" s="64"/>
      <c r="AT28" s="64"/>
      <c r="AU28" s="64"/>
      <c r="AV28" s="64"/>
      <c r="AW28" s="220"/>
    </row>
    <row r="29" spans="1:49" s="221" customFormat="1" ht="270.75" x14ac:dyDescent="0.25">
      <c r="A29" s="47">
        <v>25</v>
      </c>
      <c r="B29" s="47" t="s">
        <v>163</v>
      </c>
      <c r="C29" s="123" t="s">
        <v>49</v>
      </c>
      <c r="D29" s="63" t="s">
        <v>50</v>
      </c>
      <c r="E29" s="47" t="s">
        <v>89</v>
      </c>
      <c r="F29" s="63" t="s">
        <v>52</v>
      </c>
      <c r="G29" s="63" t="s">
        <v>53</v>
      </c>
      <c r="H29" s="124" t="s">
        <v>54</v>
      </c>
      <c r="I29" s="63" t="s">
        <v>55</v>
      </c>
      <c r="J29" s="63" t="s">
        <v>56</v>
      </c>
      <c r="K29" s="126">
        <v>801116</v>
      </c>
      <c r="L29" s="126" t="s">
        <v>57</v>
      </c>
      <c r="M29" s="47" t="s">
        <v>58</v>
      </c>
      <c r="N29" s="47" t="s">
        <v>59</v>
      </c>
      <c r="O29" s="125" t="s">
        <v>60</v>
      </c>
      <c r="P29" s="47" t="s">
        <v>164</v>
      </c>
      <c r="Q29" s="44">
        <v>3326900</v>
      </c>
      <c r="R29" s="45">
        <v>1</v>
      </c>
      <c r="S29" s="44">
        <f t="shared" si="0"/>
        <v>38259350</v>
      </c>
      <c r="T29" s="48" t="s">
        <v>62</v>
      </c>
      <c r="U29" s="48" t="s">
        <v>63</v>
      </c>
      <c r="V29" s="49" t="s">
        <v>64</v>
      </c>
      <c r="W29" s="48">
        <v>11.5</v>
      </c>
      <c r="X29" s="50" t="s">
        <v>165</v>
      </c>
      <c r="Y29" s="51">
        <v>43104</v>
      </c>
      <c r="Z29" s="52">
        <f t="shared" si="1"/>
        <v>38259350</v>
      </c>
      <c r="AA29" s="50"/>
      <c r="AB29" s="50">
        <v>244</v>
      </c>
      <c r="AC29" s="53">
        <v>43105</v>
      </c>
      <c r="AD29" s="44">
        <v>38259350</v>
      </c>
      <c r="AE29" s="70">
        <v>0</v>
      </c>
      <c r="AF29" s="50">
        <v>84</v>
      </c>
      <c r="AG29" s="50">
        <v>43116</v>
      </c>
      <c r="AH29" s="55">
        <v>38259350</v>
      </c>
      <c r="AI29" s="50" t="s">
        <v>166</v>
      </c>
      <c r="AJ29" s="50">
        <v>82</v>
      </c>
      <c r="AK29" s="64"/>
      <c r="AL29" s="55">
        <v>38259350</v>
      </c>
      <c r="AM29" s="69">
        <v>24840854</v>
      </c>
      <c r="AN29" s="69">
        <v>13418496</v>
      </c>
      <c r="AO29" s="58" t="s">
        <v>67</v>
      </c>
      <c r="AP29" s="64"/>
      <c r="AQ29" s="64"/>
      <c r="AR29" s="64"/>
      <c r="AS29" s="64"/>
      <c r="AT29" s="64"/>
      <c r="AU29" s="64"/>
      <c r="AV29" s="64"/>
      <c r="AW29" s="220"/>
    </row>
    <row r="30" spans="1:49" s="221" customFormat="1" ht="213.75" x14ac:dyDescent="0.25">
      <c r="A30" s="47">
        <v>26</v>
      </c>
      <c r="B30" s="47" t="s">
        <v>167</v>
      </c>
      <c r="C30" s="123" t="s">
        <v>49</v>
      </c>
      <c r="D30" s="63" t="s">
        <v>50</v>
      </c>
      <c r="E30" s="47" t="s">
        <v>89</v>
      </c>
      <c r="F30" s="63" t="s">
        <v>52</v>
      </c>
      <c r="G30" s="63" t="s">
        <v>53</v>
      </c>
      <c r="H30" s="124" t="s">
        <v>54</v>
      </c>
      <c r="I30" s="63" t="s">
        <v>55</v>
      </c>
      <c r="J30" s="63" t="s">
        <v>56</v>
      </c>
      <c r="K30" s="126">
        <v>801116</v>
      </c>
      <c r="L30" s="126" t="s">
        <v>57</v>
      </c>
      <c r="M30" s="47" t="s">
        <v>58</v>
      </c>
      <c r="N30" s="47" t="s">
        <v>59</v>
      </c>
      <c r="O30" s="125" t="s">
        <v>60</v>
      </c>
      <c r="P30" s="47" t="s">
        <v>110</v>
      </c>
      <c r="Q30" s="44">
        <v>3553500</v>
      </c>
      <c r="R30" s="45">
        <v>1</v>
      </c>
      <c r="S30" s="44">
        <f t="shared" si="0"/>
        <v>40865250</v>
      </c>
      <c r="T30" s="48" t="s">
        <v>168</v>
      </c>
      <c r="U30" s="48" t="s">
        <v>63</v>
      </c>
      <c r="V30" s="49" t="s">
        <v>64</v>
      </c>
      <c r="W30" s="48">
        <v>11.5</v>
      </c>
      <c r="X30" s="50" t="s">
        <v>169</v>
      </c>
      <c r="Y30" s="51">
        <v>43104</v>
      </c>
      <c r="Z30" s="52">
        <f t="shared" si="1"/>
        <v>40865250</v>
      </c>
      <c r="AA30" s="50"/>
      <c r="AB30" s="50">
        <v>245</v>
      </c>
      <c r="AC30" s="53">
        <v>43105</v>
      </c>
      <c r="AD30" s="44">
        <v>40865250</v>
      </c>
      <c r="AE30" s="70">
        <v>0</v>
      </c>
      <c r="AF30" s="50">
        <v>234</v>
      </c>
      <c r="AG30" s="50">
        <v>43119</v>
      </c>
      <c r="AH30" s="55">
        <v>40865250</v>
      </c>
      <c r="AI30" s="50" t="s">
        <v>170</v>
      </c>
      <c r="AJ30" s="50">
        <v>210</v>
      </c>
      <c r="AK30" s="64"/>
      <c r="AL30" s="55">
        <v>40865250</v>
      </c>
      <c r="AM30" s="69">
        <v>26295900</v>
      </c>
      <c r="AN30" s="69">
        <v>14569350</v>
      </c>
      <c r="AO30" s="58" t="s">
        <v>67</v>
      </c>
      <c r="AP30" s="64"/>
      <c r="AQ30" s="64"/>
      <c r="AR30" s="64"/>
      <c r="AS30" s="64"/>
      <c r="AT30" s="64"/>
      <c r="AU30" s="64"/>
      <c r="AV30" s="64"/>
      <c r="AW30" s="220"/>
    </row>
    <row r="31" spans="1:49" s="221" customFormat="1" ht="199.5" x14ac:dyDescent="0.25">
      <c r="A31" s="47">
        <v>27</v>
      </c>
      <c r="B31" s="47" t="s">
        <v>171</v>
      </c>
      <c r="C31" s="123" t="s">
        <v>49</v>
      </c>
      <c r="D31" s="63" t="s">
        <v>50</v>
      </c>
      <c r="E31" s="47" t="s">
        <v>51</v>
      </c>
      <c r="F31" s="63" t="s">
        <v>52</v>
      </c>
      <c r="G31" s="63" t="s">
        <v>53</v>
      </c>
      <c r="H31" s="124" t="s">
        <v>54</v>
      </c>
      <c r="I31" s="63" t="s">
        <v>55</v>
      </c>
      <c r="J31" s="63" t="s">
        <v>56</v>
      </c>
      <c r="K31" s="126">
        <v>801116</v>
      </c>
      <c r="L31" s="126" t="s">
        <v>57</v>
      </c>
      <c r="M31" s="47" t="s">
        <v>58</v>
      </c>
      <c r="N31" s="47" t="s">
        <v>59</v>
      </c>
      <c r="O31" s="125" t="s">
        <v>60</v>
      </c>
      <c r="P31" s="47" t="s">
        <v>172</v>
      </c>
      <c r="Q31" s="44">
        <v>7210000</v>
      </c>
      <c r="R31" s="45">
        <v>1</v>
      </c>
      <c r="S31" s="46">
        <f t="shared" si="0"/>
        <v>82915000</v>
      </c>
      <c r="T31" s="48" t="s">
        <v>168</v>
      </c>
      <c r="U31" s="48" t="s">
        <v>63</v>
      </c>
      <c r="V31" s="49" t="s">
        <v>64</v>
      </c>
      <c r="W31" s="48">
        <v>11.5</v>
      </c>
      <c r="X31" s="50" t="s">
        <v>173</v>
      </c>
      <c r="Y31" s="51">
        <v>43104</v>
      </c>
      <c r="Z31" s="52">
        <f t="shared" si="1"/>
        <v>82915000</v>
      </c>
      <c r="AA31" s="50"/>
      <c r="AB31" s="50">
        <v>246</v>
      </c>
      <c r="AC31" s="53">
        <v>43105</v>
      </c>
      <c r="AD31" s="44">
        <v>82915000</v>
      </c>
      <c r="AE31" s="70">
        <v>0</v>
      </c>
      <c r="AF31" s="50">
        <v>297</v>
      </c>
      <c r="AG31" s="50">
        <v>43122</v>
      </c>
      <c r="AH31" s="55">
        <v>82915000</v>
      </c>
      <c r="AI31" s="50" t="s">
        <v>174</v>
      </c>
      <c r="AJ31" s="50">
        <v>270</v>
      </c>
      <c r="AK31" s="64"/>
      <c r="AL31" s="55">
        <v>82915000</v>
      </c>
      <c r="AM31" s="69">
        <v>52392667</v>
      </c>
      <c r="AN31" s="69">
        <v>30522333</v>
      </c>
      <c r="AO31" s="58" t="s">
        <v>67</v>
      </c>
      <c r="AP31" s="64"/>
      <c r="AQ31" s="64"/>
      <c r="AR31" s="64"/>
      <c r="AS31" s="64"/>
      <c r="AT31" s="64"/>
      <c r="AU31" s="64"/>
      <c r="AV31" s="64"/>
      <c r="AW31" s="220"/>
    </row>
    <row r="32" spans="1:49" s="221" customFormat="1" ht="370.5" x14ac:dyDescent="0.25">
      <c r="A32" s="47">
        <v>28</v>
      </c>
      <c r="B32" s="47" t="s">
        <v>175</v>
      </c>
      <c r="C32" s="123" t="s">
        <v>49</v>
      </c>
      <c r="D32" s="63" t="s">
        <v>50</v>
      </c>
      <c r="E32" s="47" t="s">
        <v>89</v>
      </c>
      <c r="F32" s="63" t="s">
        <v>52</v>
      </c>
      <c r="G32" s="63" t="s">
        <v>53</v>
      </c>
      <c r="H32" s="124" t="s">
        <v>54</v>
      </c>
      <c r="I32" s="63" t="s">
        <v>55</v>
      </c>
      <c r="J32" s="63" t="s">
        <v>56</v>
      </c>
      <c r="K32" s="126">
        <v>801116</v>
      </c>
      <c r="L32" s="126" t="s">
        <v>57</v>
      </c>
      <c r="M32" s="47" t="s">
        <v>58</v>
      </c>
      <c r="N32" s="47" t="s">
        <v>59</v>
      </c>
      <c r="O32" s="125" t="s">
        <v>60</v>
      </c>
      <c r="P32" s="47" t="s">
        <v>142</v>
      </c>
      <c r="Q32" s="44">
        <v>5253000</v>
      </c>
      <c r="R32" s="45">
        <v>1</v>
      </c>
      <c r="S32" s="44">
        <f t="shared" si="0"/>
        <v>60409500</v>
      </c>
      <c r="T32" s="48" t="s">
        <v>168</v>
      </c>
      <c r="U32" s="48" t="s">
        <v>63</v>
      </c>
      <c r="V32" s="49" t="s">
        <v>64</v>
      </c>
      <c r="W32" s="48">
        <v>11.5</v>
      </c>
      <c r="X32" s="50" t="s">
        <v>176</v>
      </c>
      <c r="Y32" s="51">
        <v>43104</v>
      </c>
      <c r="Z32" s="52">
        <f t="shared" si="1"/>
        <v>60409500</v>
      </c>
      <c r="AA32" s="50"/>
      <c r="AB32" s="50">
        <v>247</v>
      </c>
      <c r="AC32" s="53">
        <v>43105</v>
      </c>
      <c r="AD32" s="44">
        <v>60409500</v>
      </c>
      <c r="AE32" s="70">
        <v>0</v>
      </c>
      <c r="AF32" s="50">
        <v>253</v>
      </c>
      <c r="AG32" s="50">
        <v>43119</v>
      </c>
      <c r="AH32" s="55">
        <v>60409500</v>
      </c>
      <c r="AI32" s="50" t="s">
        <v>177</v>
      </c>
      <c r="AJ32" s="50">
        <v>202</v>
      </c>
      <c r="AK32" s="64"/>
      <c r="AL32" s="55">
        <v>60409500</v>
      </c>
      <c r="AM32" s="69">
        <v>38872200</v>
      </c>
      <c r="AN32" s="69">
        <v>21537300</v>
      </c>
      <c r="AO32" s="58" t="s">
        <v>67</v>
      </c>
      <c r="AP32" s="64"/>
      <c r="AQ32" s="64"/>
      <c r="AR32" s="64"/>
      <c r="AS32" s="64"/>
      <c r="AT32" s="64"/>
      <c r="AU32" s="64"/>
      <c r="AV32" s="64"/>
      <c r="AW32" s="220"/>
    </row>
    <row r="33" spans="1:49" s="221" customFormat="1" ht="327.75" x14ac:dyDescent="0.25">
      <c r="A33" s="47">
        <v>29</v>
      </c>
      <c r="B33" s="47" t="s">
        <v>178</v>
      </c>
      <c r="C33" s="123" t="s">
        <v>49</v>
      </c>
      <c r="D33" s="63" t="s">
        <v>50</v>
      </c>
      <c r="E33" s="47" t="s">
        <v>89</v>
      </c>
      <c r="F33" s="63" t="s">
        <v>52</v>
      </c>
      <c r="G33" s="63" t="s">
        <v>53</v>
      </c>
      <c r="H33" s="124" t="s">
        <v>54</v>
      </c>
      <c r="I33" s="63" t="s">
        <v>55</v>
      </c>
      <c r="J33" s="63" t="s">
        <v>56</v>
      </c>
      <c r="K33" s="126">
        <v>801116</v>
      </c>
      <c r="L33" s="126" t="s">
        <v>57</v>
      </c>
      <c r="M33" s="47" t="s">
        <v>58</v>
      </c>
      <c r="N33" s="47" t="s">
        <v>59</v>
      </c>
      <c r="O33" s="125" t="s">
        <v>60</v>
      </c>
      <c r="P33" s="47" t="s">
        <v>179</v>
      </c>
      <c r="Q33" s="44">
        <v>8240000</v>
      </c>
      <c r="R33" s="45">
        <v>1</v>
      </c>
      <c r="S33" s="44">
        <f t="shared" si="0"/>
        <v>94760000</v>
      </c>
      <c r="T33" s="48" t="s">
        <v>168</v>
      </c>
      <c r="U33" s="48" t="s">
        <v>63</v>
      </c>
      <c r="V33" s="49" t="s">
        <v>64</v>
      </c>
      <c r="W33" s="48">
        <v>11.5</v>
      </c>
      <c r="X33" s="50" t="s">
        <v>180</v>
      </c>
      <c r="Y33" s="51">
        <v>43104</v>
      </c>
      <c r="Z33" s="52">
        <f t="shared" si="1"/>
        <v>94760000</v>
      </c>
      <c r="AA33" s="50"/>
      <c r="AB33" s="50">
        <v>248</v>
      </c>
      <c r="AC33" s="53">
        <v>43105</v>
      </c>
      <c r="AD33" s="44">
        <v>94760000</v>
      </c>
      <c r="AE33" s="70">
        <v>0</v>
      </c>
      <c r="AF33" s="50">
        <v>207</v>
      </c>
      <c r="AG33" s="50">
        <v>43118</v>
      </c>
      <c r="AH33" s="55">
        <v>94760000</v>
      </c>
      <c r="AI33" s="50" t="s">
        <v>181</v>
      </c>
      <c r="AJ33" s="50">
        <v>172</v>
      </c>
      <c r="AK33" s="64"/>
      <c r="AL33" s="55">
        <v>94760000</v>
      </c>
      <c r="AM33" s="69">
        <v>60976000</v>
      </c>
      <c r="AN33" s="69">
        <v>33784000</v>
      </c>
      <c r="AO33" s="58" t="s">
        <v>67</v>
      </c>
      <c r="AP33" s="64"/>
      <c r="AQ33" s="64"/>
      <c r="AR33" s="64"/>
      <c r="AS33" s="64"/>
      <c r="AT33" s="64"/>
      <c r="AU33" s="64"/>
      <c r="AV33" s="64"/>
      <c r="AW33" s="220"/>
    </row>
    <row r="34" spans="1:49" s="221" customFormat="1" ht="228" x14ac:dyDescent="0.25">
      <c r="A34" s="47">
        <v>30</v>
      </c>
      <c r="B34" s="47" t="s">
        <v>182</v>
      </c>
      <c r="C34" s="123" t="s">
        <v>49</v>
      </c>
      <c r="D34" s="63" t="s">
        <v>50</v>
      </c>
      <c r="E34" s="47" t="s">
        <v>51</v>
      </c>
      <c r="F34" s="63" t="s">
        <v>52</v>
      </c>
      <c r="G34" s="63" t="s">
        <v>53</v>
      </c>
      <c r="H34" s="124" t="s">
        <v>54</v>
      </c>
      <c r="I34" s="63" t="s">
        <v>55</v>
      </c>
      <c r="J34" s="63" t="s">
        <v>56</v>
      </c>
      <c r="K34" s="126">
        <v>801116</v>
      </c>
      <c r="L34" s="126" t="s">
        <v>57</v>
      </c>
      <c r="M34" s="47" t="s">
        <v>58</v>
      </c>
      <c r="N34" s="47" t="s">
        <v>59</v>
      </c>
      <c r="O34" s="125" t="s">
        <v>60</v>
      </c>
      <c r="P34" s="47" t="s">
        <v>183</v>
      </c>
      <c r="Q34" s="44">
        <v>7210000</v>
      </c>
      <c r="R34" s="45">
        <v>1</v>
      </c>
      <c r="S34" s="46">
        <f t="shared" si="0"/>
        <v>82915000</v>
      </c>
      <c r="T34" s="48" t="s">
        <v>168</v>
      </c>
      <c r="U34" s="48" t="s">
        <v>63</v>
      </c>
      <c r="V34" s="49" t="s">
        <v>64</v>
      </c>
      <c r="W34" s="48">
        <v>11.5</v>
      </c>
      <c r="X34" s="50" t="s">
        <v>184</v>
      </c>
      <c r="Y34" s="51">
        <v>43104</v>
      </c>
      <c r="Z34" s="52">
        <f t="shared" si="1"/>
        <v>82915000</v>
      </c>
      <c r="AA34" s="50"/>
      <c r="AB34" s="50">
        <v>249</v>
      </c>
      <c r="AC34" s="53">
        <v>43105</v>
      </c>
      <c r="AD34" s="44">
        <v>82915000</v>
      </c>
      <c r="AE34" s="70">
        <v>0</v>
      </c>
      <c r="AF34" s="50">
        <v>246</v>
      </c>
      <c r="AG34" s="50">
        <v>43119</v>
      </c>
      <c r="AH34" s="55">
        <v>82915000</v>
      </c>
      <c r="AI34" s="50" t="s">
        <v>185</v>
      </c>
      <c r="AJ34" s="50">
        <v>215</v>
      </c>
      <c r="AK34" s="64"/>
      <c r="AL34" s="55">
        <v>82915000</v>
      </c>
      <c r="AM34" s="69">
        <v>53354000</v>
      </c>
      <c r="AN34" s="69">
        <v>29561000</v>
      </c>
      <c r="AO34" s="58" t="s">
        <v>67</v>
      </c>
      <c r="AP34" s="64"/>
      <c r="AQ34" s="64"/>
      <c r="AR34" s="64"/>
      <c r="AS34" s="64"/>
      <c r="AT34" s="64"/>
      <c r="AU34" s="64"/>
      <c r="AV34" s="64"/>
      <c r="AW34" s="220"/>
    </row>
    <row r="35" spans="1:49" s="221" customFormat="1" ht="256.5" x14ac:dyDescent="0.25">
      <c r="A35" s="47">
        <v>31</v>
      </c>
      <c r="B35" s="47" t="s">
        <v>186</v>
      </c>
      <c r="C35" s="123" t="s">
        <v>49</v>
      </c>
      <c r="D35" s="63" t="s">
        <v>50</v>
      </c>
      <c r="E35" s="47" t="s">
        <v>89</v>
      </c>
      <c r="F35" s="63" t="s">
        <v>52</v>
      </c>
      <c r="G35" s="63" t="s">
        <v>53</v>
      </c>
      <c r="H35" s="124" t="s">
        <v>54</v>
      </c>
      <c r="I35" s="63" t="s">
        <v>55</v>
      </c>
      <c r="J35" s="63" t="s">
        <v>56</v>
      </c>
      <c r="K35" s="126">
        <v>801116</v>
      </c>
      <c r="L35" s="126" t="s">
        <v>57</v>
      </c>
      <c r="M35" s="47" t="s">
        <v>58</v>
      </c>
      <c r="N35" s="47" t="s">
        <v>59</v>
      </c>
      <c r="O35" s="125" t="s">
        <v>60</v>
      </c>
      <c r="P35" s="47" t="s">
        <v>187</v>
      </c>
      <c r="Q35" s="44">
        <v>5665000</v>
      </c>
      <c r="R35" s="45">
        <v>1</v>
      </c>
      <c r="S35" s="44">
        <f t="shared" si="0"/>
        <v>65147500</v>
      </c>
      <c r="T35" s="48" t="s">
        <v>168</v>
      </c>
      <c r="U35" s="48" t="s">
        <v>63</v>
      </c>
      <c r="V35" s="49" t="s">
        <v>64</v>
      </c>
      <c r="W35" s="48">
        <v>11.5</v>
      </c>
      <c r="X35" s="50" t="s">
        <v>188</v>
      </c>
      <c r="Y35" s="51">
        <v>43104</v>
      </c>
      <c r="Z35" s="52">
        <f t="shared" si="1"/>
        <v>65147500</v>
      </c>
      <c r="AA35" s="50"/>
      <c r="AB35" s="50">
        <v>250</v>
      </c>
      <c r="AC35" s="53">
        <v>43105</v>
      </c>
      <c r="AD35" s="44">
        <v>65147500</v>
      </c>
      <c r="AE35" s="70">
        <v>0</v>
      </c>
      <c r="AF35" s="50">
        <v>361</v>
      </c>
      <c r="AG35" s="50">
        <v>43123</v>
      </c>
      <c r="AH35" s="55">
        <v>30402167</v>
      </c>
      <c r="AI35" s="50" t="s">
        <v>189</v>
      </c>
      <c r="AJ35" s="50">
        <v>302</v>
      </c>
      <c r="AK35" s="64"/>
      <c r="AL35" s="55">
        <v>30402167</v>
      </c>
      <c r="AM35" s="69">
        <v>30402167</v>
      </c>
      <c r="AN35" s="69">
        <v>0</v>
      </c>
      <c r="AO35" s="58" t="s">
        <v>67</v>
      </c>
      <c r="AP35" s="64"/>
      <c r="AQ35" s="64"/>
      <c r="AR35" s="64"/>
      <c r="AS35" s="64"/>
      <c r="AT35" s="64"/>
      <c r="AU35" s="64"/>
      <c r="AV35" s="64"/>
      <c r="AW35" s="220"/>
    </row>
    <row r="36" spans="1:49" s="221" customFormat="1" ht="370.5" x14ac:dyDescent="0.25">
      <c r="A36" s="47">
        <v>32</v>
      </c>
      <c r="B36" s="47" t="s">
        <v>190</v>
      </c>
      <c r="C36" s="123" t="s">
        <v>49</v>
      </c>
      <c r="D36" s="63" t="s">
        <v>50</v>
      </c>
      <c r="E36" s="47" t="s">
        <v>89</v>
      </c>
      <c r="F36" s="63" t="s">
        <v>52</v>
      </c>
      <c r="G36" s="63" t="s">
        <v>53</v>
      </c>
      <c r="H36" s="124" t="s">
        <v>54</v>
      </c>
      <c r="I36" s="63" t="s">
        <v>55</v>
      </c>
      <c r="J36" s="63" t="s">
        <v>56</v>
      </c>
      <c r="K36" s="126">
        <v>801116</v>
      </c>
      <c r="L36" s="126" t="s">
        <v>57</v>
      </c>
      <c r="M36" s="47" t="s">
        <v>58</v>
      </c>
      <c r="N36" s="47" t="s">
        <v>59</v>
      </c>
      <c r="O36" s="125" t="s">
        <v>60</v>
      </c>
      <c r="P36" s="47" t="s">
        <v>94</v>
      </c>
      <c r="Q36" s="44">
        <v>5665000</v>
      </c>
      <c r="R36" s="45">
        <v>1</v>
      </c>
      <c r="S36" s="44">
        <f t="shared" si="0"/>
        <v>65147500</v>
      </c>
      <c r="T36" s="48" t="s">
        <v>168</v>
      </c>
      <c r="U36" s="48" t="s">
        <v>63</v>
      </c>
      <c r="V36" s="49" t="s">
        <v>64</v>
      </c>
      <c r="W36" s="48">
        <v>11.5</v>
      </c>
      <c r="X36" s="50" t="s">
        <v>191</v>
      </c>
      <c r="Y36" s="51">
        <v>43104</v>
      </c>
      <c r="Z36" s="52">
        <f t="shared" si="1"/>
        <v>65147500</v>
      </c>
      <c r="AA36" s="50"/>
      <c r="AB36" s="50">
        <v>251</v>
      </c>
      <c r="AC36" s="53">
        <v>43105</v>
      </c>
      <c r="AD36" s="44">
        <v>65147500</v>
      </c>
      <c r="AE36" s="70">
        <v>0</v>
      </c>
      <c r="AF36" s="50">
        <v>215</v>
      </c>
      <c r="AG36" s="50">
        <v>43118</v>
      </c>
      <c r="AH36" s="55">
        <v>65147500</v>
      </c>
      <c r="AI36" s="50" t="s">
        <v>192</v>
      </c>
      <c r="AJ36" s="50">
        <v>176</v>
      </c>
      <c r="AK36" s="64"/>
      <c r="AL36" s="55">
        <v>65147500</v>
      </c>
      <c r="AM36" s="69">
        <v>41921000</v>
      </c>
      <c r="AN36" s="69">
        <v>23226500</v>
      </c>
      <c r="AO36" s="58" t="s">
        <v>67</v>
      </c>
      <c r="AP36" s="64"/>
      <c r="AQ36" s="64"/>
      <c r="AR36" s="64"/>
      <c r="AS36" s="64"/>
      <c r="AT36" s="64"/>
      <c r="AU36" s="64"/>
      <c r="AV36" s="64"/>
      <c r="AW36" s="220"/>
    </row>
    <row r="37" spans="1:49" s="221" customFormat="1" ht="409.5" x14ac:dyDescent="0.25">
      <c r="A37" s="47">
        <v>33</v>
      </c>
      <c r="B37" s="47" t="s">
        <v>193</v>
      </c>
      <c r="C37" s="123" t="s">
        <v>49</v>
      </c>
      <c r="D37" s="63" t="s">
        <v>50</v>
      </c>
      <c r="E37" s="47" t="s">
        <v>89</v>
      </c>
      <c r="F37" s="63" t="s">
        <v>52</v>
      </c>
      <c r="G37" s="63" t="s">
        <v>53</v>
      </c>
      <c r="H37" s="124" t="s">
        <v>54</v>
      </c>
      <c r="I37" s="63" t="s">
        <v>55</v>
      </c>
      <c r="J37" s="63" t="s">
        <v>56</v>
      </c>
      <c r="K37" s="126">
        <v>801116</v>
      </c>
      <c r="L37" s="126" t="s">
        <v>57</v>
      </c>
      <c r="M37" s="47" t="s">
        <v>58</v>
      </c>
      <c r="N37" s="47" t="s">
        <v>59</v>
      </c>
      <c r="O37" s="125" t="s">
        <v>60</v>
      </c>
      <c r="P37" s="47" t="s">
        <v>194</v>
      </c>
      <c r="Q37" s="44">
        <v>7210000</v>
      </c>
      <c r="R37" s="45">
        <v>1</v>
      </c>
      <c r="S37" s="44">
        <f t="shared" si="0"/>
        <v>82915000</v>
      </c>
      <c r="T37" s="48" t="s">
        <v>168</v>
      </c>
      <c r="U37" s="48" t="s">
        <v>63</v>
      </c>
      <c r="V37" s="49" t="s">
        <v>64</v>
      </c>
      <c r="W37" s="48">
        <v>11.5</v>
      </c>
      <c r="X37" s="50" t="s">
        <v>195</v>
      </c>
      <c r="Y37" s="51">
        <v>43104</v>
      </c>
      <c r="Z37" s="52">
        <f t="shared" si="1"/>
        <v>82915000</v>
      </c>
      <c r="AA37" s="50"/>
      <c r="AB37" s="50">
        <v>252</v>
      </c>
      <c r="AC37" s="53">
        <v>43105</v>
      </c>
      <c r="AD37" s="44">
        <v>82915000</v>
      </c>
      <c r="AE37" s="70">
        <v>0</v>
      </c>
      <c r="AF37" s="50">
        <v>264</v>
      </c>
      <c r="AG37" s="50">
        <v>43119</v>
      </c>
      <c r="AH37" s="55">
        <v>82915000</v>
      </c>
      <c r="AI37" s="50" t="s">
        <v>196</v>
      </c>
      <c r="AJ37" s="50">
        <v>230</v>
      </c>
      <c r="AK37" s="64"/>
      <c r="AL37" s="55">
        <v>82915000</v>
      </c>
      <c r="AM37" s="69">
        <v>52633000</v>
      </c>
      <c r="AN37" s="69">
        <v>30282000</v>
      </c>
      <c r="AO37" s="58" t="s">
        <v>67</v>
      </c>
      <c r="AP37" s="64"/>
      <c r="AQ37" s="64"/>
      <c r="AR37" s="64"/>
      <c r="AS37" s="64"/>
      <c r="AT37" s="64"/>
      <c r="AU37" s="64"/>
      <c r="AV37" s="64"/>
      <c r="AW37" s="220"/>
    </row>
    <row r="38" spans="1:49" s="221" customFormat="1" ht="256.5" x14ac:dyDescent="0.25">
      <c r="A38" s="47">
        <v>34</v>
      </c>
      <c r="B38" s="47" t="s">
        <v>197</v>
      </c>
      <c r="C38" s="123" t="s">
        <v>49</v>
      </c>
      <c r="D38" s="63" t="s">
        <v>50</v>
      </c>
      <c r="E38" s="47" t="s">
        <v>89</v>
      </c>
      <c r="F38" s="63" t="s">
        <v>52</v>
      </c>
      <c r="G38" s="63" t="s">
        <v>53</v>
      </c>
      <c r="H38" s="124" t="s">
        <v>54</v>
      </c>
      <c r="I38" s="63" t="s">
        <v>55</v>
      </c>
      <c r="J38" s="63" t="s">
        <v>56</v>
      </c>
      <c r="K38" s="126">
        <v>801116</v>
      </c>
      <c r="L38" s="126" t="s">
        <v>57</v>
      </c>
      <c r="M38" s="47" t="s">
        <v>58</v>
      </c>
      <c r="N38" s="47" t="s">
        <v>59</v>
      </c>
      <c r="O38" s="125" t="s">
        <v>60</v>
      </c>
      <c r="P38" s="47" t="s">
        <v>198</v>
      </c>
      <c r="Q38" s="44">
        <v>8240000</v>
      </c>
      <c r="R38" s="45">
        <v>1</v>
      </c>
      <c r="S38" s="44">
        <f t="shared" si="0"/>
        <v>94760000</v>
      </c>
      <c r="T38" s="48" t="s">
        <v>168</v>
      </c>
      <c r="U38" s="48" t="s">
        <v>63</v>
      </c>
      <c r="V38" s="49" t="s">
        <v>64</v>
      </c>
      <c r="W38" s="48">
        <v>11.5</v>
      </c>
      <c r="X38" s="50" t="s">
        <v>199</v>
      </c>
      <c r="Y38" s="51">
        <v>43104</v>
      </c>
      <c r="Z38" s="52">
        <f t="shared" si="1"/>
        <v>94760000</v>
      </c>
      <c r="AA38" s="50"/>
      <c r="AB38" s="50">
        <v>253</v>
      </c>
      <c r="AC38" s="53">
        <v>43105</v>
      </c>
      <c r="AD38" s="44">
        <v>94760000</v>
      </c>
      <c r="AE38" s="70">
        <v>0</v>
      </c>
      <c r="AF38" s="50">
        <v>258</v>
      </c>
      <c r="AG38" s="50">
        <v>43119</v>
      </c>
      <c r="AH38" s="55">
        <v>94760000</v>
      </c>
      <c r="AI38" s="50" t="s">
        <v>200</v>
      </c>
      <c r="AJ38" s="50">
        <v>232</v>
      </c>
      <c r="AK38" s="64"/>
      <c r="AL38" s="55">
        <v>94760000</v>
      </c>
      <c r="AM38" s="69">
        <v>60152000</v>
      </c>
      <c r="AN38" s="69">
        <v>34608000</v>
      </c>
      <c r="AO38" s="58" t="s">
        <v>67</v>
      </c>
      <c r="AP38" s="64"/>
      <c r="AQ38" s="64"/>
      <c r="AR38" s="64"/>
      <c r="AS38" s="64"/>
      <c r="AT38" s="64"/>
      <c r="AU38" s="64"/>
      <c r="AV38" s="64"/>
      <c r="AW38" s="220"/>
    </row>
    <row r="39" spans="1:49" s="221" customFormat="1" ht="256.5" x14ac:dyDescent="0.25">
      <c r="A39" s="47">
        <v>35</v>
      </c>
      <c r="B39" s="47" t="s">
        <v>201</v>
      </c>
      <c r="C39" s="123" t="s">
        <v>49</v>
      </c>
      <c r="D39" s="63" t="s">
        <v>50</v>
      </c>
      <c r="E39" s="47" t="s">
        <v>89</v>
      </c>
      <c r="F39" s="63" t="s">
        <v>52</v>
      </c>
      <c r="G39" s="63" t="s">
        <v>53</v>
      </c>
      <c r="H39" s="124" t="s">
        <v>54</v>
      </c>
      <c r="I39" s="63" t="s">
        <v>55</v>
      </c>
      <c r="J39" s="63" t="s">
        <v>56</v>
      </c>
      <c r="K39" s="126">
        <v>801116</v>
      </c>
      <c r="L39" s="126" t="s">
        <v>57</v>
      </c>
      <c r="M39" s="47" t="s">
        <v>58</v>
      </c>
      <c r="N39" s="47" t="s">
        <v>59</v>
      </c>
      <c r="O39" s="125" t="s">
        <v>60</v>
      </c>
      <c r="P39" s="47" t="s">
        <v>187</v>
      </c>
      <c r="Q39" s="44">
        <v>5665000</v>
      </c>
      <c r="R39" s="45">
        <v>1</v>
      </c>
      <c r="S39" s="44">
        <f t="shared" si="0"/>
        <v>65147500</v>
      </c>
      <c r="T39" s="48" t="s">
        <v>168</v>
      </c>
      <c r="U39" s="48" t="s">
        <v>63</v>
      </c>
      <c r="V39" s="49" t="s">
        <v>64</v>
      </c>
      <c r="W39" s="48">
        <v>11.5</v>
      </c>
      <c r="X39" s="50" t="s">
        <v>202</v>
      </c>
      <c r="Y39" s="51">
        <v>43104</v>
      </c>
      <c r="Z39" s="52">
        <f t="shared" si="1"/>
        <v>65147500</v>
      </c>
      <c r="AA39" s="50"/>
      <c r="AB39" s="50">
        <v>254</v>
      </c>
      <c r="AC39" s="53">
        <v>43105</v>
      </c>
      <c r="AD39" s="44">
        <v>65147500</v>
      </c>
      <c r="AE39" s="70">
        <v>0</v>
      </c>
      <c r="AF39" s="50">
        <v>250</v>
      </c>
      <c r="AG39" s="50">
        <v>43119</v>
      </c>
      <c r="AH39" s="55">
        <v>65147500</v>
      </c>
      <c r="AI39" s="50" t="s">
        <v>203</v>
      </c>
      <c r="AJ39" s="50">
        <v>205</v>
      </c>
      <c r="AK39" s="64"/>
      <c r="AL39" s="55">
        <v>65147500</v>
      </c>
      <c r="AM39" s="69">
        <v>41921000</v>
      </c>
      <c r="AN39" s="69">
        <v>23226500</v>
      </c>
      <c r="AO39" s="58" t="s">
        <v>67</v>
      </c>
      <c r="AP39" s="64"/>
      <c r="AQ39" s="64"/>
      <c r="AR39" s="64"/>
      <c r="AS39" s="64"/>
      <c r="AT39" s="64"/>
      <c r="AU39" s="64"/>
      <c r="AV39" s="64"/>
      <c r="AW39" s="220"/>
    </row>
    <row r="40" spans="1:49" s="221" customFormat="1" ht="370.5" x14ac:dyDescent="0.25">
      <c r="A40" s="47">
        <v>36</v>
      </c>
      <c r="B40" s="47" t="s">
        <v>204</v>
      </c>
      <c r="C40" s="123" t="s">
        <v>49</v>
      </c>
      <c r="D40" s="63" t="s">
        <v>50</v>
      </c>
      <c r="E40" s="47" t="s">
        <v>89</v>
      </c>
      <c r="F40" s="63" t="s">
        <v>52</v>
      </c>
      <c r="G40" s="63" t="s">
        <v>53</v>
      </c>
      <c r="H40" s="124" t="s">
        <v>54</v>
      </c>
      <c r="I40" s="63" t="s">
        <v>55</v>
      </c>
      <c r="J40" s="63" t="s">
        <v>56</v>
      </c>
      <c r="K40" s="126">
        <v>801116</v>
      </c>
      <c r="L40" s="126" t="s">
        <v>57</v>
      </c>
      <c r="M40" s="47" t="s">
        <v>58</v>
      </c>
      <c r="N40" s="47" t="s">
        <v>59</v>
      </c>
      <c r="O40" s="125" t="s">
        <v>60</v>
      </c>
      <c r="P40" s="47" t="s">
        <v>205</v>
      </c>
      <c r="Q40" s="44">
        <v>4532000</v>
      </c>
      <c r="R40" s="45">
        <v>1</v>
      </c>
      <c r="S40" s="44">
        <f t="shared" si="0"/>
        <v>52118000</v>
      </c>
      <c r="T40" s="48" t="s">
        <v>168</v>
      </c>
      <c r="U40" s="48" t="s">
        <v>63</v>
      </c>
      <c r="V40" s="49" t="s">
        <v>64</v>
      </c>
      <c r="W40" s="48">
        <v>11.5</v>
      </c>
      <c r="X40" s="50" t="s">
        <v>206</v>
      </c>
      <c r="Y40" s="51">
        <v>43104</v>
      </c>
      <c r="Z40" s="52">
        <f t="shared" si="1"/>
        <v>52118000</v>
      </c>
      <c r="AA40" s="50"/>
      <c r="AB40" s="50">
        <v>255</v>
      </c>
      <c r="AC40" s="53">
        <v>43105</v>
      </c>
      <c r="AD40" s="44">
        <v>52118000</v>
      </c>
      <c r="AE40" s="70">
        <v>0</v>
      </c>
      <c r="AF40" s="50">
        <v>206</v>
      </c>
      <c r="AG40" s="50">
        <v>43118</v>
      </c>
      <c r="AH40" s="55">
        <v>52118000</v>
      </c>
      <c r="AI40" s="50" t="s">
        <v>207</v>
      </c>
      <c r="AJ40" s="50">
        <v>173</v>
      </c>
      <c r="AK40" s="64"/>
      <c r="AL40" s="55">
        <v>52118000</v>
      </c>
      <c r="AM40" s="69">
        <v>33536800</v>
      </c>
      <c r="AN40" s="69">
        <v>18581200</v>
      </c>
      <c r="AO40" s="58" t="s">
        <v>67</v>
      </c>
      <c r="AP40" s="64"/>
      <c r="AQ40" s="64"/>
      <c r="AR40" s="64"/>
      <c r="AS40" s="64"/>
      <c r="AT40" s="64"/>
      <c r="AU40" s="64"/>
      <c r="AV40" s="64"/>
      <c r="AW40" s="220"/>
    </row>
    <row r="41" spans="1:49" s="221" customFormat="1" ht="399" x14ac:dyDescent="0.25">
      <c r="A41" s="47">
        <v>37</v>
      </c>
      <c r="B41" s="47" t="s">
        <v>208</v>
      </c>
      <c r="C41" s="123" t="s">
        <v>49</v>
      </c>
      <c r="D41" s="63" t="s">
        <v>50</v>
      </c>
      <c r="E41" s="47" t="s">
        <v>89</v>
      </c>
      <c r="F41" s="63" t="s">
        <v>52</v>
      </c>
      <c r="G41" s="63" t="s">
        <v>53</v>
      </c>
      <c r="H41" s="124" t="s">
        <v>54</v>
      </c>
      <c r="I41" s="63" t="s">
        <v>55</v>
      </c>
      <c r="J41" s="63" t="s">
        <v>56</v>
      </c>
      <c r="K41" s="126">
        <v>801116</v>
      </c>
      <c r="L41" s="126" t="s">
        <v>57</v>
      </c>
      <c r="M41" s="47" t="s">
        <v>58</v>
      </c>
      <c r="N41" s="47" t="s">
        <v>59</v>
      </c>
      <c r="O41" s="125" t="s">
        <v>60</v>
      </c>
      <c r="P41" s="47" t="s">
        <v>209</v>
      </c>
      <c r="Q41" s="44">
        <v>6180000</v>
      </c>
      <c r="R41" s="45">
        <v>1</v>
      </c>
      <c r="S41" s="44">
        <f t="shared" si="0"/>
        <v>71070000</v>
      </c>
      <c r="T41" s="48" t="s">
        <v>168</v>
      </c>
      <c r="U41" s="48" t="s">
        <v>63</v>
      </c>
      <c r="V41" s="49" t="s">
        <v>64</v>
      </c>
      <c r="W41" s="48">
        <v>11.5</v>
      </c>
      <c r="X41" s="50" t="s">
        <v>210</v>
      </c>
      <c r="Y41" s="51">
        <v>43104</v>
      </c>
      <c r="Z41" s="52">
        <f t="shared" si="1"/>
        <v>71070000</v>
      </c>
      <c r="AA41" s="50"/>
      <c r="AB41" s="50">
        <v>256</v>
      </c>
      <c r="AC41" s="53">
        <v>43105</v>
      </c>
      <c r="AD41" s="44">
        <v>71070000</v>
      </c>
      <c r="AE41" s="70">
        <v>0</v>
      </c>
      <c r="AF41" s="50">
        <v>155</v>
      </c>
      <c r="AG41" s="50">
        <v>43118</v>
      </c>
      <c r="AH41" s="55">
        <v>71070000</v>
      </c>
      <c r="AI41" s="50" t="s">
        <v>211</v>
      </c>
      <c r="AJ41" s="50">
        <v>159</v>
      </c>
      <c r="AK41" s="64"/>
      <c r="AL41" s="55">
        <v>71070000</v>
      </c>
      <c r="AM41" s="69">
        <v>45938000</v>
      </c>
      <c r="AN41" s="69">
        <v>25132000</v>
      </c>
      <c r="AO41" s="58" t="s">
        <v>67</v>
      </c>
      <c r="AP41" s="64"/>
      <c r="AQ41" s="64"/>
      <c r="AR41" s="64"/>
      <c r="AS41" s="64"/>
      <c r="AT41" s="64"/>
      <c r="AU41" s="64"/>
      <c r="AV41" s="64"/>
      <c r="AW41" s="220"/>
    </row>
    <row r="42" spans="1:49" s="221" customFormat="1" ht="356.25" x14ac:dyDescent="0.25">
      <c r="A42" s="47">
        <v>38</v>
      </c>
      <c r="B42" s="47" t="s">
        <v>212</v>
      </c>
      <c r="C42" s="123" t="s">
        <v>49</v>
      </c>
      <c r="D42" s="63" t="s">
        <v>50</v>
      </c>
      <c r="E42" s="47" t="s">
        <v>89</v>
      </c>
      <c r="F42" s="63" t="s">
        <v>52</v>
      </c>
      <c r="G42" s="63" t="s">
        <v>53</v>
      </c>
      <c r="H42" s="124" t="s">
        <v>54</v>
      </c>
      <c r="I42" s="63" t="s">
        <v>55</v>
      </c>
      <c r="J42" s="63" t="s">
        <v>56</v>
      </c>
      <c r="K42" s="126">
        <v>801116</v>
      </c>
      <c r="L42" s="126" t="s">
        <v>57</v>
      </c>
      <c r="M42" s="47" t="s">
        <v>58</v>
      </c>
      <c r="N42" s="47" t="s">
        <v>59</v>
      </c>
      <c r="O42" s="125" t="s">
        <v>60</v>
      </c>
      <c r="P42" s="47" t="s">
        <v>213</v>
      </c>
      <c r="Q42" s="44">
        <v>2472000</v>
      </c>
      <c r="R42" s="45">
        <v>1</v>
      </c>
      <c r="S42" s="44">
        <f t="shared" si="0"/>
        <v>28428000</v>
      </c>
      <c r="T42" s="48" t="s">
        <v>168</v>
      </c>
      <c r="U42" s="48" t="s">
        <v>63</v>
      </c>
      <c r="V42" s="49" t="s">
        <v>64</v>
      </c>
      <c r="W42" s="48">
        <v>11.5</v>
      </c>
      <c r="X42" s="50" t="s">
        <v>214</v>
      </c>
      <c r="Y42" s="51">
        <v>43104</v>
      </c>
      <c r="Z42" s="52">
        <f t="shared" si="1"/>
        <v>28428000</v>
      </c>
      <c r="AA42" s="50"/>
      <c r="AB42" s="50">
        <v>257</v>
      </c>
      <c r="AC42" s="53">
        <v>43105</v>
      </c>
      <c r="AD42" s="44">
        <v>28428000</v>
      </c>
      <c r="AE42" s="70">
        <v>0</v>
      </c>
      <c r="AF42" s="50">
        <v>217</v>
      </c>
      <c r="AG42" s="50">
        <v>43118</v>
      </c>
      <c r="AH42" s="55">
        <v>28428000</v>
      </c>
      <c r="AI42" s="50" t="s">
        <v>215</v>
      </c>
      <c r="AJ42" s="50">
        <v>174</v>
      </c>
      <c r="AK42" s="64"/>
      <c r="AL42" s="55">
        <v>28428000</v>
      </c>
      <c r="AM42" s="69">
        <v>18292800</v>
      </c>
      <c r="AN42" s="69">
        <v>10135200</v>
      </c>
      <c r="AO42" s="58" t="s">
        <v>67</v>
      </c>
      <c r="AP42" s="64"/>
      <c r="AQ42" s="64"/>
      <c r="AR42" s="64"/>
      <c r="AS42" s="64"/>
      <c r="AT42" s="64"/>
      <c r="AU42" s="64"/>
      <c r="AV42" s="64"/>
      <c r="AW42" s="220"/>
    </row>
    <row r="43" spans="1:49" s="221" customFormat="1" ht="256.5" x14ac:dyDescent="0.25">
      <c r="A43" s="47">
        <v>39</v>
      </c>
      <c r="B43" s="47" t="s">
        <v>216</v>
      </c>
      <c r="C43" s="123" t="s">
        <v>49</v>
      </c>
      <c r="D43" s="63" t="s">
        <v>50</v>
      </c>
      <c r="E43" s="47" t="s">
        <v>89</v>
      </c>
      <c r="F43" s="63" t="s">
        <v>52</v>
      </c>
      <c r="G43" s="63" t="s">
        <v>53</v>
      </c>
      <c r="H43" s="124" t="s">
        <v>54</v>
      </c>
      <c r="I43" s="63" t="s">
        <v>55</v>
      </c>
      <c r="J43" s="63" t="s">
        <v>56</v>
      </c>
      <c r="K43" s="126">
        <v>801116</v>
      </c>
      <c r="L43" s="126" t="s">
        <v>57</v>
      </c>
      <c r="M43" s="47" t="s">
        <v>58</v>
      </c>
      <c r="N43" s="47" t="s">
        <v>59</v>
      </c>
      <c r="O43" s="125" t="s">
        <v>60</v>
      </c>
      <c r="P43" s="47" t="s">
        <v>187</v>
      </c>
      <c r="Q43" s="44">
        <v>5665000</v>
      </c>
      <c r="R43" s="45">
        <v>1</v>
      </c>
      <c r="S43" s="44">
        <f t="shared" si="0"/>
        <v>65147500</v>
      </c>
      <c r="T43" s="48" t="s">
        <v>168</v>
      </c>
      <c r="U43" s="48" t="s">
        <v>63</v>
      </c>
      <c r="V43" s="49" t="s">
        <v>64</v>
      </c>
      <c r="W43" s="48">
        <v>11.5</v>
      </c>
      <c r="X43" s="50" t="s">
        <v>217</v>
      </c>
      <c r="Y43" s="51">
        <v>43104</v>
      </c>
      <c r="Z43" s="52">
        <f t="shared" si="1"/>
        <v>65147500</v>
      </c>
      <c r="AA43" s="50"/>
      <c r="AB43" s="50">
        <v>258</v>
      </c>
      <c r="AC43" s="53">
        <v>43105</v>
      </c>
      <c r="AD43" s="44">
        <v>65147500</v>
      </c>
      <c r="AE43" s="70">
        <v>0</v>
      </c>
      <c r="AF43" s="50">
        <v>236</v>
      </c>
      <c r="AG43" s="50">
        <v>43119</v>
      </c>
      <c r="AH43" s="55">
        <v>65147500</v>
      </c>
      <c r="AI43" s="50" t="s">
        <v>218</v>
      </c>
      <c r="AJ43" s="50">
        <v>208</v>
      </c>
      <c r="AK43" s="64"/>
      <c r="AL43" s="55">
        <v>65147500</v>
      </c>
      <c r="AM43" s="69">
        <v>41921000</v>
      </c>
      <c r="AN43" s="69">
        <v>23226500</v>
      </c>
      <c r="AO43" s="58" t="s">
        <v>67</v>
      </c>
      <c r="AP43" s="64"/>
      <c r="AQ43" s="64"/>
      <c r="AR43" s="64"/>
      <c r="AS43" s="64"/>
      <c r="AT43" s="64"/>
      <c r="AU43" s="64"/>
      <c r="AV43" s="64"/>
      <c r="AW43" s="220"/>
    </row>
    <row r="44" spans="1:49" s="221" customFormat="1" ht="356.25" x14ac:dyDescent="0.25">
      <c r="A44" s="47">
        <v>40</v>
      </c>
      <c r="B44" s="47" t="s">
        <v>219</v>
      </c>
      <c r="C44" s="123" t="s">
        <v>49</v>
      </c>
      <c r="D44" s="63" t="s">
        <v>50</v>
      </c>
      <c r="E44" s="47" t="s">
        <v>89</v>
      </c>
      <c r="F44" s="63" t="s">
        <v>52</v>
      </c>
      <c r="G44" s="63" t="s">
        <v>53</v>
      </c>
      <c r="H44" s="124" t="s">
        <v>54</v>
      </c>
      <c r="I44" s="63" t="s">
        <v>55</v>
      </c>
      <c r="J44" s="63" t="s">
        <v>56</v>
      </c>
      <c r="K44" s="126">
        <v>801116</v>
      </c>
      <c r="L44" s="126" t="s">
        <v>57</v>
      </c>
      <c r="M44" s="47" t="s">
        <v>58</v>
      </c>
      <c r="N44" s="47" t="s">
        <v>59</v>
      </c>
      <c r="O44" s="125" t="s">
        <v>60</v>
      </c>
      <c r="P44" s="47" t="s">
        <v>213</v>
      </c>
      <c r="Q44" s="44">
        <v>2472000</v>
      </c>
      <c r="R44" s="45">
        <v>1</v>
      </c>
      <c r="S44" s="44">
        <f t="shared" si="0"/>
        <v>28428000</v>
      </c>
      <c r="T44" s="48" t="s">
        <v>168</v>
      </c>
      <c r="U44" s="48" t="s">
        <v>63</v>
      </c>
      <c r="V44" s="49" t="s">
        <v>64</v>
      </c>
      <c r="W44" s="48">
        <v>11.5</v>
      </c>
      <c r="X44" s="50" t="s">
        <v>220</v>
      </c>
      <c r="Y44" s="51">
        <v>43104</v>
      </c>
      <c r="Z44" s="52">
        <f t="shared" si="1"/>
        <v>28428000</v>
      </c>
      <c r="AA44" s="50"/>
      <c r="AB44" s="50">
        <v>283</v>
      </c>
      <c r="AC44" s="53">
        <v>43109</v>
      </c>
      <c r="AD44" s="44">
        <v>28428000</v>
      </c>
      <c r="AE44" s="70">
        <v>0</v>
      </c>
      <c r="AF44" s="50">
        <v>204</v>
      </c>
      <c r="AG44" s="50">
        <v>43118</v>
      </c>
      <c r="AH44" s="55">
        <v>28428000</v>
      </c>
      <c r="AI44" s="50" t="s">
        <v>221</v>
      </c>
      <c r="AJ44" s="50">
        <v>178</v>
      </c>
      <c r="AK44" s="64"/>
      <c r="AL44" s="55">
        <v>28428000</v>
      </c>
      <c r="AM44" s="69">
        <v>18292800</v>
      </c>
      <c r="AN44" s="69">
        <v>10135200</v>
      </c>
      <c r="AO44" s="58" t="s">
        <v>67</v>
      </c>
      <c r="AP44" s="64"/>
      <c r="AQ44" s="64"/>
      <c r="AR44" s="64"/>
      <c r="AS44" s="64"/>
      <c r="AT44" s="64"/>
      <c r="AU44" s="64"/>
      <c r="AV44" s="64"/>
      <c r="AW44" s="220"/>
    </row>
    <row r="45" spans="1:49" s="221" customFormat="1" ht="285" x14ac:dyDescent="0.25">
      <c r="A45" s="47">
        <v>41</v>
      </c>
      <c r="B45" s="47" t="s">
        <v>222</v>
      </c>
      <c r="C45" s="123" t="s">
        <v>49</v>
      </c>
      <c r="D45" s="63" t="s">
        <v>50</v>
      </c>
      <c r="E45" s="47" t="s">
        <v>89</v>
      </c>
      <c r="F45" s="63" t="s">
        <v>52</v>
      </c>
      <c r="G45" s="63" t="s">
        <v>53</v>
      </c>
      <c r="H45" s="124" t="s">
        <v>54</v>
      </c>
      <c r="I45" s="63" t="s">
        <v>55</v>
      </c>
      <c r="J45" s="63" t="s">
        <v>56</v>
      </c>
      <c r="K45" s="126">
        <v>801116</v>
      </c>
      <c r="L45" s="126" t="s">
        <v>57</v>
      </c>
      <c r="M45" s="47" t="s">
        <v>58</v>
      </c>
      <c r="N45" s="47" t="s">
        <v>59</v>
      </c>
      <c r="O45" s="125" t="s">
        <v>60</v>
      </c>
      <c r="P45" s="47" t="s">
        <v>223</v>
      </c>
      <c r="Q45" s="44">
        <v>4120000</v>
      </c>
      <c r="R45" s="45">
        <v>1</v>
      </c>
      <c r="S45" s="44">
        <f t="shared" si="0"/>
        <v>47380000</v>
      </c>
      <c r="T45" s="48" t="s">
        <v>168</v>
      </c>
      <c r="U45" s="48" t="s">
        <v>63</v>
      </c>
      <c r="V45" s="49" t="s">
        <v>64</v>
      </c>
      <c r="W45" s="48">
        <v>11.5</v>
      </c>
      <c r="X45" s="50" t="s">
        <v>224</v>
      </c>
      <c r="Y45" s="51">
        <v>43104</v>
      </c>
      <c r="Z45" s="52">
        <f t="shared" si="1"/>
        <v>47380000</v>
      </c>
      <c r="AA45" s="50"/>
      <c r="AB45" s="50">
        <v>284</v>
      </c>
      <c r="AC45" s="53">
        <v>43109</v>
      </c>
      <c r="AD45" s="44">
        <v>47380000</v>
      </c>
      <c r="AE45" s="70">
        <v>0</v>
      </c>
      <c r="AF45" s="50">
        <v>213</v>
      </c>
      <c r="AG45" s="50">
        <v>43118</v>
      </c>
      <c r="AH45" s="55">
        <v>47380000</v>
      </c>
      <c r="AI45" s="50" t="s">
        <v>225</v>
      </c>
      <c r="AJ45" s="50">
        <v>177</v>
      </c>
      <c r="AK45" s="64"/>
      <c r="AL45" s="55">
        <v>47380000</v>
      </c>
      <c r="AM45" s="69">
        <v>30488000</v>
      </c>
      <c r="AN45" s="69">
        <v>16892000</v>
      </c>
      <c r="AO45" s="58" t="s">
        <v>67</v>
      </c>
      <c r="AP45" s="64"/>
      <c r="AQ45" s="64"/>
      <c r="AR45" s="64"/>
      <c r="AS45" s="64"/>
      <c r="AT45" s="64"/>
      <c r="AU45" s="64"/>
      <c r="AV45" s="64"/>
      <c r="AW45" s="220"/>
    </row>
    <row r="46" spans="1:49" s="221" customFormat="1" ht="299.25" x14ac:dyDescent="0.25">
      <c r="A46" s="47">
        <v>42</v>
      </c>
      <c r="B46" s="47" t="s">
        <v>226</v>
      </c>
      <c r="C46" s="123" t="s">
        <v>49</v>
      </c>
      <c r="D46" s="63" t="s">
        <v>50</v>
      </c>
      <c r="E46" s="47" t="s">
        <v>89</v>
      </c>
      <c r="F46" s="63" t="s">
        <v>52</v>
      </c>
      <c r="G46" s="63" t="s">
        <v>53</v>
      </c>
      <c r="H46" s="124" t="s">
        <v>54</v>
      </c>
      <c r="I46" s="63" t="s">
        <v>55</v>
      </c>
      <c r="J46" s="63" t="s">
        <v>56</v>
      </c>
      <c r="K46" s="126">
        <v>801116</v>
      </c>
      <c r="L46" s="126" t="s">
        <v>57</v>
      </c>
      <c r="M46" s="47" t="s">
        <v>58</v>
      </c>
      <c r="N46" s="47" t="s">
        <v>59</v>
      </c>
      <c r="O46" s="125" t="s">
        <v>60</v>
      </c>
      <c r="P46" s="47" t="s">
        <v>227</v>
      </c>
      <c r="Q46" s="44">
        <v>3326900</v>
      </c>
      <c r="R46" s="45">
        <v>1</v>
      </c>
      <c r="S46" s="44">
        <f t="shared" si="0"/>
        <v>38259350</v>
      </c>
      <c r="T46" s="48" t="s">
        <v>168</v>
      </c>
      <c r="U46" s="48" t="s">
        <v>63</v>
      </c>
      <c r="V46" s="49" t="s">
        <v>64</v>
      </c>
      <c r="W46" s="48">
        <v>11.5</v>
      </c>
      <c r="X46" s="50" t="s">
        <v>228</v>
      </c>
      <c r="Y46" s="51">
        <v>43104</v>
      </c>
      <c r="Z46" s="52">
        <f t="shared" si="1"/>
        <v>38259350</v>
      </c>
      <c r="AA46" s="50"/>
      <c r="AB46" s="50">
        <v>285</v>
      </c>
      <c r="AC46" s="53">
        <v>43109</v>
      </c>
      <c r="AD46" s="44">
        <v>38259350</v>
      </c>
      <c r="AE46" s="70">
        <v>0</v>
      </c>
      <c r="AF46" s="50">
        <v>275</v>
      </c>
      <c r="AG46" s="50">
        <v>43122</v>
      </c>
      <c r="AH46" s="55">
        <v>38259350</v>
      </c>
      <c r="AI46" s="50" t="s">
        <v>229</v>
      </c>
      <c r="AJ46" s="50">
        <v>245</v>
      </c>
      <c r="AK46" s="64"/>
      <c r="AL46" s="55">
        <v>38259350</v>
      </c>
      <c r="AM46" s="69">
        <v>24286370</v>
      </c>
      <c r="AN46" s="69">
        <v>13972980</v>
      </c>
      <c r="AO46" s="58" t="s">
        <v>67</v>
      </c>
      <c r="AP46" s="64"/>
      <c r="AQ46" s="64"/>
      <c r="AR46" s="64"/>
      <c r="AS46" s="64"/>
      <c r="AT46" s="64"/>
      <c r="AU46" s="64"/>
      <c r="AV46" s="64"/>
      <c r="AW46" s="220"/>
    </row>
    <row r="47" spans="1:49" s="221" customFormat="1" ht="356.25" x14ac:dyDescent="0.25">
      <c r="A47" s="47">
        <v>43</v>
      </c>
      <c r="B47" s="47" t="s">
        <v>230</v>
      </c>
      <c r="C47" s="123" t="s">
        <v>49</v>
      </c>
      <c r="D47" s="63" t="s">
        <v>50</v>
      </c>
      <c r="E47" s="47" t="s">
        <v>89</v>
      </c>
      <c r="F47" s="63" t="s">
        <v>52</v>
      </c>
      <c r="G47" s="63" t="s">
        <v>53</v>
      </c>
      <c r="H47" s="124" t="s">
        <v>54</v>
      </c>
      <c r="I47" s="63" t="s">
        <v>55</v>
      </c>
      <c r="J47" s="63" t="s">
        <v>56</v>
      </c>
      <c r="K47" s="126">
        <v>801116</v>
      </c>
      <c r="L47" s="126" t="s">
        <v>57</v>
      </c>
      <c r="M47" s="47" t="s">
        <v>58</v>
      </c>
      <c r="N47" s="47" t="s">
        <v>59</v>
      </c>
      <c r="O47" s="125" t="s">
        <v>60</v>
      </c>
      <c r="P47" s="47" t="s">
        <v>231</v>
      </c>
      <c r="Q47" s="44">
        <v>1545000</v>
      </c>
      <c r="R47" s="45">
        <v>1</v>
      </c>
      <c r="S47" s="44">
        <f t="shared" si="0"/>
        <v>17767500</v>
      </c>
      <c r="T47" s="48" t="s">
        <v>168</v>
      </c>
      <c r="U47" s="48" t="s">
        <v>63</v>
      </c>
      <c r="V47" s="49" t="s">
        <v>64</v>
      </c>
      <c r="W47" s="48">
        <v>11.5</v>
      </c>
      <c r="X47" s="50" t="s">
        <v>232</v>
      </c>
      <c r="Y47" s="51">
        <v>43104</v>
      </c>
      <c r="Z47" s="52">
        <f t="shared" si="1"/>
        <v>17767500</v>
      </c>
      <c r="AA47" s="50"/>
      <c r="AB47" s="50">
        <v>286</v>
      </c>
      <c r="AC47" s="53">
        <v>43109</v>
      </c>
      <c r="AD47" s="44">
        <v>17767500</v>
      </c>
      <c r="AE47" s="70">
        <v>0</v>
      </c>
      <c r="AF47" s="50">
        <v>241</v>
      </c>
      <c r="AG47" s="50">
        <v>43119</v>
      </c>
      <c r="AH47" s="55">
        <v>17767500</v>
      </c>
      <c r="AI47" s="50" t="s">
        <v>233</v>
      </c>
      <c r="AJ47" s="50">
        <v>220</v>
      </c>
      <c r="AK47" s="64"/>
      <c r="AL47" s="55">
        <v>17767500</v>
      </c>
      <c r="AM47" s="69">
        <v>11433000</v>
      </c>
      <c r="AN47" s="69">
        <v>6334500</v>
      </c>
      <c r="AO47" s="58" t="s">
        <v>67</v>
      </c>
      <c r="AP47" s="64"/>
      <c r="AQ47" s="64"/>
      <c r="AR47" s="64"/>
      <c r="AS47" s="64"/>
      <c r="AT47" s="64"/>
      <c r="AU47" s="64"/>
      <c r="AV47" s="64"/>
      <c r="AW47" s="220"/>
    </row>
    <row r="48" spans="1:49" s="221" customFormat="1" ht="409.5" x14ac:dyDescent="0.25">
      <c r="A48" s="47">
        <v>44</v>
      </c>
      <c r="B48" s="47" t="s">
        <v>234</v>
      </c>
      <c r="C48" s="123" t="s">
        <v>49</v>
      </c>
      <c r="D48" s="63" t="s">
        <v>50</v>
      </c>
      <c r="E48" s="47" t="s">
        <v>89</v>
      </c>
      <c r="F48" s="63" t="s">
        <v>52</v>
      </c>
      <c r="G48" s="63" t="s">
        <v>53</v>
      </c>
      <c r="H48" s="124" t="s">
        <v>54</v>
      </c>
      <c r="I48" s="63" t="s">
        <v>55</v>
      </c>
      <c r="J48" s="63" t="s">
        <v>56</v>
      </c>
      <c r="K48" s="126">
        <v>801116</v>
      </c>
      <c r="L48" s="126" t="s">
        <v>57</v>
      </c>
      <c r="M48" s="47" t="s">
        <v>58</v>
      </c>
      <c r="N48" s="47" t="s">
        <v>59</v>
      </c>
      <c r="O48" s="125" t="s">
        <v>60</v>
      </c>
      <c r="P48" s="47" t="s">
        <v>152</v>
      </c>
      <c r="Q48" s="44">
        <v>3553500</v>
      </c>
      <c r="R48" s="45">
        <v>1</v>
      </c>
      <c r="S48" s="44">
        <f t="shared" si="0"/>
        <v>31981500</v>
      </c>
      <c r="T48" s="48" t="s">
        <v>168</v>
      </c>
      <c r="U48" s="48" t="s">
        <v>63</v>
      </c>
      <c r="V48" s="49" t="s">
        <v>64</v>
      </c>
      <c r="W48" s="48">
        <v>9</v>
      </c>
      <c r="X48" s="50" t="s">
        <v>235</v>
      </c>
      <c r="Y48" s="51">
        <v>43104</v>
      </c>
      <c r="Z48" s="52">
        <f t="shared" si="1"/>
        <v>31981500</v>
      </c>
      <c r="AA48" s="50"/>
      <c r="AB48" s="50">
        <v>287</v>
      </c>
      <c r="AC48" s="53">
        <v>43109</v>
      </c>
      <c r="AD48" s="44">
        <v>31981500</v>
      </c>
      <c r="AE48" s="70">
        <v>0</v>
      </c>
      <c r="AF48" s="50">
        <v>497</v>
      </c>
      <c r="AG48" s="50">
        <v>43126</v>
      </c>
      <c r="AH48" s="55">
        <v>31981500</v>
      </c>
      <c r="AI48" s="50" t="s">
        <v>236</v>
      </c>
      <c r="AJ48" s="50">
        <v>426</v>
      </c>
      <c r="AK48" s="64"/>
      <c r="AL48" s="55">
        <v>31981500</v>
      </c>
      <c r="AM48" s="69">
        <v>25111400</v>
      </c>
      <c r="AN48" s="69">
        <v>6870100</v>
      </c>
      <c r="AO48" s="58" t="s">
        <v>67</v>
      </c>
      <c r="AP48" s="64"/>
      <c r="AQ48" s="64"/>
      <c r="AR48" s="64"/>
      <c r="AS48" s="64"/>
      <c r="AT48" s="64"/>
      <c r="AU48" s="64"/>
      <c r="AV48" s="64"/>
      <c r="AW48" s="220"/>
    </row>
    <row r="49" spans="1:49" s="221" customFormat="1" ht="199.5" x14ac:dyDescent="0.25">
      <c r="A49" s="47">
        <v>45</v>
      </c>
      <c r="B49" s="47" t="s">
        <v>237</v>
      </c>
      <c r="C49" s="123" t="s">
        <v>49</v>
      </c>
      <c r="D49" s="63" t="s">
        <v>50</v>
      </c>
      <c r="E49" s="47" t="s">
        <v>51</v>
      </c>
      <c r="F49" s="63" t="s">
        <v>52</v>
      </c>
      <c r="G49" s="63" t="s">
        <v>53</v>
      </c>
      <c r="H49" s="124" t="s">
        <v>54</v>
      </c>
      <c r="I49" s="63" t="s">
        <v>55</v>
      </c>
      <c r="J49" s="63" t="s">
        <v>56</v>
      </c>
      <c r="K49" s="126">
        <v>801116</v>
      </c>
      <c r="L49" s="126" t="s">
        <v>57</v>
      </c>
      <c r="M49" s="47" t="s">
        <v>58</v>
      </c>
      <c r="N49" s="47" t="s">
        <v>59</v>
      </c>
      <c r="O49" s="125" t="s">
        <v>60</v>
      </c>
      <c r="P49" s="47" t="s">
        <v>238</v>
      </c>
      <c r="Q49" s="44">
        <v>5665000</v>
      </c>
      <c r="R49" s="45">
        <v>1</v>
      </c>
      <c r="S49" s="46">
        <f t="shared" si="0"/>
        <v>65147500</v>
      </c>
      <c r="T49" s="48" t="s">
        <v>168</v>
      </c>
      <c r="U49" s="48" t="s">
        <v>63</v>
      </c>
      <c r="V49" s="49" t="s">
        <v>64</v>
      </c>
      <c r="W49" s="48">
        <v>11.5</v>
      </c>
      <c r="X49" s="50" t="s">
        <v>239</v>
      </c>
      <c r="Y49" s="51">
        <v>43104</v>
      </c>
      <c r="Z49" s="52">
        <f t="shared" si="1"/>
        <v>65147500</v>
      </c>
      <c r="AA49" s="50"/>
      <c r="AB49" s="50">
        <v>288</v>
      </c>
      <c r="AC49" s="53">
        <v>43109</v>
      </c>
      <c r="AD49" s="44">
        <v>65147500</v>
      </c>
      <c r="AE49" s="70">
        <v>0</v>
      </c>
      <c r="AF49" s="50">
        <v>235</v>
      </c>
      <c r="AG49" s="50">
        <v>43119</v>
      </c>
      <c r="AH49" s="55">
        <v>65147500</v>
      </c>
      <c r="AI49" s="50" t="s">
        <v>240</v>
      </c>
      <c r="AJ49" s="50">
        <v>209</v>
      </c>
      <c r="AK49" s="64"/>
      <c r="AL49" s="55">
        <v>65147500</v>
      </c>
      <c r="AM49" s="69">
        <v>41921000</v>
      </c>
      <c r="AN49" s="69">
        <v>23226500</v>
      </c>
      <c r="AO49" s="58" t="s">
        <v>67</v>
      </c>
      <c r="AP49" s="64"/>
      <c r="AQ49" s="64"/>
      <c r="AR49" s="64"/>
      <c r="AS49" s="64"/>
      <c r="AT49" s="64"/>
      <c r="AU49" s="64"/>
      <c r="AV49" s="64"/>
      <c r="AW49" s="220"/>
    </row>
    <row r="50" spans="1:49" s="221" customFormat="1" ht="409.5" x14ac:dyDescent="0.25">
      <c r="A50" s="47">
        <v>46</v>
      </c>
      <c r="B50" s="47" t="s">
        <v>241</v>
      </c>
      <c r="C50" s="123" t="s">
        <v>49</v>
      </c>
      <c r="D50" s="63" t="s">
        <v>50</v>
      </c>
      <c r="E50" s="47" t="s">
        <v>89</v>
      </c>
      <c r="F50" s="63" t="s">
        <v>52</v>
      </c>
      <c r="G50" s="63" t="s">
        <v>53</v>
      </c>
      <c r="H50" s="124" t="s">
        <v>54</v>
      </c>
      <c r="I50" s="63" t="s">
        <v>55</v>
      </c>
      <c r="J50" s="63" t="s">
        <v>56</v>
      </c>
      <c r="K50" s="126">
        <v>801116</v>
      </c>
      <c r="L50" s="126" t="s">
        <v>57</v>
      </c>
      <c r="M50" s="47" t="s">
        <v>58</v>
      </c>
      <c r="N50" s="47" t="s">
        <v>59</v>
      </c>
      <c r="O50" s="125" t="s">
        <v>60</v>
      </c>
      <c r="P50" s="47" t="s">
        <v>242</v>
      </c>
      <c r="Q50" s="44">
        <v>1751000</v>
      </c>
      <c r="R50" s="45">
        <v>1</v>
      </c>
      <c r="S50" s="44">
        <f t="shared" si="0"/>
        <v>20136500</v>
      </c>
      <c r="T50" s="48" t="s">
        <v>168</v>
      </c>
      <c r="U50" s="48" t="s">
        <v>63</v>
      </c>
      <c r="V50" s="49" t="s">
        <v>64</v>
      </c>
      <c r="W50" s="48">
        <v>11.5</v>
      </c>
      <c r="X50" s="50" t="s">
        <v>243</v>
      </c>
      <c r="Y50" s="51">
        <v>43104</v>
      </c>
      <c r="Z50" s="52">
        <f t="shared" si="1"/>
        <v>20136500</v>
      </c>
      <c r="AA50" s="50"/>
      <c r="AB50" s="50">
        <v>289</v>
      </c>
      <c r="AC50" s="53">
        <v>43109</v>
      </c>
      <c r="AD50" s="44">
        <v>20136500</v>
      </c>
      <c r="AE50" s="70">
        <v>0</v>
      </c>
      <c r="AF50" s="50">
        <v>326</v>
      </c>
      <c r="AG50" s="50">
        <v>43123</v>
      </c>
      <c r="AH50" s="55">
        <v>20136500</v>
      </c>
      <c r="AI50" s="50" t="s">
        <v>244</v>
      </c>
      <c r="AJ50" s="50">
        <v>287</v>
      </c>
      <c r="AK50" s="64"/>
      <c r="AL50" s="55">
        <v>20136500</v>
      </c>
      <c r="AM50" s="69">
        <v>12723934</v>
      </c>
      <c r="AN50" s="69">
        <v>7412566</v>
      </c>
      <c r="AO50" s="58" t="s">
        <v>67</v>
      </c>
      <c r="AP50" s="64"/>
      <c r="AQ50" s="64"/>
      <c r="AR50" s="64"/>
      <c r="AS50" s="64"/>
      <c r="AT50" s="64"/>
      <c r="AU50" s="64"/>
      <c r="AV50" s="64"/>
      <c r="AW50" s="220"/>
    </row>
    <row r="51" spans="1:49" s="221" customFormat="1" ht="409.5" x14ac:dyDescent="0.25">
      <c r="A51" s="47">
        <v>47</v>
      </c>
      <c r="B51" s="47" t="s">
        <v>245</v>
      </c>
      <c r="C51" s="123" t="s">
        <v>49</v>
      </c>
      <c r="D51" s="63" t="s">
        <v>50</v>
      </c>
      <c r="E51" s="47" t="s">
        <v>89</v>
      </c>
      <c r="F51" s="63" t="s">
        <v>52</v>
      </c>
      <c r="G51" s="63" t="s">
        <v>53</v>
      </c>
      <c r="H51" s="124" t="s">
        <v>54</v>
      </c>
      <c r="I51" s="63" t="s">
        <v>55</v>
      </c>
      <c r="J51" s="63" t="s">
        <v>56</v>
      </c>
      <c r="K51" s="126">
        <v>801116</v>
      </c>
      <c r="L51" s="126" t="s">
        <v>57</v>
      </c>
      <c r="M51" s="47" t="s">
        <v>58</v>
      </c>
      <c r="N51" s="47" t="s">
        <v>59</v>
      </c>
      <c r="O51" s="125" t="s">
        <v>60</v>
      </c>
      <c r="P51" s="47" t="s">
        <v>246</v>
      </c>
      <c r="Q51" s="44">
        <v>3326900</v>
      </c>
      <c r="R51" s="45">
        <v>1</v>
      </c>
      <c r="S51" s="44">
        <f t="shared" si="0"/>
        <v>38259350</v>
      </c>
      <c r="T51" s="48" t="s">
        <v>168</v>
      </c>
      <c r="U51" s="48" t="s">
        <v>63</v>
      </c>
      <c r="V51" s="49" t="s">
        <v>64</v>
      </c>
      <c r="W51" s="48">
        <v>11.5</v>
      </c>
      <c r="X51" s="50" t="s">
        <v>247</v>
      </c>
      <c r="Y51" s="51">
        <v>43104</v>
      </c>
      <c r="Z51" s="52">
        <f t="shared" si="1"/>
        <v>38259350</v>
      </c>
      <c r="AA51" s="50"/>
      <c r="AB51" s="50">
        <v>290</v>
      </c>
      <c r="AC51" s="53">
        <v>43109</v>
      </c>
      <c r="AD51" s="44">
        <v>38259350</v>
      </c>
      <c r="AE51" s="70">
        <v>0</v>
      </c>
      <c r="AF51" s="50">
        <v>317</v>
      </c>
      <c r="AG51" s="50">
        <v>43122</v>
      </c>
      <c r="AH51" s="55">
        <v>38259350</v>
      </c>
      <c r="AI51" s="50" t="s">
        <v>248</v>
      </c>
      <c r="AJ51" s="50">
        <v>276</v>
      </c>
      <c r="AK51" s="64"/>
      <c r="AL51" s="55">
        <v>38259350</v>
      </c>
      <c r="AM51" s="69">
        <v>24175473</v>
      </c>
      <c r="AN51" s="69">
        <v>14083877</v>
      </c>
      <c r="AO51" s="58" t="s">
        <v>67</v>
      </c>
      <c r="AP51" s="64"/>
      <c r="AQ51" s="64"/>
      <c r="AR51" s="64"/>
      <c r="AS51" s="64"/>
      <c r="AT51" s="64"/>
      <c r="AU51" s="64"/>
      <c r="AV51" s="64"/>
      <c r="AW51" s="220"/>
    </row>
    <row r="52" spans="1:49" s="221" customFormat="1" ht="370.5" x14ac:dyDescent="0.25">
      <c r="A52" s="47">
        <v>48</v>
      </c>
      <c r="B52" s="47" t="s">
        <v>249</v>
      </c>
      <c r="C52" s="123" t="s">
        <v>49</v>
      </c>
      <c r="D52" s="63" t="s">
        <v>50</v>
      </c>
      <c r="E52" s="47" t="s">
        <v>89</v>
      </c>
      <c r="F52" s="63" t="s">
        <v>52</v>
      </c>
      <c r="G52" s="63" t="s">
        <v>53</v>
      </c>
      <c r="H52" s="124" t="s">
        <v>54</v>
      </c>
      <c r="I52" s="63" t="s">
        <v>55</v>
      </c>
      <c r="J52" s="63" t="s">
        <v>56</v>
      </c>
      <c r="K52" s="126">
        <v>801116</v>
      </c>
      <c r="L52" s="126" t="s">
        <v>57</v>
      </c>
      <c r="M52" s="47" t="s">
        <v>58</v>
      </c>
      <c r="N52" s="47" t="s">
        <v>59</v>
      </c>
      <c r="O52" s="125" t="s">
        <v>60</v>
      </c>
      <c r="P52" s="47" t="s">
        <v>250</v>
      </c>
      <c r="Q52" s="44">
        <v>5036700</v>
      </c>
      <c r="R52" s="45">
        <v>1</v>
      </c>
      <c r="S52" s="44">
        <f t="shared" si="0"/>
        <v>57922050</v>
      </c>
      <c r="T52" s="48" t="s">
        <v>168</v>
      </c>
      <c r="U52" s="48" t="s">
        <v>63</v>
      </c>
      <c r="V52" s="49" t="s">
        <v>64</v>
      </c>
      <c r="W52" s="48">
        <v>11.5</v>
      </c>
      <c r="X52" s="50" t="s">
        <v>251</v>
      </c>
      <c r="Y52" s="51">
        <v>43104</v>
      </c>
      <c r="Z52" s="52">
        <f t="shared" si="1"/>
        <v>57922050</v>
      </c>
      <c r="AA52" s="50"/>
      <c r="AB52" s="50">
        <v>291</v>
      </c>
      <c r="AC52" s="53">
        <v>43109</v>
      </c>
      <c r="AD52" s="44">
        <v>57922050</v>
      </c>
      <c r="AE52" s="70">
        <v>0</v>
      </c>
      <c r="AF52" s="50">
        <v>429</v>
      </c>
      <c r="AG52" s="50">
        <v>43124</v>
      </c>
      <c r="AH52" s="55">
        <v>57922050</v>
      </c>
      <c r="AI52" s="50" t="s">
        <v>252</v>
      </c>
      <c r="AJ52" s="50">
        <v>364</v>
      </c>
      <c r="AK52" s="64"/>
      <c r="AL52" s="55">
        <v>57922050</v>
      </c>
      <c r="AM52" s="69">
        <v>36264240</v>
      </c>
      <c r="AN52" s="69">
        <v>21657810</v>
      </c>
      <c r="AO52" s="58" t="s">
        <v>67</v>
      </c>
      <c r="AP52" s="64"/>
      <c r="AQ52" s="64"/>
      <c r="AR52" s="64"/>
      <c r="AS52" s="64"/>
      <c r="AT52" s="64"/>
      <c r="AU52" s="64"/>
      <c r="AV52" s="64"/>
      <c r="AW52" s="220"/>
    </row>
    <row r="53" spans="1:49" s="221" customFormat="1" ht="213.75" x14ac:dyDescent="0.25">
      <c r="A53" s="47">
        <v>49</v>
      </c>
      <c r="B53" s="47" t="s">
        <v>253</v>
      </c>
      <c r="C53" s="123" t="s">
        <v>49</v>
      </c>
      <c r="D53" s="63" t="s">
        <v>50</v>
      </c>
      <c r="E53" s="47" t="s">
        <v>89</v>
      </c>
      <c r="F53" s="63" t="s">
        <v>52</v>
      </c>
      <c r="G53" s="63" t="s">
        <v>53</v>
      </c>
      <c r="H53" s="124" t="s">
        <v>54</v>
      </c>
      <c r="I53" s="63" t="s">
        <v>55</v>
      </c>
      <c r="J53" s="63" t="s">
        <v>56</v>
      </c>
      <c r="K53" s="126">
        <v>801116</v>
      </c>
      <c r="L53" s="126" t="s">
        <v>57</v>
      </c>
      <c r="M53" s="47" t="s">
        <v>58</v>
      </c>
      <c r="N53" s="47" t="s">
        <v>59</v>
      </c>
      <c r="O53" s="125" t="s">
        <v>60</v>
      </c>
      <c r="P53" s="47" t="s">
        <v>254</v>
      </c>
      <c r="Q53" s="44">
        <v>1751000</v>
      </c>
      <c r="R53" s="45">
        <v>1</v>
      </c>
      <c r="S53" s="44">
        <f t="shared" si="0"/>
        <v>20136500</v>
      </c>
      <c r="T53" s="48" t="s">
        <v>168</v>
      </c>
      <c r="U53" s="48" t="s">
        <v>63</v>
      </c>
      <c r="V53" s="49" t="s">
        <v>64</v>
      </c>
      <c r="W53" s="48">
        <v>11.5</v>
      </c>
      <c r="X53" s="50" t="s">
        <v>255</v>
      </c>
      <c r="Y53" s="51">
        <v>43104</v>
      </c>
      <c r="Z53" s="52">
        <f t="shared" si="1"/>
        <v>20136500</v>
      </c>
      <c r="AA53" s="50"/>
      <c r="AB53" s="50">
        <v>292</v>
      </c>
      <c r="AC53" s="53">
        <v>43109</v>
      </c>
      <c r="AD53" s="44">
        <v>20136500</v>
      </c>
      <c r="AE53" s="70">
        <v>0</v>
      </c>
      <c r="AF53" s="50">
        <v>384</v>
      </c>
      <c r="AG53" s="50">
        <v>43124</v>
      </c>
      <c r="AH53" s="55">
        <v>20136500</v>
      </c>
      <c r="AI53" s="50" t="s">
        <v>256</v>
      </c>
      <c r="AJ53" s="50">
        <v>307</v>
      </c>
      <c r="AK53" s="64"/>
      <c r="AL53" s="55">
        <v>20136500</v>
      </c>
      <c r="AM53" s="69">
        <v>12607200</v>
      </c>
      <c r="AN53" s="69">
        <v>7529300</v>
      </c>
      <c r="AO53" s="58" t="s">
        <v>67</v>
      </c>
      <c r="AP53" s="64"/>
      <c r="AQ53" s="64"/>
      <c r="AR53" s="64"/>
      <c r="AS53" s="64"/>
      <c r="AT53" s="64"/>
      <c r="AU53" s="64"/>
      <c r="AV53" s="64"/>
      <c r="AW53" s="220"/>
    </row>
    <row r="54" spans="1:49" s="221" customFormat="1" ht="199.5" x14ac:dyDescent="0.25">
      <c r="A54" s="47">
        <v>50</v>
      </c>
      <c r="B54" s="47" t="s">
        <v>257</v>
      </c>
      <c r="C54" s="123" t="s">
        <v>49</v>
      </c>
      <c r="D54" s="63" t="s">
        <v>50</v>
      </c>
      <c r="E54" s="47" t="s">
        <v>89</v>
      </c>
      <c r="F54" s="63" t="s">
        <v>52</v>
      </c>
      <c r="G54" s="63" t="s">
        <v>53</v>
      </c>
      <c r="H54" s="124" t="s">
        <v>54</v>
      </c>
      <c r="I54" s="63" t="s">
        <v>55</v>
      </c>
      <c r="J54" s="63" t="s">
        <v>56</v>
      </c>
      <c r="K54" s="126">
        <v>801116</v>
      </c>
      <c r="L54" s="126" t="s">
        <v>57</v>
      </c>
      <c r="M54" s="47" t="s">
        <v>58</v>
      </c>
      <c r="N54" s="47" t="s">
        <v>59</v>
      </c>
      <c r="O54" s="125" t="s">
        <v>60</v>
      </c>
      <c r="P54" s="47" t="s">
        <v>258</v>
      </c>
      <c r="Q54" s="44">
        <v>4532000</v>
      </c>
      <c r="R54" s="45">
        <v>1</v>
      </c>
      <c r="S54" s="44">
        <f t="shared" si="0"/>
        <v>52118000</v>
      </c>
      <c r="T54" s="48" t="s">
        <v>168</v>
      </c>
      <c r="U54" s="48" t="s">
        <v>63</v>
      </c>
      <c r="V54" s="49" t="s">
        <v>64</v>
      </c>
      <c r="W54" s="48">
        <v>11.5</v>
      </c>
      <c r="X54" s="50" t="s">
        <v>259</v>
      </c>
      <c r="Y54" s="51">
        <v>43104</v>
      </c>
      <c r="Z54" s="52">
        <f t="shared" si="1"/>
        <v>52118000</v>
      </c>
      <c r="AA54" s="50"/>
      <c r="AB54" s="50">
        <v>293</v>
      </c>
      <c r="AC54" s="53">
        <v>43109</v>
      </c>
      <c r="AD54" s="44">
        <v>52118000</v>
      </c>
      <c r="AE54" s="70">
        <v>0</v>
      </c>
      <c r="AF54" s="50">
        <v>188</v>
      </c>
      <c r="AG54" s="50">
        <v>43118</v>
      </c>
      <c r="AH54" s="55">
        <v>52118000</v>
      </c>
      <c r="AI54" s="50" t="s">
        <v>260</v>
      </c>
      <c r="AJ54" s="50">
        <v>141</v>
      </c>
      <c r="AK54" s="64"/>
      <c r="AL54" s="55">
        <v>52118000</v>
      </c>
      <c r="AM54" s="69">
        <v>33687867</v>
      </c>
      <c r="AN54" s="69">
        <v>18430133</v>
      </c>
      <c r="AO54" s="58" t="s">
        <v>67</v>
      </c>
      <c r="AP54" s="64"/>
      <c r="AQ54" s="64"/>
      <c r="AR54" s="64"/>
      <c r="AS54" s="64"/>
      <c r="AT54" s="64"/>
      <c r="AU54" s="64"/>
      <c r="AV54" s="64"/>
      <c r="AW54" s="220"/>
    </row>
    <row r="55" spans="1:49" s="221" customFormat="1" ht="185.25" x14ac:dyDescent="0.25">
      <c r="A55" s="47">
        <v>51</v>
      </c>
      <c r="B55" s="47" t="s">
        <v>261</v>
      </c>
      <c r="C55" s="123" t="s">
        <v>49</v>
      </c>
      <c r="D55" s="63" t="s">
        <v>50</v>
      </c>
      <c r="E55" s="47" t="s">
        <v>89</v>
      </c>
      <c r="F55" s="63" t="s">
        <v>52</v>
      </c>
      <c r="G55" s="63" t="s">
        <v>53</v>
      </c>
      <c r="H55" s="124" t="s">
        <v>54</v>
      </c>
      <c r="I55" s="63" t="s">
        <v>55</v>
      </c>
      <c r="J55" s="63" t="s">
        <v>56</v>
      </c>
      <c r="K55" s="126">
        <v>801116</v>
      </c>
      <c r="L55" s="126" t="s">
        <v>57</v>
      </c>
      <c r="M55" s="47" t="s">
        <v>58</v>
      </c>
      <c r="N55" s="47" t="s">
        <v>59</v>
      </c>
      <c r="O55" s="125" t="s">
        <v>60</v>
      </c>
      <c r="P55" s="47" t="s">
        <v>90</v>
      </c>
      <c r="Q55" s="44">
        <v>3399000</v>
      </c>
      <c r="R55" s="45">
        <v>1</v>
      </c>
      <c r="S55" s="44">
        <f t="shared" si="0"/>
        <v>39088500</v>
      </c>
      <c r="T55" s="48" t="s">
        <v>168</v>
      </c>
      <c r="U55" s="48" t="s">
        <v>63</v>
      </c>
      <c r="V55" s="49" t="s">
        <v>64</v>
      </c>
      <c r="W55" s="48">
        <v>11.5</v>
      </c>
      <c r="X55" s="50" t="s">
        <v>262</v>
      </c>
      <c r="Y55" s="51">
        <v>43104</v>
      </c>
      <c r="Z55" s="52">
        <f t="shared" si="1"/>
        <v>39088500</v>
      </c>
      <c r="AA55" s="50"/>
      <c r="AB55" s="50">
        <v>294</v>
      </c>
      <c r="AC55" s="53">
        <v>43109</v>
      </c>
      <c r="AD55" s="44">
        <v>39088500</v>
      </c>
      <c r="AE55" s="70">
        <v>0</v>
      </c>
      <c r="AF55" s="50">
        <v>232</v>
      </c>
      <c r="AG55" s="50">
        <v>43119</v>
      </c>
      <c r="AH55" s="55">
        <v>39088500</v>
      </c>
      <c r="AI55" s="50" t="s">
        <v>263</v>
      </c>
      <c r="AJ55" s="50">
        <v>212</v>
      </c>
      <c r="AK55" s="64"/>
      <c r="AL55" s="55">
        <v>39088500</v>
      </c>
      <c r="AM55" s="69">
        <v>25152600</v>
      </c>
      <c r="AN55" s="69">
        <v>13935900</v>
      </c>
      <c r="AO55" s="58" t="s">
        <v>67</v>
      </c>
      <c r="AP55" s="64"/>
      <c r="AQ55" s="64"/>
      <c r="AR55" s="64"/>
      <c r="AS55" s="64"/>
      <c r="AT55" s="64"/>
      <c r="AU55" s="64"/>
      <c r="AV55" s="64"/>
      <c r="AW55" s="220"/>
    </row>
    <row r="56" spans="1:49" s="221" customFormat="1" ht="185.25" x14ac:dyDescent="0.25">
      <c r="A56" s="47">
        <v>52</v>
      </c>
      <c r="B56" s="47" t="s">
        <v>264</v>
      </c>
      <c r="C56" s="123" t="s">
        <v>49</v>
      </c>
      <c r="D56" s="63" t="s">
        <v>50</v>
      </c>
      <c r="E56" s="47" t="s">
        <v>89</v>
      </c>
      <c r="F56" s="63" t="s">
        <v>52</v>
      </c>
      <c r="G56" s="63" t="s">
        <v>53</v>
      </c>
      <c r="H56" s="124" t="s">
        <v>54</v>
      </c>
      <c r="I56" s="63" t="s">
        <v>55</v>
      </c>
      <c r="J56" s="63" t="s">
        <v>56</v>
      </c>
      <c r="K56" s="126">
        <v>801116</v>
      </c>
      <c r="L56" s="126" t="s">
        <v>57</v>
      </c>
      <c r="M56" s="47" t="s">
        <v>58</v>
      </c>
      <c r="N56" s="47" t="s">
        <v>59</v>
      </c>
      <c r="O56" s="125" t="s">
        <v>60</v>
      </c>
      <c r="P56" s="47" t="s">
        <v>90</v>
      </c>
      <c r="Q56" s="44">
        <v>3553500</v>
      </c>
      <c r="R56" s="45">
        <v>1</v>
      </c>
      <c r="S56" s="44">
        <f t="shared" si="0"/>
        <v>40865250</v>
      </c>
      <c r="T56" s="48" t="s">
        <v>168</v>
      </c>
      <c r="U56" s="48" t="s">
        <v>63</v>
      </c>
      <c r="V56" s="49" t="s">
        <v>64</v>
      </c>
      <c r="W56" s="48">
        <v>11.5</v>
      </c>
      <c r="X56" s="50" t="s">
        <v>265</v>
      </c>
      <c r="Y56" s="51">
        <v>43104</v>
      </c>
      <c r="Z56" s="52">
        <f t="shared" si="1"/>
        <v>40865250</v>
      </c>
      <c r="AA56" s="50"/>
      <c r="AB56" s="50">
        <v>295</v>
      </c>
      <c r="AC56" s="53">
        <v>43109</v>
      </c>
      <c r="AD56" s="44">
        <v>40865250</v>
      </c>
      <c r="AE56" s="70">
        <v>0</v>
      </c>
      <c r="AF56" s="50">
        <v>392</v>
      </c>
      <c r="AG56" s="50">
        <v>43124</v>
      </c>
      <c r="AH56" s="55">
        <v>40865250</v>
      </c>
      <c r="AI56" s="50" t="s">
        <v>266</v>
      </c>
      <c r="AJ56" s="50">
        <v>330</v>
      </c>
      <c r="AK56" s="64"/>
      <c r="AL56" s="55">
        <v>40865250</v>
      </c>
      <c r="AM56" s="69">
        <v>25585200</v>
      </c>
      <c r="AN56" s="69">
        <v>15280050</v>
      </c>
      <c r="AO56" s="58" t="s">
        <v>67</v>
      </c>
      <c r="AP56" s="64"/>
      <c r="AQ56" s="64"/>
      <c r="AR56" s="64"/>
      <c r="AS56" s="64"/>
      <c r="AT56" s="64"/>
      <c r="AU56" s="64"/>
      <c r="AV56" s="64"/>
      <c r="AW56" s="220"/>
    </row>
    <row r="57" spans="1:49" s="221" customFormat="1" ht="185.25" x14ac:dyDescent="0.25">
      <c r="A57" s="47">
        <v>53</v>
      </c>
      <c r="B57" s="47" t="s">
        <v>267</v>
      </c>
      <c r="C57" s="123" t="s">
        <v>49</v>
      </c>
      <c r="D57" s="63" t="s">
        <v>50</v>
      </c>
      <c r="E57" s="47" t="s">
        <v>89</v>
      </c>
      <c r="F57" s="63" t="s">
        <v>52</v>
      </c>
      <c r="G57" s="63" t="s">
        <v>53</v>
      </c>
      <c r="H57" s="124" t="s">
        <v>54</v>
      </c>
      <c r="I57" s="63" t="s">
        <v>55</v>
      </c>
      <c r="J57" s="63" t="s">
        <v>56</v>
      </c>
      <c r="K57" s="126">
        <v>801116</v>
      </c>
      <c r="L57" s="126" t="s">
        <v>57</v>
      </c>
      <c r="M57" s="47" t="s">
        <v>58</v>
      </c>
      <c r="N57" s="47" t="s">
        <v>59</v>
      </c>
      <c r="O57" s="125" t="s">
        <v>60</v>
      </c>
      <c r="P57" s="47" t="s">
        <v>90</v>
      </c>
      <c r="Q57" s="44">
        <v>3553500</v>
      </c>
      <c r="R57" s="45">
        <v>1</v>
      </c>
      <c r="S57" s="44">
        <f t="shared" si="0"/>
        <v>40865250</v>
      </c>
      <c r="T57" s="48" t="s">
        <v>168</v>
      </c>
      <c r="U57" s="48" t="s">
        <v>63</v>
      </c>
      <c r="V57" s="49" t="s">
        <v>64</v>
      </c>
      <c r="W57" s="48">
        <v>11.5</v>
      </c>
      <c r="X57" s="50" t="s">
        <v>268</v>
      </c>
      <c r="Y57" s="51">
        <v>43104</v>
      </c>
      <c r="Z57" s="52">
        <f t="shared" si="1"/>
        <v>40865250</v>
      </c>
      <c r="AA57" s="50"/>
      <c r="AB57" s="50">
        <v>296</v>
      </c>
      <c r="AC57" s="53">
        <v>43109</v>
      </c>
      <c r="AD57" s="44">
        <v>40865250</v>
      </c>
      <c r="AE57" s="70">
        <v>0</v>
      </c>
      <c r="AF57" s="50">
        <v>395</v>
      </c>
      <c r="AG57" s="50">
        <v>43124</v>
      </c>
      <c r="AH57" s="55">
        <v>40865250</v>
      </c>
      <c r="AI57" s="50" t="s">
        <v>269</v>
      </c>
      <c r="AJ57" s="50">
        <v>331</v>
      </c>
      <c r="AK57" s="64"/>
      <c r="AL57" s="55">
        <v>40865250</v>
      </c>
      <c r="AM57" s="69">
        <v>25585200</v>
      </c>
      <c r="AN57" s="69">
        <v>15280050</v>
      </c>
      <c r="AO57" s="58" t="s">
        <v>67</v>
      </c>
      <c r="AP57" s="64"/>
      <c r="AQ57" s="64"/>
      <c r="AR57" s="64"/>
      <c r="AS57" s="64"/>
      <c r="AT57" s="64"/>
      <c r="AU57" s="64"/>
      <c r="AV57" s="64"/>
      <c r="AW57" s="220"/>
    </row>
    <row r="58" spans="1:49" s="221" customFormat="1" ht="199.5" x14ac:dyDescent="0.25">
      <c r="A58" s="47">
        <v>54</v>
      </c>
      <c r="B58" s="47" t="s">
        <v>270</v>
      </c>
      <c r="C58" s="123" t="s">
        <v>49</v>
      </c>
      <c r="D58" s="63" t="s">
        <v>50</v>
      </c>
      <c r="E58" s="47" t="s">
        <v>51</v>
      </c>
      <c r="F58" s="63" t="s">
        <v>52</v>
      </c>
      <c r="G58" s="63" t="s">
        <v>53</v>
      </c>
      <c r="H58" s="124" t="s">
        <v>54</v>
      </c>
      <c r="I58" s="63" t="s">
        <v>55</v>
      </c>
      <c r="J58" s="63" t="s">
        <v>56</v>
      </c>
      <c r="K58" s="126">
        <v>801116</v>
      </c>
      <c r="L58" s="126" t="s">
        <v>57</v>
      </c>
      <c r="M58" s="47" t="s">
        <v>58</v>
      </c>
      <c r="N58" s="47" t="s">
        <v>59</v>
      </c>
      <c r="O58" s="125" t="s">
        <v>60</v>
      </c>
      <c r="P58" s="47" t="s">
        <v>172</v>
      </c>
      <c r="Q58" s="44">
        <v>7210000</v>
      </c>
      <c r="R58" s="45">
        <v>1</v>
      </c>
      <c r="S58" s="46">
        <f t="shared" si="0"/>
        <v>82915000</v>
      </c>
      <c r="T58" s="48" t="s">
        <v>168</v>
      </c>
      <c r="U58" s="48" t="s">
        <v>63</v>
      </c>
      <c r="V58" s="49" t="s">
        <v>64</v>
      </c>
      <c r="W58" s="48">
        <v>11.5</v>
      </c>
      <c r="X58" s="50" t="s">
        <v>271</v>
      </c>
      <c r="Y58" s="51">
        <v>43104</v>
      </c>
      <c r="Z58" s="52">
        <f t="shared" si="1"/>
        <v>82915000</v>
      </c>
      <c r="AA58" s="50"/>
      <c r="AB58" s="50">
        <v>297</v>
      </c>
      <c r="AC58" s="53">
        <v>43109</v>
      </c>
      <c r="AD58" s="44">
        <v>82915000</v>
      </c>
      <c r="AE58" s="70">
        <v>0</v>
      </c>
      <c r="AF58" s="50">
        <v>386</v>
      </c>
      <c r="AG58" s="50">
        <v>43124</v>
      </c>
      <c r="AH58" s="55">
        <v>82915000</v>
      </c>
      <c r="AI58" s="50" t="s">
        <v>272</v>
      </c>
      <c r="AJ58" s="50">
        <v>308</v>
      </c>
      <c r="AK58" s="64"/>
      <c r="AL58" s="55">
        <v>82915000</v>
      </c>
      <c r="AM58" s="69">
        <v>51912000</v>
      </c>
      <c r="AN58" s="69">
        <v>31003000</v>
      </c>
      <c r="AO58" s="58" t="s">
        <v>67</v>
      </c>
      <c r="AP58" s="64"/>
      <c r="AQ58" s="64"/>
      <c r="AR58" s="64"/>
      <c r="AS58" s="64"/>
      <c r="AT58" s="64"/>
      <c r="AU58" s="64"/>
      <c r="AV58" s="64"/>
      <c r="AW58" s="220"/>
    </row>
    <row r="59" spans="1:49" s="221" customFormat="1" ht="256.5" x14ac:dyDescent="0.25">
      <c r="A59" s="47">
        <v>55</v>
      </c>
      <c r="B59" s="47" t="s">
        <v>273</v>
      </c>
      <c r="C59" s="123" t="s">
        <v>49</v>
      </c>
      <c r="D59" s="63" t="s">
        <v>50</v>
      </c>
      <c r="E59" s="47" t="s">
        <v>89</v>
      </c>
      <c r="F59" s="63" t="s">
        <v>52</v>
      </c>
      <c r="G59" s="63" t="s">
        <v>53</v>
      </c>
      <c r="H59" s="124" t="s">
        <v>54</v>
      </c>
      <c r="I59" s="63" t="s">
        <v>55</v>
      </c>
      <c r="J59" s="63" t="s">
        <v>56</v>
      </c>
      <c r="K59" s="126">
        <v>801116</v>
      </c>
      <c r="L59" s="126" t="s">
        <v>57</v>
      </c>
      <c r="M59" s="47" t="s">
        <v>58</v>
      </c>
      <c r="N59" s="47" t="s">
        <v>59</v>
      </c>
      <c r="O59" s="125" t="s">
        <v>60</v>
      </c>
      <c r="P59" s="47" t="s">
        <v>274</v>
      </c>
      <c r="Q59" s="44">
        <v>4120000</v>
      </c>
      <c r="R59" s="45">
        <v>1</v>
      </c>
      <c r="S59" s="44">
        <f t="shared" si="0"/>
        <v>47380000</v>
      </c>
      <c r="T59" s="48" t="s">
        <v>168</v>
      </c>
      <c r="U59" s="48" t="s">
        <v>63</v>
      </c>
      <c r="V59" s="49" t="s">
        <v>64</v>
      </c>
      <c r="W59" s="48">
        <v>11.5</v>
      </c>
      <c r="X59" s="50" t="s">
        <v>275</v>
      </c>
      <c r="Y59" s="51">
        <v>43104</v>
      </c>
      <c r="Z59" s="52">
        <f t="shared" si="1"/>
        <v>47380000</v>
      </c>
      <c r="AA59" s="50"/>
      <c r="AB59" s="50">
        <v>298</v>
      </c>
      <c r="AC59" s="53">
        <v>43109</v>
      </c>
      <c r="AD59" s="44">
        <v>47380000</v>
      </c>
      <c r="AE59" s="70">
        <v>0</v>
      </c>
      <c r="AF59" s="50">
        <v>304</v>
      </c>
      <c r="AG59" s="50">
        <v>43122</v>
      </c>
      <c r="AH59" s="55">
        <v>47380000</v>
      </c>
      <c r="AI59" s="50" t="s">
        <v>276</v>
      </c>
      <c r="AJ59" s="50">
        <v>278</v>
      </c>
      <c r="AK59" s="64"/>
      <c r="AL59" s="55">
        <v>47380000</v>
      </c>
      <c r="AM59" s="69">
        <v>29938667</v>
      </c>
      <c r="AN59" s="69">
        <v>17441333</v>
      </c>
      <c r="AO59" s="58" t="s">
        <v>67</v>
      </c>
      <c r="AP59" s="64"/>
      <c r="AQ59" s="64"/>
      <c r="AR59" s="64"/>
      <c r="AS59" s="64"/>
      <c r="AT59" s="64"/>
      <c r="AU59" s="64"/>
      <c r="AV59" s="64"/>
      <c r="AW59" s="220"/>
    </row>
    <row r="60" spans="1:49" s="221" customFormat="1" ht="356.25" x14ac:dyDescent="0.25">
      <c r="A60" s="47">
        <v>56</v>
      </c>
      <c r="B60" s="47" t="s">
        <v>277</v>
      </c>
      <c r="C60" s="123" t="s">
        <v>49</v>
      </c>
      <c r="D60" s="63" t="s">
        <v>50</v>
      </c>
      <c r="E60" s="47" t="s">
        <v>89</v>
      </c>
      <c r="F60" s="63" t="s">
        <v>52</v>
      </c>
      <c r="G60" s="63" t="s">
        <v>53</v>
      </c>
      <c r="H60" s="124" t="s">
        <v>54</v>
      </c>
      <c r="I60" s="63" t="s">
        <v>55</v>
      </c>
      <c r="J60" s="63" t="s">
        <v>56</v>
      </c>
      <c r="K60" s="126">
        <v>801116</v>
      </c>
      <c r="L60" s="126" t="s">
        <v>57</v>
      </c>
      <c r="M60" s="47" t="s">
        <v>58</v>
      </c>
      <c r="N60" s="47" t="s">
        <v>59</v>
      </c>
      <c r="O60" s="125" t="s">
        <v>60</v>
      </c>
      <c r="P60" s="47" t="s">
        <v>213</v>
      </c>
      <c r="Q60" s="44">
        <v>2472000</v>
      </c>
      <c r="R60" s="45">
        <v>1</v>
      </c>
      <c r="S60" s="44">
        <f t="shared" si="0"/>
        <v>28428000</v>
      </c>
      <c r="T60" s="48" t="s">
        <v>168</v>
      </c>
      <c r="U60" s="48" t="s">
        <v>63</v>
      </c>
      <c r="V60" s="49" t="s">
        <v>64</v>
      </c>
      <c r="W60" s="48">
        <v>11.5</v>
      </c>
      <c r="X60" s="50" t="s">
        <v>278</v>
      </c>
      <c r="Y60" s="51">
        <v>43104</v>
      </c>
      <c r="Z60" s="52">
        <f t="shared" si="1"/>
        <v>28428000</v>
      </c>
      <c r="AA60" s="50"/>
      <c r="AB60" s="50">
        <v>299</v>
      </c>
      <c r="AC60" s="53">
        <v>43109</v>
      </c>
      <c r="AD60" s="44">
        <v>28428000</v>
      </c>
      <c r="AE60" s="70">
        <v>0</v>
      </c>
      <c r="AF60" s="50">
        <v>195</v>
      </c>
      <c r="AG60" s="50">
        <v>43118</v>
      </c>
      <c r="AH60" s="55">
        <v>28428000</v>
      </c>
      <c r="AI60" s="50" t="s">
        <v>279</v>
      </c>
      <c r="AJ60" s="50">
        <v>183</v>
      </c>
      <c r="AK60" s="64"/>
      <c r="AL60" s="55">
        <v>28428000</v>
      </c>
      <c r="AM60" s="69">
        <v>18292800</v>
      </c>
      <c r="AN60" s="69">
        <v>10135200</v>
      </c>
      <c r="AO60" s="58" t="s">
        <v>67</v>
      </c>
      <c r="AP60" s="64"/>
      <c r="AQ60" s="64"/>
      <c r="AR60" s="64"/>
      <c r="AS60" s="64"/>
      <c r="AT60" s="64"/>
      <c r="AU60" s="64"/>
      <c r="AV60" s="64"/>
      <c r="AW60" s="220"/>
    </row>
    <row r="61" spans="1:49" s="221" customFormat="1" ht="285" x14ac:dyDescent="0.25">
      <c r="A61" s="47">
        <v>57</v>
      </c>
      <c r="B61" s="47" t="s">
        <v>280</v>
      </c>
      <c r="C61" s="123" t="s">
        <v>49</v>
      </c>
      <c r="D61" s="63" t="s">
        <v>50</v>
      </c>
      <c r="E61" s="47" t="s">
        <v>89</v>
      </c>
      <c r="F61" s="63" t="s">
        <v>52</v>
      </c>
      <c r="G61" s="63" t="s">
        <v>53</v>
      </c>
      <c r="H61" s="124" t="s">
        <v>54</v>
      </c>
      <c r="I61" s="63" t="s">
        <v>55</v>
      </c>
      <c r="J61" s="63" t="s">
        <v>56</v>
      </c>
      <c r="K61" s="126">
        <v>801116</v>
      </c>
      <c r="L61" s="126" t="s">
        <v>57</v>
      </c>
      <c r="M61" s="47" t="s">
        <v>58</v>
      </c>
      <c r="N61" s="47" t="s">
        <v>59</v>
      </c>
      <c r="O61" s="125" t="s">
        <v>60</v>
      </c>
      <c r="P61" s="47" t="s">
        <v>223</v>
      </c>
      <c r="Q61" s="44">
        <v>4120000</v>
      </c>
      <c r="R61" s="45">
        <v>1</v>
      </c>
      <c r="S61" s="44">
        <f t="shared" si="0"/>
        <v>47380000</v>
      </c>
      <c r="T61" s="48" t="s">
        <v>168</v>
      </c>
      <c r="U61" s="48" t="s">
        <v>63</v>
      </c>
      <c r="V61" s="49" t="s">
        <v>64</v>
      </c>
      <c r="W61" s="48">
        <v>11.5</v>
      </c>
      <c r="X61" s="50" t="s">
        <v>281</v>
      </c>
      <c r="Y61" s="51">
        <v>43104</v>
      </c>
      <c r="Z61" s="52">
        <f t="shared" si="1"/>
        <v>47380000</v>
      </c>
      <c r="AA61" s="50"/>
      <c r="AB61" s="50">
        <v>300</v>
      </c>
      <c r="AC61" s="53">
        <v>43109</v>
      </c>
      <c r="AD61" s="44">
        <v>47380000</v>
      </c>
      <c r="AE61" s="70">
        <v>0</v>
      </c>
      <c r="AF61" s="50">
        <v>272</v>
      </c>
      <c r="AG61" s="50">
        <v>43122</v>
      </c>
      <c r="AH61" s="55">
        <v>47380000</v>
      </c>
      <c r="AI61" s="50" t="s">
        <v>282</v>
      </c>
      <c r="AJ61" s="50">
        <v>242</v>
      </c>
      <c r="AK61" s="64"/>
      <c r="AL61" s="55">
        <v>47380000</v>
      </c>
      <c r="AM61" s="69">
        <v>30076000</v>
      </c>
      <c r="AN61" s="69">
        <v>17304000</v>
      </c>
      <c r="AO61" s="58" t="s">
        <v>67</v>
      </c>
      <c r="AP61" s="64"/>
      <c r="AQ61" s="64"/>
      <c r="AR61" s="64"/>
      <c r="AS61" s="64"/>
      <c r="AT61" s="64"/>
      <c r="AU61" s="64"/>
      <c r="AV61" s="64"/>
      <c r="AW61" s="220"/>
    </row>
    <row r="62" spans="1:49" s="221" customFormat="1" ht="285" x14ac:dyDescent="0.25">
      <c r="A62" s="47">
        <v>58</v>
      </c>
      <c r="B62" s="47" t="s">
        <v>283</v>
      </c>
      <c r="C62" s="123" t="s">
        <v>49</v>
      </c>
      <c r="D62" s="63" t="s">
        <v>50</v>
      </c>
      <c r="E62" s="47" t="s">
        <v>89</v>
      </c>
      <c r="F62" s="63" t="s">
        <v>52</v>
      </c>
      <c r="G62" s="63" t="s">
        <v>53</v>
      </c>
      <c r="H62" s="124" t="s">
        <v>54</v>
      </c>
      <c r="I62" s="63" t="s">
        <v>55</v>
      </c>
      <c r="J62" s="63" t="s">
        <v>56</v>
      </c>
      <c r="K62" s="126">
        <v>801116</v>
      </c>
      <c r="L62" s="126" t="s">
        <v>57</v>
      </c>
      <c r="M62" s="47" t="s">
        <v>58</v>
      </c>
      <c r="N62" s="47" t="s">
        <v>59</v>
      </c>
      <c r="O62" s="125" t="s">
        <v>60</v>
      </c>
      <c r="P62" s="47" t="s">
        <v>223</v>
      </c>
      <c r="Q62" s="44">
        <v>4120000</v>
      </c>
      <c r="R62" s="45">
        <v>1</v>
      </c>
      <c r="S62" s="44">
        <f t="shared" si="0"/>
        <v>47380000</v>
      </c>
      <c r="T62" s="48" t="s">
        <v>168</v>
      </c>
      <c r="U62" s="48" t="s">
        <v>63</v>
      </c>
      <c r="V62" s="49" t="s">
        <v>64</v>
      </c>
      <c r="W62" s="48">
        <v>11.5</v>
      </c>
      <c r="X62" s="50" t="s">
        <v>284</v>
      </c>
      <c r="Y62" s="51">
        <v>43104</v>
      </c>
      <c r="Z62" s="52">
        <f t="shared" si="1"/>
        <v>47380000</v>
      </c>
      <c r="AA62" s="50"/>
      <c r="AB62" s="50">
        <v>301</v>
      </c>
      <c r="AC62" s="53">
        <v>43109</v>
      </c>
      <c r="AD62" s="44">
        <v>47380000</v>
      </c>
      <c r="AE62" s="70">
        <v>0</v>
      </c>
      <c r="AF62" s="50">
        <v>276</v>
      </c>
      <c r="AG62" s="50">
        <v>43122</v>
      </c>
      <c r="AH62" s="55">
        <v>47380000</v>
      </c>
      <c r="AI62" s="50" t="s">
        <v>285</v>
      </c>
      <c r="AJ62" s="50">
        <v>246</v>
      </c>
      <c r="AK62" s="64"/>
      <c r="AL62" s="55">
        <v>47380000</v>
      </c>
      <c r="AM62" s="69">
        <v>30076000</v>
      </c>
      <c r="AN62" s="69">
        <v>17304000</v>
      </c>
      <c r="AO62" s="58" t="s">
        <v>67</v>
      </c>
      <c r="AP62" s="64"/>
      <c r="AQ62" s="64"/>
      <c r="AR62" s="64"/>
      <c r="AS62" s="64"/>
      <c r="AT62" s="64"/>
      <c r="AU62" s="64"/>
      <c r="AV62" s="64"/>
      <c r="AW62" s="220"/>
    </row>
    <row r="63" spans="1:49" s="221" customFormat="1" ht="256.5" x14ac:dyDescent="0.25">
      <c r="A63" s="47">
        <v>59</v>
      </c>
      <c r="B63" s="47" t="s">
        <v>286</v>
      </c>
      <c r="C63" s="123" t="s">
        <v>49</v>
      </c>
      <c r="D63" s="63" t="s">
        <v>50</v>
      </c>
      <c r="E63" s="47" t="s">
        <v>89</v>
      </c>
      <c r="F63" s="63" t="s">
        <v>52</v>
      </c>
      <c r="G63" s="63" t="s">
        <v>53</v>
      </c>
      <c r="H63" s="124" t="s">
        <v>54</v>
      </c>
      <c r="I63" s="63" t="s">
        <v>55</v>
      </c>
      <c r="J63" s="63" t="s">
        <v>56</v>
      </c>
      <c r="K63" s="126">
        <v>801116</v>
      </c>
      <c r="L63" s="126" t="s">
        <v>57</v>
      </c>
      <c r="M63" s="47" t="s">
        <v>58</v>
      </c>
      <c r="N63" s="47" t="s">
        <v>59</v>
      </c>
      <c r="O63" s="125" t="s">
        <v>60</v>
      </c>
      <c r="P63" s="47" t="s">
        <v>287</v>
      </c>
      <c r="Q63" s="44">
        <v>15420000</v>
      </c>
      <c r="R63" s="45">
        <v>1</v>
      </c>
      <c r="S63" s="44">
        <f t="shared" si="0"/>
        <v>177330000</v>
      </c>
      <c r="T63" s="48" t="s">
        <v>168</v>
      </c>
      <c r="U63" s="48" t="s">
        <v>63</v>
      </c>
      <c r="V63" s="49" t="s">
        <v>64</v>
      </c>
      <c r="W63" s="48">
        <v>11.5</v>
      </c>
      <c r="X63" s="50" t="s">
        <v>288</v>
      </c>
      <c r="Y63" s="51">
        <v>43104</v>
      </c>
      <c r="Z63" s="52">
        <f t="shared" si="1"/>
        <v>177330000</v>
      </c>
      <c r="AA63" s="50"/>
      <c r="AB63" s="50">
        <v>302</v>
      </c>
      <c r="AC63" s="53">
        <v>43109</v>
      </c>
      <c r="AD63" s="44">
        <v>177330000</v>
      </c>
      <c r="AE63" s="70">
        <v>0</v>
      </c>
      <c r="AF63" s="50">
        <v>244</v>
      </c>
      <c r="AG63" s="50">
        <v>43119</v>
      </c>
      <c r="AH63" s="55">
        <v>177330000</v>
      </c>
      <c r="AI63" s="50" t="s">
        <v>289</v>
      </c>
      <c r="AJ63" s="50">
        <v>217</v>
      </c>
      <c r="AK63" s="64"/>
      <c r="AL63" s="55">
        <v>177330000</v>
      </c>
      <c r="AM63" s="69">
        <v>114108000</v>
      </c>
      <c r="AN63" s="69">
        <v>63222000</v>
      </c>
      <c r="AO63" s="58" t="s">
        <v>67</v>
      </c>
      <c r="AP63" s="64"/>
      <c r="AQ63" s="64"/>
      <c r="AR63" s="64"/>
      <c r="AS63" s="64"/>
      <c r="AT63" s="64"/>
      <c r="AU63" s="64"/>
      <c r="AV63" s="64"/>
      <c r="AW63" s="220"/>
    </row>
    <row r="64" spans="1:49" s="221" customFormat="1" ht="299.25" x14ac:dyDescent="0.25">
      <c r="A64" s="47">
        <v>60</v>
      </c>
      <c r="B64" s="47" t="s">
        <v>290</v>
      </c>
      <c r="C64" s="123" t="s">
        <v>49</v>
      </c>
      <c r="D64" s="63" t="s">
        <v>50</v>
      </c>
      <c r="E64" s="47" t="s">
        <v>89</v>
      </c>
      <c r="F64" s="63" t="s">
        <v>52</v>
      </c>
      <c r="G64" s="63" t="s">
        <v>53</v>
      </c>
      <c r="H64" s="124" t="s">
        <v>54</v>
      </c>
      <c r="I64" s="63" t="s">
        <v>55</v>
      </c>
      <c r="J64" s="63" t="s">
        <v>56</v>
      </c>
      <c r="K64" s="126">
        <v>801116</v>
      </c>
      <c r="L64" s="126" t="s">
        <v>57</v>
      </c>
      <c r="M64" s="47" t="s">
        <v>58</v>
      </c>
      <c r="N64" s="47" t="s">
        <v>59</v>
      </c>
      <c r="O64" s="125" t="s">
        <v>60</v>
      </c>
      <c r="P64" s="47" t="s">
        <v>291</v>
      </c>
      <c r="Q64" s="44">
        <v>1751000</v>
      </c>
      <c r="R64" s="45">
        <v>1</v>
      </c>
      <c r="S64" s="44">
        <f t="shared" si="0"/>
        <v>20136500</v>
      </c>
      <c r="T64" s="48" t="s">
        <v>168</v>
      </c>
      <c r="U64" s="48" t="s">
        <v>63</v>
      </c>
      <c r="V64" s="49" t="s">
        <v>64</v>
      </c>
      <c r="W64" s="48">
        <v>11.5</v>
      </c>
      <c r="X64" s="50" t="s">
        <v>292</v>
      </c>
      <c r="Y64" s="51">
        <v>43104</v>
      </c>
      <c r="Z64" s="52">
        <f t="shared" si="1"/>
        <v>20136500</v>
      </c>
      <c r="AA64" s="50"/>
      <c r="AB64" s="50">
        <v>303</v>
      </c>
      <c r="AC64" s="53">
        <v>43109</v>
      </c>
      <c r="AD64" s="44">
        <v>20136500</v>
      </c>
      <c r="AE64" s="70">
        <v>0</v>
      </c>
      <c r="AF64" s="50">
        <v>388</v>
      </c>
      <c r="AG64" s="50">
        <v>43124</v>
      </c>
      <c r="AH64" s="55">
        <v>20136500</v>
      </c>
      <c r="AI64" s="50" t="s">
        <v>293</v>
      </c>
      <c r="AJ64" s="50">
        <v>311</v>
      </c>
      <c r="AK64" s="64"/>
      <c r="AL64" s="55">
        <v>20136500</v>
      </c>
      <c r="AM64" s="69">
        <v>12607200</v>
      </c>
      <c r="AN64" s="69">
        <v>7529300</v>
      </c>
      <c r="AO64" s="58" t="s">
        <v>67</v>
      </c>
      <c r="AP64" s="64"/>
      <c r="AQ64" s="64"/>
      <c r="AR64" s="64"/>
      <c r="AS64" s="64"/>
      <c r="AT64" s="64"/>
      <c r="AU64" s="64"/>
      <c r="AV64" s="64"/>
      <c r="AW64" s="220"/>
    </row>
    <row r="65" spans="1:49" s="221" customFormat="1" ht="370.5" x14ac:dyDescent="0.25">
      <c r="A65" s="47">
        <v>61</v>
      </c>
      <c r="B65" s="47" t="s">
        <v>294</v>
      </c>
      <c r="C65" s="123" t="s">
        <v>49</v>
      </c>
      <c r="D65" s="63" t="s">
        <v>50</v>
      </c>
      <c r="E65" s="47" t="s">
        <v>89</v>
      </c>
      <c r="F65" s="63" t="s">
        <v>52</v>
      </c>
      <c r="G65" s="63" t="s">
        <v>53</v>
      </c>
      <c r="H65" s="124" t="s">
        <v>54</v>
      </c>
      <c r="I65" s="63" t="s">
        <v>55</v>
      </c>
      <c r="J65" s="63" t="s">
        <v>56</v>
      </c>
      <c r="K65" s="126">
        <v>801116</v>
      </c>
      <c r="L65" s="126" t="s">
        <v>57</v>
      </c>
      <c r="M65" s="47" t="s">
        <v>58</v>
      </c>
      <c r="N65" s="47" t="s">
        <v>59</v>
      </c>
      <c r="O65" s="125" t="s">
        <v>60</v>
      </c>
      <c r="P65" s="47" t="s">
        <v>94</v>
      </c>
      <c r="Q65" s="44">
        <v>5665000</v>
      </c>
      <c r="R65" s="45">
        <v>1</v>
      </c>
      <c r="S65" s="44">
        <f t="shared" si="0"/>
        <v>65147500</v>
      </c>
      <c r="T65" s="48" t="s">
        <v>168</v>
      </c>
      <c r="U65" s="48" t="s">
        <v>63</v>
      </c>
      <c r="V65" s="49" t="s">
        <v>64</v>
      </c>
      <c r="W65" s="48">
        <v>11.5</v>
      </c>
      <c r="X65" s="50" t="s">
        <v>295</v>
      </c>
      <c r="Y65" s="51">
        <v>43104</v>
      </c>
      <c r="Z65" s="52">
        <f t="shared" si="1"/>
        <v>65147500</v>
      </c>
      <c r="AA65" s="50"/>
      <c r="AB65" s="50">
        <v>304</v>
      </c>
      <c r="AC65" s="53">
        <v>43109</v>
      </c>
      <c r="AD65" s="44">
        <v>65147500</v>
      </c>
      <c r="AE65" s="70">
        <v>0</v>
      </c>
      <c r="AF65" s="50">
        <v>315</v>
      </c>
      <c r="AG65" s="50">
        <v>43122</v>
      </c>
      <c r="AH65" s="55">
        <v>65147500</v>
      </c>
      <c r="AI65" s="50" t="s">
        <v>296</v>
      </c>
      <c r="AJ65" s="50">
        <v>275</v>
      </c>
      <c r="AK65" s="64"/>
      <c r="AL65" s="55">
        <v>65147500</v>
      </c>
      <c r="AM65" s="69">
        <v>41165667</v>
      </c>
      <c r="AN65" s="69">
        <v>23981833</v>
      </c>
      <c r="AO65" s="58" t="s">
        <v>67</v>
      </c>
      <c r="AP65" s="64"/>
      <c r="AQ65" s="64"/>
      <c r="AR65" s="64"/>
      <c r="AS65" s="64"/>
      <c r="AT65" s="64"/>
      <c r="AU65" s="64"/>
      <c r="AV65" s="64"/>
      <c r="AW65" s="220"/>
    </row>
    <row r="66" spans="1:49" s="221" customFormat="1" ht="409.5" x14ac:dyDescent="0.25">
      <c r="A66" s="47">
        <v>62</v>
      </c>
      <c r="B66" s="47" t="s">
        <v>297</v>
      </c>
      <c r="C66" s="123" t="s">
        <v>49</v>
      </c>
      <c r="D66" s="63" t="s">
        <v>50</v>
      </c>
      <c r="E66" s="47" t="s">
        <v>89</v>
      </c>
      <c r="F66" s="63" t="s">
        <v>52</v>
      </c>
      <c r="G66" s="63" t="s">
        <v>53</v>
      </c>
      <c r="H66" s="124" t="s">
        <v>54</v>
      </c>
      <c r="I66" s="63" t="s">
        <v>55</v>
      </c>
      <c r="J66" s="63" t="s">
        <v>56</v>
      </c>
      <c r="K66" s="126">
        <v>801116</v>
      </c>
      <c r="L66" s="126" t="s">
        <v>57</v>
      </c>
      <c r="M66" s="47" t="s">
        <v>58</v>
      </c>
      <c r="N66" s="47" t="s">
        <v>59</v>
      </c>
      <c r="O66" s="125" t="s">
        <v>60</v>
      </c>
      <c r="P66" s="47" t="s">
        <v>298</v>
      </c>
      <c r="Q66" s="44">
        <v>5665000</v>
      </c>
      <c r="R66" s="45">
        <v>1</v>
      </c>
      <c r="S66" s="44">
        <f t="shared" si="0"/>
        <v>65147500</v>
      </c>
      <c r="T66" s="48" t="s">
        <v>168</v>
      </c>
      <c r="U66" s="48" t="s">
        <v>63</v>
      </c>
      <c r="V66" s="49" t="s">
        <v>64</v>
      </c>
      <c r="W66" s="48">
        <v>11.5</v>
      </c>
      <c r="X66" s="50" t="s">
        <v>299</v>
      </c>
      <c r="Y66" s="51">
        <v>43104</v>
      </c>
      <c r="Z66" s="52">
        <f t="shared" si="1"/>
        <v>65147500</v>
      </c>
      <c r="AA66" s="50"/>
      <c r="AB66" s="50">
        <v>305</v>
      </c>
      <c r="AC66" s="53">
        <v>43109</v>
      </c>
      <c r="AD66" s="44">
        <v>65147500</v>
      </c>
      <c r="AE66" s="70">
        <v>0</v>
      </c>
      <c r="AF66" s="50">
        <v>393</v>
      </c>
      <c r="AG66" s="50">
        <v>43124</v>
      </c>
      <c r="AH66" s="55">
        <v>65147500</v>
      </c>
      <c r="AI66" s="50" t="s">
        <v>300</v>
      </c>
      <c r="AJ66" s="50">
        <v>315</v>
      </c>
      <c r="AK66" s="64"/>
      <c r="AL66" s="55">
        <v>65147500</v>
      </c>
      <c r="AM66" s="69">
        <v>40788000</v>
      </c>
      <c r="AN66" s="69">
        <v>24359500</v>
      </c>
      <c r="AO66" s="58" t="s">
        <v>67</v>
      </c>
      <c r="AP66" s="64"/>
      <c r="AQ66" s="64"/>
      <c r="AR66" s="64"/>
      <c r="AS66" s="64"/>
      <c r="AT66" s="64"/>
      <c r="AU66" s="64"/>
      <c r="AV66" s="64"/>
      <c r="AW66" s="220"/>
    </row>
    <row r="67" spans="1:49" s="221" customFormat="1" ht="370.5" x14ac:dyDescent="0.25">
      <c r="A67" s="47">
        <v>63</v>
      </c>
      <c r="B67" s="47" t="s">
        <v>301</v>
      </c>
      <c r="C67" s="123" t="s">
        <v>49</v>
      </c>
      <c r="D67" s="63" t="s">
        <v>50</v>
      </c>
      <c r="E67" s="47" t="s">
        <v>89</v>
      </c>
      <c r="F67" s="63" t="s">
        <v>52</v>
      </c>
      <c r="G67" s="63" t="s">
        <v>53</v>
      </c>
      <c r="H67" s="124" t="s">
        <v>54</v>
      </c>
      <c r="I67" s="63" t="s">
        <v>55</v>
      </c>
      <c r="J67" s="63" t="s">
        <v>56</v>
      </c>
      <c r="K67" s="126">
        <v>801116</v>
      </c>
      <c r="L67" s="126" t="s">
        <v>57</v>
      </c>
      <c r="M67" s="47" t="s">
        <v>58</v>
      </c>
      <c r="N67" s="47" t="s">
        <v>59</v>
      </c>
      <c r="O67" s="125" t="s">
        <v>60</v>
      </c>
      <c r="P67" s="47" t="s">
        <v>302</v>
      </c>
      <c r="Q67" s="44">
        <v>3326900</v>
      </c>
      <c r="R67" s="45">
        <v>1</v>
      </c>
      <c r="S67" s="44">
        <f t="shared" si="0"/>
        <v>38259350</v>
      </c>
      <c r="T67" s="48" t="s">
        <v>168</v>
      </c>
      <c r="U67" s="48" t="s">
        <v>63</v>
      </c>
      <c r="V67" s="49" t="s">
        <v>64</v>
      </c>
      <c r="W67" s="48">
        <v>11.5</v>
      </c>
      <c r="X67" s="50" t="s">
        <v>303</v>
      </c>
      <c r="Y67" s="51">
        <v>43104</v>
      </c>
      <c r="Z67" s="52">
        <f t="shared" si="1"/>
        <v>38259350</v>
      </c>
      <c r="AA67" s="50"/>
      <c r="AB67" s="50">
        <v>306</v>
      </c>
      <c r="AC67" s="53">
        <v>43109</v>
      </c>
      <c r="AD67" s="44">
        <v>38259350</v>
      </c>
      <c r="AE67" s="70">
        <v>0</v>
      </c>
      <c r="AF67" s="50">
        <v>314</v>
      </c>
      <c r="AG67" s="50">
        <v>43122</v>
      </c>
      <c r="AH67" s="55">
        <v>38259350</v>
      </c>
      <c r="AI67" s="50" t="s">
        <v>304</v>
      </c>
      <c r="AJ67" s="50">
        <v>274</v>
      </c>
      <c r="AK67" s="64"/>
      <c r="AL67" s="55">
        <v>38259350</v>
      </c>
      <c r="AM67" s="69">
        <v>24175474</v>
      </c>
      <c r="AN67" s="69">
        <v>14083876</v>
      </c>
      <c r="AO67" s="58" t="s">
        <v>67</v>
      </c>
      <c r="AP67" s="64"/>
      <c r="AQ67" s="64"/>
      <c r="AR67" s="64"/>
      <c r="AS67" s="64"/>
      <c r="AT67" s="64"/>
      <c r="AU67" s="64"/>
      <c r="AV67" s="64"/>
      <c r="AW67" s="220"/>
    </row>
    <row r="68" spans="1:49" s="221" customFormat="1" ht="285" x14ac:dyDescent="0.25">
      <c r="A68" s="47">
        <v>64</v>
      </c>
      <c r="B68" s="47" t="s">
        <v>305</v>
      </c>
      <c r="C68" s="123" t="s">
        <v>49</v>
      </c>
      <c r="D68" s="63" t="s">
        <v>50</v>
      </c>
      <c r="E68" s="47" t="s">
        <v>51</v>
      </c>
      <c r="F68" s="63" t="s">
        <v>52</v>
      </c>
      <c r="G68" s="63" t="s">
        <v>53</v>
      </c>
      <c r="H68" s="124" t="s">
        <v>54</v>
      </c>
      <c r="I68" s="63" t="s">
        <v>55</v>
      </c>
      <c r="J68" s="63" t="s">
        <v>56</v>
      </c>
      <c r="K68" s="126">
        <v>801116</v>
      </c>
      <c r="L68" s="126" t="s">
        <v>57</v>
      </c>
      <c r="M68" s="47" t="s">
        <v>58</v>
      </c>
      <c r="N68" s="47" t="s">
        <v>59</v>
      </c>
      <c r="O68" s="125" t="s">
        <v>60</v>
      </c>
      <c r="P68" s="47" t="s">
        <v>306</v>
      </c>
      <c r="Q68" s="44">
        <v>1751000</v>
      </c>
      <c r="R68" s="45">
        <v>1</v>
      </c>
      <c r="S68" s="46">
        <f t="shared" si="0"/>
        <v>20136500</v>
      </c>
      <c r="T68" s="48" t="s">
        <v>168</v>
      </c>
      <c r="U68" s="48" t="s">
        <v>63</v>
      </c>
      <c r="V68" s="49" t="s">
        <v>64</v>
      </c>
      <c r="W68" s="48">
        <v>11.5</v>
      </c>
      <c r="X68" s="50" t="s">
        <v>307</v>
      </c>
      <c r="Y68" s="51">
        <v>43104</v>
      </c>
      <c r="Z68" s="52">
        <f t="shared" si="1"/>
        <v>20136500</v>
      </c>
      <c r="AA68" s="50"/>
      <c r="AB68" s="50">
        <v>307</v>
      </c>
      <c r="AC68" s="53">
        <v>43109</v>
      </c>
      <c r="AD68" s="44">
        <v>20136500</v>
      </c>
      <c r="AE68" s="70">
        <v>0</v>
      </c>
      <c r="AF68" s="50">
        <v>498</v>
      </c>
      <c r="AG68" s="50">
        <v>43126</v>
      </c>
      <c r="AH68" s="55">
        <v>20136500</v>
      </c>
      <c r="AI68" s="50" t="s">
        <v>308</v>
      </c>
      <c r="AJ68" s="50">
        <v>421</v>
      </c>
      <c r="AK68" s="64"/>
      <c r="AL68" s="55">
        <v>20136500</v>
      </c>
      <c r="AM68" s="69">
        <v>12373733</v>
      </c>
      <c r="AN68" s="69">
        <v>7762767</v>
      </c>
      <c r="AO68" s="58" t="s">
        <v>67</v>
      </c>
      <c r="AP68" s="64"/>
      <c r="AQ68" s="64"/>
      <c r="AR68" s="64"/>
      <c r="AS68" s="64"/>
      <c r="AT68" s="64"/>
      <c r="AU68" s="64"/>
      <c r="AV68" s="64"/>
      <c r="AW68" s="220"/>
    </row>
    <row r="69" spans="1:49" s="221" customFormat="1" ht="299.25" x14ac:dyDescent="0.25">
      <c r="A69" s="47">
        <v>65</v>
      </c>
      <c r="B69" s="47" t="s">
        <v>309</v>
      </c>
      <c r="C69" s="123" t="s">
        <v>49</v>
      </c>
      <c r="D69" s="63" t="s">
        <v>50</v>
      </c>
      <c r="E69" s="47" t="s">
        <v>51</v>
      </c>
      <c r="F69" s="63" t="s">
        <v>52</v>
      </c>
      <c r="G69" s="63" t="s">
        <v>53</v>
      </c>
      <c r="H69" s="124" t="s">
        <v>54</v>
      </c>
      <c r="I69" s="63" t="s">
        <v>55</v>
      </c>
      <c r="J69" s="63" t="s">
        <v>56</v>
      </c>
      <c r="K69" s="126">
        <v>801116</v>
      </c>
      <c r="L69" s="126" t="s">
        <v>57</v>
      </c>
      <c r="M69" s="47" t="s">
        <v>58</v>
      </c>
      <c r="N69" s="47" t="s">
        <v>59</v>
      </c>
      <c r="O69" s="125" t="s">
        <v>60</v>
      </c>
      <c r="P69" s="47" t="s">
        <v>310</v>
      </c>
      <c r="Q69" s="44">
        <v>8240000</v>
      </c>
      <c r="R69" s="45">
        <v>1</v>
      </c>
      <c r="S69" s="46">
        <f t="shared" si="0"/>
        <v>94760000</v>
      </c>
      <c r="T69" s="48" t="s">
        <v>168</v>
      </c>
      <c r="U69" s="48" t="s">
        <v>63</v>
      </c>
      <c r="V69" s="49" t="s">
        <v>64</v>
      </c>
      <c r="W69" s="48">
        <v>11.5</v>
      </c>
      <c r="X69" s="50" t="s">
        <v>311</v>
      </c>
      <c r="Y69" s="51">
        <v>43104</v>
      </c>
      <c r="Z69" s="52">
        <f t="shared" si="1"/>
        <v>94760000</v>
      </c>
      <c r="AA69" s="50"/>
      <c r="AB69" s="50">
        <v>308</v>
      </c>
      <c r="AC69" s="53">
        <v>43109</v>
      </c>
      <c r="AD69" s="44">
        <v>94760000</v>
      </c>
      <c r="AE69" s="70">
        <v>0</v>
      </c>
      <c r="AF69" s="50">
        <v>463</v>
      </c>
      <c r="AG69" s="50">
        <v>43126</v>
      </c>
      <c r="AH69" s="55">
        <v>94760000</v>
      </c>
      <c r="AI69" s="50" t="s">
        <v>312</v>
      </c>
      <c r="AJ69" s="50">
        <v>390</v>
      </c>
      <c r="AK69" s="64"/>
      <c r="AL69" s="55">
        <v>94760000</v>
      </c>
      <c r="AM69" s="69">
        <v>49989334</v>
      </c>
      <c r="AN69" s="69">
        <v>44770666</v>
      </c>
      <c r="AO69" s="58" t="s">
        <v>67</v>
      </c>
      <c r="AP69" s="64"/>
      <c r="AQ69" s="64"/>
      <c r="AR69" s="64"/>
      <c r="AS69" s="64"/>
      <c r="AT69" s="64"/>
      <c r="AU69" s="64"/>
      <c r="AV69" s="64"/>
      <c r="AW69" s="220"/>
    </row>
    <row r="70" spans="1:49" s="221" customFormat="1" ht="199.5" x14ac:dyDescent="0.25">
      <c r="A70" s="47">
        <v>66</v>
      </c>
      <c r="B70" s="47" t="s">
        <v>313</v>
      </c>
      <c r="C70" s="123" t="s">
        <v>49</v>
      </c>
      <c r="D70" s="63" t="s">
        <v>50</v>
      </c>
      <c r="E70" s="47" t="s">
        <v>89</v>
      </c>
      <c r="F70" s="63" t="s">
        <v>52</v>
      </c>
      <c r="G70" s="63" t="s">
        <v>53</v>
      </c>
      <c r="H70" s="124" t="s">
        <v>54</v>
      </c>
      <c r="I70" s="63" t="s">
        <v>55</v>
      </c>
      <c r="J70" s="63" t="s">
        <v>56</v>
      </c>
      <c r="K70" s="126">
        <v>801116</v>
      </c>
      <c r="L70" s="126" t="s">
        <v>57</v>
      </c>
      <c r="M70" s="47" t="s">
        <v>58</v>
      </c>
      <c r="N70" s="47" t="s">
        <v>59</v>
      </c>
      <c r="O70" s="125" t="s">
        <v>60</v>
      </c>
      <c r="P70" s="47" t="s">
        <v>314</v>
      </c>
      <c r="Q70" s="44">
        <v>2472000</v>
      </c>
      <c r="R70" s="45">
        <v>1</v>
      </c>
      <c r="S70" s="44">
        <f t="shared" ref="S70:S93" si="2">+Q70*R70*W70</f>
        <v>28428000</v>
      </c>
      <c r="T70" s="48" t="s">
        <v>168</v>
      </c>
      <c r="U70" s="48" t="s">
        <v>63</v>
      </c>
      <c r="V70" s="49" t="s">
        <v>64</v>
      </c>
      <c r="W70" s="48">
        <v>11.5</v>
      </c>
      <c r="X70" s="50" t="s">
        <v>315</v>
      </c>
      <c r="Y70" s="51">
        <v>43104</v>
      </c>
      <c r="Z70" s="52">
        <f t="shared" ref="Z70:Z110" si="3">S70</f>
        <v>28428000</v>
      </c>
      <c r="AA70" s="50"/>
      <c r="AB70" s="50">
        <v>309</v>
      </c>
      <c r="AC70" s="53">
        <v>43109</v>
      </c>
      <c r="AD70" s="44">
        <v>28428000</v>
      </c>
      <c r="AE70" s="70">
        <v>0</v>
      </c>
      <c r="AF70" s="50">
        <v>491</v>
      </c>
      <c r="AG70" s="50">
        <v>43126</v>
      </c>
      <c r="AH70" s="55">
        <v>28428000</v>
      </c>
      <c r="AI70" s="50" t="s">
        <v>316</v>
      </c>
      <c r="AJ70" s="50">
        <v>422</v>
      </c>
      <c r="AK70" s="64"/>
      <c r="AL70" s="55">
        <v>28428000</v>
      </c>
      <c r="AM70" s="69">
        <v>17304000</v>
      </c>
      <c r="AN70" s="69">
        <v>11124000</v>
      </c>
      <c r="AO70" s="58" t="s">
        <v>67</v>
      </c>
      <c r="AP70" s="64"/>
      <c r="AQ70" s="64"/>
      <c r="AR70" s="64"/>
      <c r="AS70" s="64"/>
      <c r="AT70" s="64"/>
      <c r="AU70" s="64"/>
      <c r="AV70" s="64"/>
      <c r="AW70" s="220"/>
    </row>
    <row r="71" spans="1:49" s="221" customFormat="1" ht="285" x14ac:dyDescent="0.25">
      <c r="A71" s="47">
        <v>67</v>
      </c>
      <c r="B71" s="47" t="s">
        <v>317</v>
      </c>
      <c r="C71" s="123" t="s">
        <v>49</v>
      </c>
      <c r="D71" s="63" t="s">
        <v>50</v>
      </c>
      <c r="E71" s="47" t="s">
        <v>89</v>
      </c>
      <c r="F71" s="63" t="s">
        <v>52</v>
      </c>
      <c r="G71" s="63" t="s">
        <v>53</v>
      </c>
      <c r="H71" s="124" t="s">
        <v>54</v>
      </c>
      <c r="I71" s="63" t="s">
        <v>55</v>
      </c>
      <c r="J71" s="63" t="s">
        <v>56</v>
      </c>
      <c r="K71" s="126">
        <v>801116</v>
      </c>
      <c r="L71" s="126" t="s">
        <v>57</v>
      </c>
      <c r="M71" s="47" t="s">
        <v>58</v>
      </c>
      <c r="N71" s="47" t="s">
        <v>59</v>
      </c>
      <c r="O71" s="125" t="s">
        <v>60</v>
      </c>
      <c r="P71" s="47" t="s">
        <v>318</v>
      </c>
      <c r="Q71" s="44">
        <v>6695000</v>
      </c>
      <c r="R71" s="45">
        <v>1</v>
      </c>
      <c r="S71" s="44">
        <f t="shared" si="2"/>
        <v>76992500</v>
      </c>
      <c r="T71" s="48" t="s">
        <v>168</v>
      </c>
      <c r="U71" s="48" t="s">
        <v>63</v>
      </c>
      <c r="V71" s="49" t="s">
        <v>64</v>
      </c>
      <c r="W71" s="48">
        <v>11.5</v>
      </c>
      <c r="X71" s="50" t="s">
        <v>319</v>
      </c>
      <c r="Y71" s="51">
        <v>43104</v>
      </c>
      <c r="Z71" s="52">
        <f t="shared" si="3"/>
        <v>76992500</v>
      </c>
      <c r="AA71" s="50"/>
      <c r="AB71" s="50">
        <v>259</v>
      </c>
      <c r="AC71" s="53">
        <v>43105</v>
      </c>
      <c r="AD71" s="44">
        <v>76992500</v>
      </c>
      <c r="AE71" s="70">
        <v>0</v>
      </c>
      <c r="AF71" s="50">
        <v>492</v>
      </c>
      <c r="AG71" s="50">
        <v>43126</v>
      </c>
      <c r="AH71" s="55">
        <v>76992500</v>
      </c>
      <c r="AI71" s="50" t="s">
        <v>320</v>
      </c>
      <c r="AJ71" s="50">
        <v>417</v>
      </c>
      <c r="AK71" s="64"/>
      <c r="AL71" s="55">
        <v>76992500</v>
      </c>
      <c r="AM71" s="69">
        <v>47311333</v>
      </c>
      <c r="AN71" s="69">
        <v>29681167</v>
      </c>
      <c r="AO71" s="58" t="s">
        <v>67</v>
      </c>
      <c r="AP71" s="64"/>
      <c r="AQ71" s="64"/>
      <c r="AR71" s="64"/>
      <c r="AS71" s="64"/>
      <c r="AT71" s="64"/>
      <c r="AU71" s="64"/>
      <c r="AV71" s="64"/>
      <c r="AW71" s="220"/>
    </row>
    <row r="72" spans="1:49" s="221" customFormat="1" ht="199.5" x14ac:dyDescent="0.25">
      <c r="A72" s="47">
        <v>68</v>
      </c>
      <c r="B72" s="47" t="s">
        <v>321</v>
      </c>
      <c r="C72" s="123" t="s">
        <v>49</v>
      </c>
      <c r="D72" s="63" t="s">
        <v>50</v>
      </c>
      <c r="E72" s="47" t="s">
        <v>89</v>
      </c>
      <c r="F72" s="63" t="s">
        <v>52</v>
      </c>
      <c r="G72" s="63" t="s">
        <v>53</v>
      </c>
      <c r="H72" s="124" t="s">
        <v>54</v>
      </c>
      <c r="I72" s="63" t="s">
        <v>55</v>
      </c>
      <c r="J72" s="63" t="s">
        <v>56</v>
      </c>
      <c r="K72" s="126">
        <v>801116</v>
      </c>
      <c r="L72" s="126" t="s">
        <v>57</v>
      </c>
      <c r="M72" s="47" t="s">
        <v>58</v>
      </c>
      <c r="N72" s="47" t="s">
        <v>59</v>
      </c>
      <c r="O72" s="125" t="s">
        <v>60</v>
      </c>
      <c r="P72" s="47" t="s">
        <v>322</v>
      </c>
      <c r="Q72" s="44">
        <v>2060000</v>
      </c>
      <c r="R72" s="45">
        <v>1</v>
      </c>
      <c r="S72" s="44">
        <f t="shared" si="2"/>
        <v>23690000</v>
      </c>
      <c r="T72" s="48" t="s">
        <v>168</v>
      </c>
      <c r="U72" s="48" t="s">
        <v>63</v>
      </c>
      <c r="V72" s="49" t="s">
        <v>64</v>
      </c>
      <c r="W72" s="48">
        <v>11.5</v>
      </c>
      <c r="X72" s="50" t="s">
        <v>323</v>
      </c>
      <c r="Y72" s="51">
        <v>43104</v>
      </c>
      <c r="Z72" s="52">
        <f t="shared" si="3"/>
        <v>23690000</v>
      </c>
      <c r="AA72" s="50"/>
      <c r="AB72" s="50">
        <v>260</v>
      </c>
      <c r="AC72" s="53">
        <v>43105</v>
      </c>
      <c r="AD72" s="44">
        <v>23690000</v>
      </c>
      <c r="AE72" s="70">
        <v>0</v>
      </c>
      <c r="AF72" s="50">
        <v>149</v>
      </c>
      <c r="AG72" s="50">
        <v>43117</v>
      </c>
      <c r="AH72" s="55">
        <v>23690000</v>
      </c>
      <c r="AI72" s="50" t="s">
        <v>324</v>
      </c>
      <c r="AJ72" s="50">
        <v>155</v>
      </c>
      <c r="AK72" s="64"/>
      <c r="AL72" s="55">
        <v>23690000</v>
      </c>
      <c r="AM72" s="69">
        <v>15312666</v>
      </c>
      <c r="AN72" s="69">
        <v>8377334</v>
      </c>
      <c r="AO72" s="58" t="s">
        <v>67</v>
      </c>
      <c r="AP72" s="64"/>
      <c r="AQ72" s="64"/>
      <c r="AR72" s="64"/>
      <c r="AS72" s="64"/>
      <c r="AT72" s="64"/>
      <c r="AU72" s="64"/>
      <c r="AV72" s="64"/>
      <c r="AW72" s="220"/>
    </row>
    <row r="73" spans="1:49" s="221" customFormat="1" ht="185.25" x14ac:dyDescent="0.25">
      <c r="A73" s="47">
        <v>69</v>
      </c>
      <c r="B73" s="47" t="s">
        <v>325</v>
      </c>
      <c r="C73" s="123" t="s">
        <v>49</v>
      </c>
      <c r="D73" s="63" t="s">
        <v>50</v>
      </c>
      <c r="E73" s="47" t="s">
        <v>51</v>
      </c>
      <c r="F73" s="63" t="s">
        <v>52</v>
      </c>
      <c r="G73" s="63" t="s">
        <v>53</v>
      </c>
      <c r="H73" s="124" t="s">
        <v>54</v>
      </c>
      <c r="I73" s="63" t="s">
        <v>55</v>
      </c>
      <c r="J73" s="63" t="s">
        <v>56</v>
      </c>
      <c r="K73" s="126">
        <v>801116</v>
      </c>
      <c r="L73" s="126" t="s">
        <v>57</v>
      </c>
      <c r="M73" s="47" t="s">
        <v>58</v>
      </c>
      <c r="N73" s="47" t="s">
        <v>59</v>
      </c>
      <c r="O73" s="125" t="s">
        <v>60</v>
      </c>
      <c r="P73" s="47" t="s">
        <v>326</v>
      </c>
      <c r="Q73" s="44">
        <v>4532000</v>
      </c>
      <c r="R73" s="45">
        <v>1</v>
      </c>
      <c r="S73" s="46">
        <f t="shared" si="2"/>
        <v>52118000</v>
      </c>
      <c r="T73" s="48" t="s">
        <v>168</v>
      </c>
      <c r="U73" s="48" t="s">
        <v>63</v>
      </c>
      <c r="V73" s="49" t="s">
        <v>64</v>
      </c>
      <c r="W73" s="48">
        <v>11.5</v>
      </c>
      <c r="X73" s="50" t="s">
        <v>327</v>
      </c>
      <c r="Y73" s="51">
        <v>43104</v>
      </c>
      <c r="Z73" s="52">
        <f t="shared" si="3"/>
        <v>52118000</v>
      </c>
      <c r="AA73" s="50"/>
      <c r="AB73" s="50">
        <v>261</v>
      </c>
      <c r="AC73" s="53">
        <v>43109</v>
      </c>
      <c r="AD73" s="44">
        <v>52118000</v>
      </c>
      <c r="AE73" s="70">
        <v>0</v>
      </c>
      <c r="AF73" s="50">
        <v>354</v>
      </c>
      <c r="AG73" s="50">
        <v>43123</v>
      </c>
      <c r="AH73" s="55">
        <v>52118000</v>
      </c>
      <c r="AI73" s="50" t="s">
        <v>328</v>
      </c>
      <c r="AJ73" s="50">
        <v>299</v>
      </c>
      <c r="AK73" s="64"/>
      <c r="AL73" s="55">
        <v>52118000</v>
      </c>
      <c r="AM73" s="69">
        <v>32630400</v>
      </c>
      <c r="AN73" s="69">
        <v>19487600</v>
      </c>
      <c r="AO73" s="58" t="s">
        <v>67</v>
      </c>
      <c r="AP73" s="64"/>
      <c r="AQ73" s="64"/>
      <c r="AR73" s="64"/>
      <c r="AS73" s="64"/>
      <c r="AT73" s="64"/>
      <c r="AU73" s="64"/>
      <c r="AV73" s="64"/>
      <c r="AW73" s="220"/>
    </row>
    <row r="74" spans="1:49" s="221" customFormat="1" ht="299.25" x14ac:dyDescent="0.25">
      <c r="A74" s="47">
        <v>70</v>
      </c>
      <c r="B74" s="47" t="s">
        <v>329</v>
      </c>
      <c r="C74" s="123" t="s">
        <v>49</v>
      </c>
      <c r="D74" s="63" t="s">
        <v>50</v>
      </c>
      <c r="E74" s="47" t="s">
        <v>89</v>
      </c>
      <c r="F74" s="63" t="s">
        <v>52</v>
      </c>
      <c r="G74" s="63" t="s">
        <v>53</v>
      </c>
      <c r="H74" s="124" t="s">
        <v>54</v>
      </c>
      <c r="I74" s="63" t="s">
        <v>55</v>
      </c>
      <c r="J74" s="63" t="s">
        <v>56</v>
      </c>
      <c r="K74" s="126">
        <v>801116</v>
      </c>
      <c r="L74" s="126" t="s">
        <v>57</v>
      </c>
      <c r="M74" s="47" t="s">
        <v>58</v>
      </c>
      <c r="N74" s="47" t="s">
        <v>59</v>
      </c>
      <c r="O74" s="125" t="s">
        <v>60</v>
      </c>
      <c r="P74" s="47" t="s">
        <v>330</v>
      </c>
      <c r="Q74" s="44">
        <v>6180000</v>
      </c>
      <c r="R74" s="45">
        <v>1</v>
      </c>
      <c r="S74" s="44">
        <f t="shared" si="2"/>
        <v>71070000</v>
      </c>
      <c r="T74" s="48" t="s">
        <v>168</v>
      </c>
      <c r="U74" s="48" t="s">
        <v>63</v>
      </c>
      <c r="V74" s="49" t="s">
        <v>64</v>
      </c>
      <c r="W74" s="48">
        <v>11.5</v>
      </c>
      <c r="X74" s="50" t="s">
        <v>331</v>
      </c>
      <c r="Y74" s="51">
        <v>43104</v>
      </c>
      <c r="Z74" s="52">
        <f t="shared" si="3"/>
        <v>71070000</v>
      </c>
      <c r="AA74" s="50"/>
      <c r="AB74" s="50">
        <v>262</v>
      </c>
      <c r="AC74" s="53">
        <v>43109</v>
      </c>
      <c r="AD74" s="44">
        <v>71070000</v>
      </c>
      <c r="AE74" s="70">
        <v>0</v>
      </c>
      <c r="AF74" s="50">
        <v>252</v>
      </c>
      <c r="AG74" s="50">
        <v>43119</v>
      </c>
      <c r="AH74" s="55">
        <v>71070000</v>
      </c>
      <c r="AI74" s="50" t="s">
        <v>332</v>
      </c>
      <c r="AJ74" s="50">
        <v>203</v>
      </c>
      <c r="AK74" s="64"/>
      <c r="AL74" s="55">
        <v>71070000</v>
      </c>
      <c r="AM74" s="69">
        <v>45732000</v>
      </c>
      <c r="AN74" s="69">
        <v>25338000</v>
      </c>
      <c r="AO74" s="58" t="s">
        <v>67</v>
      </c>
      <c r="AP74" s="64"/>
      <c r="AQ74" s="64"/>
      <c r="AR74" s="64"/>
      <c r="AS74" s="64"/>
      <c r="AT74" s="64"/>
      <c r="AU74" s="64"/>
      <c r="AV74" s="64"/>
      <c r="AW74" s="220"/>
    </row>
    <row r="75" spans="1:49" s="221" customFormat="1" ht="228" x14ac:dyDescent="0.25">
      <c r="A75" s="47">
        <v>71</v>
      </c>
      <c r="B75" s="47" t="s">
        <v>333</v>
      </c>
      <c r="C75" s="123" t="s">
        <v>49</v>
      </c>
      <c r="D75" s="63" t="s">
        <v>50</v>
      </c>
      <c r="E75" s="47" t="s">
        <v>89</v>
      </c>
      <c r="F75" s="63" t="s">
        <v>52</v>
      </c>
      <c r="G75" s="63" t="s">
        <v>53</v>
      </c>
      <c r="H75" s="124" t="s">
        <v>54</v>
      </c>
      <c r="I75" s="63" t="s">
        <v>55</v>
      </c>
      <c r="J75" s="63" t="s">
        <v>56</v>
      </c>
      <c r="K75" s="126">
        <v>801116</v>
      </c>
      <c r="L75" s="126" t="s">
        <v>57</v>
      </c>
      <c r="M75" s="47" t="s">
        <v>58</v>
      </c>
      <c r="N75" s="47" t="s">
        <v>59</v>
      </c>
      <c r="O75" s="125" t="s">
        <v>60</v>
      </c>
      <c r="P75" s="47" t="s">
        <v>334</v>
      </c>
      <c r="Q75" s="44">
        <v>5036700</v>
      </c>
      <c r="R75" s="45">
        <v>1</v>
      </c>
      <c r="S75" s="44">
        <f t="shared" si="2"/>
        <v>57922050</v>
      </c>
      <c r="T75" s="48" t="s">
        <v>168</v>
      </c>
      <c r="U75" s="48" t="s">
        <v>63</v>
      </c>
      <c r="V75" s="49" t="s">
        <v>64</v>
      </c>
      <c r="W75" s="48">
        <v>11.5</v>
      </c>
      <c r="X75" s="50" t="s">
        <v>335</v>
      </c>
      <c r="Y75" s="51">
        <v>43104</v>
      </c>
      <c r="Z75" s="52">
        <f t="shared" si="3"/>
        <v>57922050</v>
      </c>
      <c r="AA75" s="50"/>
      <c r="AB75" s="50">
        <v>263</v>
      </c>
      <c r="AC75" s="53">
        <v>43109</v>
      </c>
      <c r="AD75" s="44">
        <v>57922050</v>
      </c>
      <c r="AE75" s="70">
        <v>0</v>
      </c>
      <c r="AF75" s="50">
        <v>273</v>
      </c>
      <c r="AG75" s="50">
        <v>43122</v>
      </c>
      <c r="AH75" s="55">
        <v>57922050</v>
      </c>
      <c r="AI75" s="50" t="s">
        <v>336</v>
      </c>
      <c r="AJ75" s="50">
        <v>243</v>
      </c>
      <c r="AK75" s="64"/>
      <c r="AL75" s="55">
        <v>57922050</v>
      </c>
      <c r="AM75" s="69">
        <v>36767910</v>
      </c>
      <c r="AN75" s="69">
        <v>21154140</v>
      </c>
      <c r="AO75" s="58" t="s">
        <v>67</v>
      </c>
      <c r="AP75" s="64"/>
      <c r="AQ75" s="64"/>
      <c r="AR75" s="64"/>
      <c r="AS75" s="64"/>
      <c r="AT75" s="64"/>
      <c r="AU75" s="64"/>
      <c r="AV75" s="64"/>
      <c r="AW75" s="220"/>
    </row>
    <row r="76" spans="1:49" s="221" customFormat="1" ht="356.25" x14ac:dyDescent="0.25">
      <c r="A76" s="47">
        <v>72</v>
      </c>
      <c r="B76" s="47" t="s">
        <v>337</v>
      </c>
      <c r="C76" s="123" t="s">
        <v>49</v>
      </c>
      <c r="D76" s="63" t="s">
        <v>50</v>
      </c>
      <c r="E76" s="47" t="s">
        <v>89</v>
      </c>
      <c r="F76" s="63" t="s">
        <v>52</v>
      </c>
      <c r="G76" s="63" t="s">
        <v>53</v>
      </c>
      <c r="H76" s="124" t="s">
        <v>54</v>
      </c>
      <c r="I76" s="63" t="s">
        <v>55</v>
      </c>
      <c r="J76" s="63" t="s">
        <v>56</v>
      </c>
      <c r="K76" s="126">
        <v>801116</v>
      </c>
      <c r="L76" s="126" t="s">
        <v>57</v>
      </c>
      <c r="M76" s="47" t="s">
        <v>58</v>
      </c>
      <c r="N76" s="47" t="s">
        <v>59</v>
      </c>
      <c r="O76" s="125" t="s">
        <v>60</v>
      </c>
      <c r="P76" s="47" t="s">
        <v>338</v>
      </c>
      <c r="Q76" s="44">
        <v>2472000</v>
      </c>
      <c r="R76" s="45">
        <v>1</v>
      </c>
      <c r="S76" s="44">
        <f t="shared" si="2"/>
        <v>28428000</v>
      </c>
      <c r="T76" s="48" t="s">
        <v>168</v>
      </c>
      <c r="U76" s="48" t="s">
        <v>63</v>
      </c>
      <c r="V76" s="49" t="s">
        <v>64</v>
      </c>
      <c r="W76" s="48">
        <v>11.5</v>
      </c>
      <c r="X76" s="50" t="s">
        <v>339</v>
      </c>
      <c r="Y76" s="51">
        <v>43104</v>
      </c>
      <c r="Z76" s="52">
        <f t="shared" si="3"/>
        <v>28428000</v>
      </c>
      <c r="AA76" s="50"/>
      <c r="AB76" s="50">
        <v>264</v>
      </c>
      <c r="AC76" s="53">
        <v>43109</v>
      </c>
      <c r="AD76" s="44">
        <v>28428000</v>
      </c>
      <c r="AE76" s="70">
        <v>0</v>
      </c>
      <c r="AF76" s="50">
        <v>161</v>
      </c>
      <c r="AG76" s="50">
        <v>43118</v>
      </c>
      <c r="AH76" s="55">
        <v>28428000</v>
      </c>
      <c r="AI76" s="50" t="s">
        <v>340</v>
      </c>
      <c r="AJ76" s="50">
        <v>125</v>
      </c>
      <c r="AK76" s="64"/>
      <c r="AL76" s="55">
        <v>28428000</v>
      </c>
      <c r="AM76" s="69">
        <v>18375200</v>
      </c>
      <c r="AN76" s="69">
        <v>10052800</v>
      </c>
      <c r="AO76" s="58" t="s">
        <v>67</v>
      </c>
      <c r="AP76" s="64"/>
      <c r="AQ76" s="64"/>
      <c r="AR76" s="64"/>
      <c r="AS76" s="64"/>
      <c r="AT76" s="64"/>
      <c r="AU76" s="64"/>
      <c r="AV76" s="64"/>
      <c r="AW76" s="220"/>
    </row>
    <row r="77" spans="1:49" s="221" customFormat="1" ht="313.5" x14ac:dyDescent="0.25">
      <c r="A77" s="47">
        <v>73</v>
      </c>
      <c r="B77" s="47" t="s">
        <v>341</v>
      </c>
      <c r="C77" s="123" t="s">
        <v>49</v>
      </c>
      <c r="D77" s="63" t="s">
        <v>50</v>
      </c>
      <c r="E77" s="47" t="s">
        <v>89</v>
      </c>
      <c r="F77" s="63" t="s">
        <v>52</v>
      </c>
      <c r="G77" s="63" t="s">
        <v>53</v>
      </c>
      <c r="H77" s="124" t="s">
        <v>54</v>
      </c>
      <c r="I77" s="63" t="s">
        <v>55</v>
      </c>
      <c r="J77" s="63" t="s">
        <v>56</v>
      </c>
      <c r="K77" s="126">
        <v>801116</v>
      </c>
      <c r="L77" s="126" t="s">
        <v>57</v>
      </c>
      <c r="M77" s="47" t="s">
        <v>58</v>
      </c>
      <c r="N77" s="47" t="s">
        <v>59</v>
      </c>
      <c r="O77" s="125" t="s">
        <v>60</v>
      </c>
      <c r="P77" s="47" t="s">
        <v>342</v>
      </c>
      <c r="Q77" s="44">
        <v>1259176</v>
      </c>
      <c r="R77" s="45">
        <v>1</v>
      </c>
      <c r="S77" s="44">
        <f>+Q77*R77*W77-629599</f>
        <v>13850925</v>
      </c>
      <c r="T77" s="48" t="s">
        <v>168</v>
      </c>
      <c r="U77" s="48" t="s">
        <v>63</v>
      </c>
      <c r="V77" s="49" t="s">
        <v>64</v>
      </c>
      <c r="W77" s="48">
        <v>11.5</v>
      </c>
      <c r="X77" s="50" t="s">
        <v>343</v>
      </c>
      <c r="Y77" s="51">
        <v>43104</v>
      </c>
      <c r="Z77" s="52">
        <f t="shared" si="3"/>
        <v>13850925</v>
      </c>
      <c r="AA77" s="50"/>
      <c r="AB77" s="50">
        <v>265</v>
      </c>
      <c r="AC77" s="53">
        <v>43109</v>
      </c>
      <c r="AD77" s="44">
        <v>14480524</v>
      </c>
      <c r="AE77" s="70">
        <v>629599</v>
      </c>
      <c r="AF77" s="50">
        <v>178</v>
      </c>
      <c r="AG77" s="50">
        <v>43118</v>
      </c>
      <c r="AH77" s="55">
        <v>13850925</v>
      </c>
      <c r="AI77" s="50" t="s">
        <v>344</v>
      </c>
      <c r="AJ77" s="50">
        <v>160</v>
      </c>
      <c r="AK77" s="64"/>
      <c r="AL77" s="55">
        <v>13850925</v>
      </c>
      <c r="AM77" s="69">
        <v>9359867</v>
      </c>
      <c r="AN77" s="69">
        <v>4491058</v>
      </c>
      <c r="AO77" s="58" t="s">
        <v>67</v>
      </c>
      <c r="AP77" s="54">
        <v>629599</v>
      </c>
      <c r="AQ77" s="58" t="s">
        <v>68</v>
      </c>
      <c r="AR77" s="60">
        <v>43339</v>
      </c>
      <c r="AS77" s="58" t="s">
        <v>69</v>
      </c>
      <c r="AT77" s="64"/>
      <c r="AU77" s="64"/>
      <c r="AV77" s="64"/>
      <c r="AW77" s="220"/>
    </row>
    <row r="78" spans="1:49" s="221" customFormat="1" ht="270.75" x14ac:dyDescent="0.25">
      <c r="A78" s="47">
        <v>74</v>
      </c>
      <c r="B78" s="47" t="s">
        <v>345</v>
      </c>
      <c r="C78" s="123" t="s">
        <v>49</v>
      </c>
      <c r="D78" s="63" t="s">
        <v>50</v>
      </c>
      <c r="E78" s="47" t="s">
        <v>89</v>
      </c>
      <c r="F78" s="63" t="s">
        <v>52</v>
      </c>
      <c r="G78" s="63" t="s">
        <v>53</v>
      </c>
      <c r="H78" s="124" t="s">
        <v>54</v>
      </c>
      <c r="I78" s="63" t="s">
        <v>55</v>
      </c>
      <c r="J78" s="63" t="s">
        <v>56</v>
      </c>
      <c r="K78" s="126">
        <v>801116</v>
      </c>
      <c r="L78" s="126" t="s">
        <v>57</v>
      </c>
      <c r="M78" s="47" t="s">
        <v>58</v>
      </c>
      <c r="N78" s="47" t="s">
        <v>59</v>
      </c>
      <c r="O78" s="125" t="s">
        <v>60</v>
      </c>
      <c r="P78" s="47" t="s">
        <v>346</v>
      </c>
      <c r="Q78" s="44">
        <v>1030000</v>
      </c>
      <c r="R78" s="45">
        <v>1</v>
      </c>
      <c r="S78" s="44">
        <f>+Q78*R78*W78-515000</f>
        <v>11330000</v>
      </c>
      <c r="T78" s="48" t="s">
        <v>168</v>
      </c>
      <c r="U78" s="48" t="s">
        <v>63</v>
      </c>
      <c r="V78" s="49" t="s">
        <v>64</v>
      </c>
      <c r="W78" s="48">
        <v>11.5</v>
      </c>
      <c r="X78" s="50" t="s">
        <v>347</v>
      </c>
      <c r="Y78" s="51">
        <v>43104</v>
      </c>
      <c r="Z78" s="52">
        <f t="shared" si="3"/>
        <v>11330000</v>
      </c>
      <c r="AA78" s="50"/>
      <c r="AB78" s="50">
        <v>266</v>
      </c>
      <c r="AC78" s="53">
        <v>43109</v>
      </c>
      <c r="AD78" s="44">
        <v>11845000</v>
      </c>
      <c r="AE78" s="70">
        <v>515000</v>
      </c>
      <c r="AF78" s="50">
        <v>370</v>
      </c>
      <c r="AG78" s="50">
        <v>43124</v>
      </c>
      <c r="AH78" s="55">
        <v>11330000</v>
      </c>
      <c r="AI78" s="50" t="s">
        <v>348</v>
      </c>
      <c r="AJ78" s="50">
        <v>304</v>
      </c>
      <c r="AK78" s="64"/>
      <c r="AL78" s="55">
        <v>11330000</v>
      </c>
      <c r="AM78" s="69">
        <v>7450333</v>
      </c>
      <c r="AN78" s="69">
        <v>3879667</v>
      </c>
      <c r="AO78" s="58" t="s">
        <v>67</v>
      </c>
      <c r="AP78" s="70">
        <v>515000</v>
      </c>
      <c r="AQ78" s="58" t="s">
        <v>68</v>
      </c>
      <c r="AR78" s="60">
        <v>43339</v>
      </c>
      <c r="AS78" s="58" t="s">
        <v>69</v>
      </c>
      <c r="AT78" s="64"/>
      <c r="AU78" s="64"/>
      <c r="AV78" s="64"/>
      <c r="AW78" s="220"/>
    </row>
    <row r="79" spans="1:49" s="221" customFormat="1" ht="370.5" x14ac:dyDescent="0.25">
      <c r="A79" s="47">
        <v>75</v>
      </c>
      <c r="B79" s="47" t="s">
        <v>349</v>
      </c>
      <c r="C79" s="123" t="s">
        <v>49</v>
      </c>
      <c r="D79" s="63" t="s">
        <v>50</v>
      </c>
      <c r="E79" s="47" t="s">
        <v>89</v>
      </c>
      <c r="F79" s="63" t="s">
        <v>52</v>
      </c>
      <c r="G79" s="63" t="s">
        <v>53</v>
      </c>
      <c r="H79" s="124" t="s">
        <v>54</v>
      </c>
      <c r="I79" s="63" t="s">
        <v>55</v>
      </c>
      <c r="J79" s="63" t="s">
        <v>56</v>
      </c>
      <c r="K79" s="126">
        <v>801116</v>
      </c>
      <c r="L79" s="126" t="s">
        <v>57</v>
      </c>
      <c r="M79" s="47" t="s">
        <v>58</v>
      </c>
      <c r="N79" s="47" t="s">
        <v>59</v>
      </c>
      <c r="O79" s="125" t="s">
        <v>60</v>
      </c>
      <c r="P79" s="47" t="s">
        <v>142</v>
      </c>
      <c r="Q79" s="44">
        <v>5253000</v>
      </c>
      <c r="R79" s="45">
        <v>1</v>
      </c>
      <c r="S79" s="44">
        <f t="shared" si="2"/>
        <v>60409500</v>
      </c>
      <c r="T79" s="48" t="s">
        <v>168</v>
      </c>
      <c r="U79" s="48" t="s">
        <v>63</v>
      </c>
      <c r="V79" s="49" t="s">
        <v>64</v>
      </c>
      <c r="W79" s="48">
        <v>11.5</v>
      </c>
      <c r="X79" s="50" t="s">
        <v>350</v>
      </c>
      <c r="Y79" s="51">
        <v>43104</v>
      </c>
      <c r="Z79" s="52">
        <f t="shared" si="3"/>
        <v>60409500</v>
      </c>
      <c r="AA79" s="50"/>
      <c r="AB79" s="50">
        <v>267</v>
      </c>
      <c r="AC79" s="53">
        <v>43109</v>
      </c>
      <c r="AD79" s="44">
        <v>60409500</v>
      </c>
      <c r="AE79" s="70">
        <v>0</v>
      </c>
      <c r="AF79" s="50">
        <v>352</v>
      </c>
      <c r="AG79" s="50">
        <v>43123</v>
      </c>
      <c r="AH79" s="55">
        <v>60409500</v>
      </c>
      <c r="AI79" s="50" t="s">
        <v>351</v>
      </c>
      <c r="AJ79" s="50">
        <v>298</v>
      </c>
      <c r="AK79" s="64"/>
      <c r="AL79" s="55">
        <v>60409500</v>
      </c>
      <c r="AM79" s="69">
        <v>37821600</v>
      </c>
      <c r="AN79" s="69">
        <v>22587900</v>
      </c>
      <c r="AO79" s="58" t="s">
        <v>67</v>
      </c>
      <c r="AP79" s="64"/>
      <c r="AQ79" s="64"/>
      <c r="AR79" s="64"/>
      <c r="AS79" s="64"/>
      <c r="AT79" s="64"/>
      <c r="AU79" s="64"/>
      <c r="AV79" s="64"/>
      <c r="AW79" s="220"/>
    </row>
    <row r="80" spans="1:49" s="221" customFormat="1" ht="213.75" x14ac:dyDescent="0.25">
      <c r="A80" s="47">
        <v>76</v>
      </c>
      <c r="B80" s="47" t="s">
        <v>352</v>
      </c>
      <c r="C80" s="123" t="s">
        <v>49</v>
      </c>
      <c r="D80" s="63" t="s">
        <v>50</v>
      </c>
      <c r="E80" s="47" t="s">
        <v>89</v>
      </c>
      <c r="F80" s="63" t="s">
        <v>52</v>
      </c>
      <c r="G80" s="63" t="s">
        <v>53</v>
      </c>
      <c r="H80" s="124" t="s">
        <v>54</v>
      </c>
      <c r="I80" s="63" t="s">
        <v>55</v>
      </c>
      <c r="J80" s="63" t="s">
        <v>56</v>
      </c>
      <c r="K80" s="126">
        <v>801116</v>
      </c>
      <c r="L80" s="126" t="s">
        <v>57</v>
      </c>
      <c r="M80" s="47" t="s">
        <v>58</v>
      </c>
      <c r="N80" s="47" t="s">
        <v>59</v>
      </c>
      <c r="O80" s="125" t="s">
        <v>60</v>
      </c>
      <c r="P80" s="47" t="s">
        <v>353</v>
      </c>
      <c r="Q80" s="44">
        <v>3326900</v>
      </c>
      <c r="R80" s="45">
        <v>1</v>
      </c>
      <c r="S80" s="44">
        <f t="shared" si="2"/>
        <v>38259350</v>
      </c>
      <c r="T80" s="48" t="s">
        <v>168</v>
      </c>
      <c r="U80" s="48" t="s">
        <v>63</v>
      </c>
      <c r="V80" s="49" t="s">
        <v>64</v>
      </c>
      <c r="W80" s="48">
        <v>11.5</v>
      </c>
      <c r="X80" s="50" t="s">
        <v>354</v>
      </c>
      <c r="Y80" s="51">
        <v>43104</v>
      </c>
      <c r="Z80" s="52">
        <f t="shared" si="3"/>
        <v>38259350</v>
      </c>
      <c r="AA80" s="50"/>
      <c r="AB80" s="50">
        <v>268</v>
      </c>
      <c r="AC80" s="53">
        <v>43109</v>
      </c>
      <c r="AD80" s="44">
        <v>38259350</v>
      </c>
      <c r="AE80" s="70">
        <v>0</v>
      </c>
      <c r="AF80" s="50">
        <v>140</v>
      </c>
      <c r="AG80" s="50">
        <v>43117</v>
      </c>
      <c r="AH80" s="55">
        <v>38259350</v>
      </c>
      <c r="AI80" s="50" t="s">
        <v>355</v>
      </c>
      <c r="AJ80" s="50">
        <v>150</v>
      </c>
      <c r="AK80" s="64"/>
      <c r="AL80" s="55">
        <v>38259350</v>
      </c>
      <c r="AM80" s="69">
        <v>24729957</v>
      </c>
      <c r="AN80" s="69">
        <v>13529393</v>
      </c>
      <c r="AO80" s="58" t="s">
        <v>67</v>
      </c>
      <c r="AP80" s="64"/>
      <c r="AQ80" s="64"/>
      <c r="AR80" s="64"/>
      <c r="AS80" s="64"/>
      <c r="AT80" s="64"/>
      <c r="AU80" s="64"/>
      <c r="AV80" s="64"/>
      <c r="AW80" s="220"/>
    </row>
    <row r="81" spans="1:49" s="221" customFormat="1" ht="285" x14ac:dyDescent="0.25">
      <c r="A81" s="47">
        <v>77</v>
      </c>
      <c r="B81" s="47" t="s">
        <v>356</v>
      </c>
      <c r="C81" s="123" t="s">
        <v>49</v>
      </c>
      <c r="D81" s="63" t="s">
        <v>50</v>
      </c>
      <c r="E81" s="47" t="s">
        <v>89</v>
      </c>
      <c r="F81" s="63" t="s">
        <v>52</v>
      </c>
      <c r="G81" s="63" t="s">
        <v>53</v>
      </c>
      <c r="H81" s="124" t="s">
        <v>54</v>
      </c>
      <c r="I81" s="63" t="s">
        <v>55</v>
      </c>
      <c r="J81" s="63" t="s">
        <v>56</v>
      </c>
      <c r="K81" s="126">
        <v>801116</v>
      </c>
      <c r="L81" s="126" t="s">
        <v>57</v>
      </c>
      <c r="M81" s="47" t="s">
        <v>58</v>
      </c>
      <c r="N81" s="47" t="s">
        <v>59</v>
      </c>
      <c r="O81" s="125" t="s">
        <v>60</v>
      </c>
      <c r="P81" s="47" t="s">
        <v>223</v>
      </c>
      <c r="Q81" s="44">
        <v>4120000</v>
      </c>
      <c r="R81" s="45">
        <v>1</v>
      </c>
      <c r="S81" s="44">
        <f t="shared" si="2"/>
        <v>47380000</v>
      </c>
      <c r="T81" s="48" t="s">
        <v>168</v>
      </c>
      <c r="U81" s="48" t="s">
        <v>63</v>
      </c>
      <c r="V81" s="49" t="s">
        <v>64</v>
      </c>
      <c r="W81" s="48">
        <v>11.5</v>
      </c>
      <c r="X81" s="50" t="s">
        <v>357</v>
      </c>
      <c r="Y81" s="51">
        <v>43104</v>
      </c>
      <c r="Z81" s="52">
        <f t="shared" si="3"/>
        <v>47380000</v>
      </c>
      <c r="AA81" s="50"/>
      <c r="AB81" s="50">
        <v>269</v>
      </c>
      <c r="AC81" s="53">
        <v>43109</v>
      </c>
      <c r="AD81" s="44">
        <v>47380000</v>
      </c>
      <c r="AE81" s="70">
        <v>0</v>
      </c>
      <c r="AF81" s="50">
        <v>85</v>
      </c>
      <c r="AG81" s="50">
        <v>43116</v>
      </c>
      <c r="AH81" s="55">
        <v>47380000</v>
      </c>
      <c r="AI81" s="50" t="s">
        <v>358</v>
      </c>
      <c r="AJ81" s="50">
        <v>81</v>
      </c>
      <c r="AK81" s="64"/>
      <c r="AL81" s="55">
        <v>47380000</v>
      </c>
      <c r="AM81" s="69">
        <v>30762667</v>
      </c>
      <c r="AN81" s="69">
        <v>16617333</v>
      </c>
      <c r="AO81" s="58" t="s">
        <v>67</v>
      </c>
      <c r="AP81" s="64"/>
      <c r="AQ81" s="64"/>
      <c r="AR81" s="64"/>
      <c r="AS81" s="64"/>
      <c r="AT81" s="64"/>
      <c r="AU81" s="64"/>
      <c r="AV81" s="64"/>
      <c r="AW81" s="220"/>
    </row>
    <row r="82" spans="1:49" s="221" customFormat="1" ht="356.25" x14ac:dyDescent="0.25">
      <c r="A82" s="47">
        <v>78</v>
      </c>
      <c r="B82" s="47" t="s">
        <v>359</v>
      </c>
      <c r="C82" s="123" t="s">
        <v>49</v>
      </c>
      <c r="D82" s="63" t="s">
        <v>50</v>
      </c>
      <c r="E82" s="47" t="s">
        <v>89</v>
      </c>
      <c r="F82" s="63" t="s">
        <v>52</v>
      </c>
      <c r="G82" s="63" t="s">
        <v>53</v>
      </c>
      <c r="H82" s="124" t="s">
        <v>54</v>
      </c>
      <c r="I82" s="63" t="s">
        <v>55</v>
      </c>
      <c r="J82" s="63" t="s">
        <v>56</v>
      </c>
      <c r="K82" s="126">
        <v>801116</v>
      </c>
      <c r="L82" s="126" t="s">
        <v>57</v>
      </c>
      <c r="M82" s="47" t="s">
        <v>58</v>
      </c>
      <c r="N82" s="47" t="s">
        <v>59</v>
      </c>
      <c r="O82" s="125" t="s">
        <v>60</v>
      </c>
      <c r="P82" s="47" t="s">
        <v>360</v>
      </c>
      <c r="Q82" s="44">
        <v>5253000</v>
      </c>
      <c r="R82" s="45">
        <v>1</v>
      </c>
      <c r="S82" s="44">
        <f t="shared" si="2"/>
        <v>60409500</v>
      </c>
      <c r="T82" s="48" t="s">
        <v>168</v>
      </c>
      <c r="U82" s="48" t="s">
        <v>63</v>
      </c>
      <c r="V82" s="49" t="s">
        <v>64</v>
      </c>
      <c r="W82" s="48">
        <v>11.5</v>
      </c>
      <c r="X82" s="50" t="s">
        <v>361</v>
      </c>
      <c r="Y82" s="51">
        <v>43104</v>
      </c>
      <c r="Z82" s="52">
        <f t="shared" si="3"/>
        <v>60409500</v>
      </c>
      <c r="AA82" s="50"/>
      <c r="AB82" s="50">
        <v>270</v>
      </c>
      <c r="AC82" s="53">
        <v>43109</v>
      </c>
      <c r="AD82" s="44">
        <v>60409500</v>
      </c>
      <c r="AE82" s="70">
        <v>0</v>
      </c>
      <c r="AF82" s="50">
        <v>231</v>
      </c>
      <c r="AG82" s="50">
        <v>43118</v>
      </c>
      <c r="AH82" s="55">
        <v>60409500</v>
      </c>
      <c r="AI82" s="50" t="s">
        <v>362</v>
      </c>
      <c r="AJ82" s="50">
        <v>199</v>
      </c>
      <c r="AK82" s="64"/>
      <c r="AL82" s="55">
        <v>60409500</v>
      </c>
      <c r="AM82" s="69">
        <v>38872200</v>
      </c>
      <c r="AN82" s="69">
        <v>21537300</v>
      </c>
      <c r="AO82" s="58" t="s">
        <v>67</v>
      </c>
      <c r="AP82" s="64"/>
      <c r="AQ82" s="64"/>
      <c r="AR82" s="64"/>
      <c r="AS82" s="64"/>
      <c r="AT82" s="64"/>
      <c r="AU82" s="64"/>
      <c r="AV82" s="64"/>
      <c r="AW82" s="220"/>
    </row>
    <row r="83" spans="1:49" s="221" customFormat="1" ht="409.5" x14ac:dyDescent="0.25">
      <c r="A83" s="47">
        <v>79</v>
      </c>
      <c r="B83" s="47" t="s">
        <v>363</v>
      </c>
      <c r="C83" s="123" t="s">
        <v>49</v>
      </c>
      <c r="D83" s="63" t="s">
        <v>50</v>
      </c>
      <c r="E83" s="47" t="s">
        <v>51</v>
      </c>
      <c r="F83" s="63" t="s">
        <v>52</v>
      </c>
      <c r="G83" s="63" t="s">
        <v>53</v>
      </c>
      <c r="H83" s="124" t="s">
        <v>54</v>
      </c>
      <c r="I83" s="63" t="s">
        <v>55</v>
      </c>
      <c r="J83" s="63" t="s">
        <v>56</v>
      </c>
      <c r="K83" s="126">
        <v>801116</v>
      </c>
      <c r="L83" s="126" t="s">
        <v>57</v>
      </c>
      <c r="M83" s="47" t="s">
        <v>58</v>
      </c>
      <c r="N83" s="47" t="s">
        <v>59</v>
      </c>
      <c r="O83" s="125" t="s">
        <v>60</v>
      </c>
      <c r="P83" s="47" t="s">
        <v>364</v>
      </c>
      <c r="Q83" s="44">
        <v>8384200</v>
      </c>
      <c r="R83" s="45">
        <v>1</v>
      </c>
      <c r="S83" s="46">
        <f>+Q83*R83*W83-4516050</f>
        <v>91902250</v>
      </c>
      <c r="T83" s="48" t="s">
        <v>168</v>
      </c>
      <c r="U83" s="48" t="s">
        <v>63</v>
      </c>
      <c r="V83" s="49" t="s">
        <v>64</v>
      </c>
      <c r="W83" s="48">
        <v>11.5</v>
      </c>
      <c r="X83" s="50" t="s">
        <v>365</v>
      </c>
      <c r="Y83" s="51">
        <v>43104</v>
      </c>
      <c r="Z83" s="52">
        <f t="shared" si="3"/>
        <v>91902250</v>
      </c>
      <c r="AA83" s="50"/>
      <c r="AB83" s="50">
        <v>271</v>
      </c>
      <c r="AC83" s="53">
        <v>43109</v>
      </c>
      <c r="AD83" s="44">
        <v>96418300</v>
      </c>
      <c r="AE83" s="54">
        <v>4516050</v>
      </c>
      <c r="AF83" s="50">
        <v>410</v>
      </c>
      <c r="AG83" s="50">
        <v>43124</v>
      </c>
      <c r="AH83" s="55">
        <v>91902250</v>
      </c>
      <c r="AI83" s="50" t="s">
        <v>366</v>
      </c>
      <c r="AJ83" s="50">
        <v>314</v>
      </c>
      <c r="AK83" s="64"/>
      <c r="AL83" s="55">
        <v>91902250</v>
      </c>
      <c r="AM83" s="69">
        <v>52360000</v>
      </c>
      <c r="AN83" s="69">
        <v>39542250</v>
      </c>
      <c r="AO83" s="58" t="s">
        <v>67</v>
      </c>
      <c r="AP83" s="54">
        <v>4516050</v>
      </c>
      <c r="AQ83" s="58" t="s">
        <v>68</v>
      </c>
      <c r="AR83" s="60">
        <v>43339</v>
      </c>
      <c r="AS83" s="58" t="s">
        <v>69</v>
      </c>
      <c r="AT83" s="64"/>
      <c r="AU83" s="64"/>
      <c r="AV83" s="64"/>
      <c r="AW83" s="220"/>
    </row>
    <row r="84" spans="1:49" s="221" customFormat="1" ht="228" x14ac:dyDescent="0.25">
      <c r="A84" s="47">
        <v>80</v>
      </c>
      <c r="B84" s="47" t="s">
        <v>367</v>
      </c>
      <c r="C84" s="123" t="s">
        <v>49</v>
      </c>
      <c r="D84" s="63" t="s">
        <v>50</v>
      </c>
      <c r="E84" s="133" t="s">
        <v>89</v>
      </c>
      <c r="F84" s="63" t="s">
        <v>52</v>
      </c>
      <c r="G84" s="63" t="s">
        <v>53</v>
      </c>
      <c r="H84" s="124" t="s">
        <v>54</v>
      </c>
      <c r="I84" s="63" t="s">
        <v>55</v>
      </c>
      <c r="J84" s="63" t="s">
        <v>56</v>
      </c>
      <c r="K84" s="126">
        <v>801116</v>
      </c>
      <c r="L84" s="126" t="s">
        <v>57</v>
      </c>
      <c r="M84" s="47" t="s">
        <v>58</v>
      </c>
      <c r="N84" s="47" t="s">
        <v>59</v>
      </c>
      <c r="O84" s="125" t="s">
        <v>60</v>
      </c>
      <c r="P84" s="47" t="s">
        <v>368</v>
      </c>
      <c r="Q84" s="44">
        <v>8240000</v>
      </c>
      <c r="R84" s="45">
        <v>1</v>
      </c>
      <c r="S84" s="44">
        <f t="shared" si="2"/>
        <v>94760000</v>
      </c>
      <c r="T84" s="48" t="s">
        <v>168</v>
      </c>
      <c r="U84" s="48" t="s">
        <v>63</v>
      </c>
      <c r="V84" s="49" t="s">
        <v>64</v>
      </c>
      <c r="W84" s="63">
        <v>11.5</v>
      </c>
      <c r="X84" s="50" t="s">
        <v>369</v>
      </c>
      <c r="Y84" s="51">
        <v>43104</v>
      </c>
      <c r="Z84" s="52">
        <f t="shared" si="3"/>
        <v>94760000</v>
      </c>
      <c r="AA84" s="50"/>
      <c r="AB84" s="50">
        <v>272</v>
      </c>
      <c r="AC84" s="53">
        <v>43109</v>
      </c>
      <c r="AD84" s="44">
        <v>94760000</v>
      </c>
      <c r="AE84" s="54">
        <v>0</v>
      </c>
      <c r="AF84" s="50">
        <v>394</v>
      </c>
      <c r="AG84" s="50">
        <v>43124</v>
      </c>
      <c r="AH84" s="55">
        <v>94760000</v>
      </c>
      <c r="AI84" s="50" t="s">
        <v>370</v>
      </c>
      <c r="AJ84" s="50">
        <v>316</v>
      </c>
      <c r="AK84" s="64"/>
      <c r="AL84" s="55">
        <v>94760000</v>
      </c>
      <c r="AM84" s="69">
        <v>59328000</v>
      </c>
      <c r="AN84" s="69">
        <v>35432000</v>
      </c>
      <c r="AO84" s="58" t="s">
        <v>67</v>
      </c>
      <c r="AP84" s="64"/>
      <c r="AQ84" s="64"/>
      <c r="AR84" s="64"/>
      <c r="AS84" s="64"/>
      <c r="AT84" s="64"/>
      <c r="AU84" s="64"/>
      <c r="AV84" s="64"/>
      <c r="AW84" s="220"/>
    </row>
    <row r="85" spans="1:49" s="221" customFormat="1" ht="370.5" x14ac:dyDescent="0.25">
      <c r="A85" s="47">
        <v>81</v>
      </c>
      <c r="B85" s="47" t="s">
        <v>371</v>
      </c>
      <c r="C85" s="123" t="s">
        <v>49</v>
      </c>
      <c r="D85" s="63" t="s">
        <v>50</v>
      </c>
      <c r="E85" s="133" t="s">
        <v>89</v>
      </c>
      <c r="F85" s="63" t="s">
        <v>52</v>
      </c>
      <c r="G85" s="63" t="s">
        <v>53</v>
      </c>
      <c r="H85" s="124" t="s">
        <v>54</v>
      </c>
      <c r="I85" s="63" t="s">
        <v>55</v>
      </c>
      <c r="J85" s="63" t="s">
        <v>56</v>
      </c>
      <c r="K85" s="126">
        <v>801116</v>
      </c>
      <c r="L85" s="126" t="s">
        <v>57</v>
      </c>
      <c r="M85" s="47" t="s">
        <v>58</v>
      </c>
      <c r="N85" s="47" t="s">
        <v>59</v>
      </c>
      <c r="O85" s="125" t="s">
        <v>60</v>
      </c>
      <c r="P85" s="47" t="s">
        <v>94</v>
      </c>
      <c r="Q85" s="44">
        <v>5665000</v>
      </c>
      <c r="R85" s="45">
        <v>1</v>
      </c>
      <c r="S85" s="44">
        <f t="shared" si="2"/>
        <v>65147500</v>
      </c>
      <c r="T85" s="48" t="s">
        <v>168</v>
      </c>
      <c r="U85" s="48" t="s">
        <v>63</v>
      </c>
      <c r="V85" s="49" t="s">
        <v>64</v>
      </c>
      <c r="W85" s="63">
        <v>11.5</v>
      </c>
      <c r="X85" s="50" t="s">
        <v>372</v>
      </c>
      <c r="Y85" s="51">
        <v>43104</v>
      </c>
      <c r="Z85" s="52">
        <f t="shared" si="3"/>
        <v>65147500</v>
      </c>
      <c r="AA85" s="50"/>
      <c r="AB85" s="50">
        <v>273</v>
      </c>
      <c r="AC85" s="53">
        <v>43109</v>
      </c>
      <c r="AD85" s="44">
        <v>65147500</v>
      </c>
      <c r="AE85" s="54">
        <v>0</v>
      </c>
      <c r="AF85" s="50">
        <v>453</v>
      </c>
      <c r="AG85" s="50">
        <v>43125</v>
      </c>
      <c r="AH85" s="55">
        <v>65147500</v>
      </c>
      <c r="AI85" s="50" t="s">
        <v>373</v>
      </c>
      <c r="AJ85" s="50">
        <v>383</v>
      </c>
      <c r="AK85" s="64"/>
      <c r="AL85" s="55">
        <v>65147500</v>
      </c>
      <c r="AM85" s="69">
        <v>40599167</v>
      </c>
      <c r="AN85" s="69">
        <v>24548333</v>
      </c>
      <c r="AO85" s="58" t="s">
        <v>67</v>
      </c>
      <c r="AP85" s="64"/>
      <c r="AQ85" s="64"/>
      <c r="AR85" s="64"/>
      <c r="AS85" s="64"/>
      <c r="AT85" s="64"/>
      <c r="AU85" s="64"/>
      <c r="AV85" s="64"/>
      <c r="AW85" s="220"/>
    </row>
    <row r="86" spans="1:49" s="221" customFormat="1" ht="199.5" x14ac:dyDescent="0.25">
      <c r="A86" s="47">
        <v>82</v>
      </c>
      <c r="B86" s="47" t="s">
        <v>374</v>
      </c>
      <c r="C86" s="123" t="s">
        <v>49</v>
      </c>
      <c r="D86" s="63" t="s">
        <v>50</v>
      </c>
      <c r="E86" s="133" t="s">
        <v>51</v>
      </c>
      <c r="F86" s="63" t="s">
        <v>52</v>
      </c>
      <c r="G86" s="63" t="s">
        <v>53</v>
      </c>
      <c r="H86" s="124" t="s">
        <v>54</v>
      </c>
      <c r="I86" s="63" t="s">
        <v>55</v>
      </c>
      <c r="J86" s="63" t="s">
        <v>56</v>
      </c>
      <c r="K86" s="126">
        <v>801116</v>
      </c>
      <c r="L86" s="126" t="s">
        <v>57</v>
      </c>
      <c r="M86" s="47" t="s">
        <v>58</v>
      </c>
      <c r="N86" s="47" t="s">
        <v>59</v>
      </c>
      <c r="O86" s="125" t="s">
        <v>60</v>
      </c>
      <c r="P86" s="47" t="s">
        <v>172</v>
      </c>
      <c r="Q86" s="44">
        <v>7210000</v>
      </c>
      <c r="R86" s="45">
        <v>1</v>
      </c>
      <c r="S86" s="46">
        <f t="shared" si="2"/>
        <v>82915000</v>
      </c>
      <c r="T86" s="48" t="s">
        <v>168</v>
      </c>
      <c r="U86" s="48" t="s">
        <v>63</v>
      </c>
      <c r="V86" s="49" t="s">
        <v>64</v>
      </c>
      <c r="W86" s="63">
        <v>11.5</v>
      </c>
      <c r="X86" s="50" t="s">
        <v>375</v>
      </c>
      <c r="Y86" s="51">
        <v>43104</v>
      </c>
      <c r="Z86" s="52">
        <f t="shared" si="3"/>
        <v>82915000</v>
      </c>
      <c r="AA86" s="50"/>
      <c r="AB86" s="50">
        <v>274</v>
      </c>
      <c r="AC86" s="53">
        <v>43109</v>
      </c>
      <c r="AD86" s="44">
        <v>82915000</v>
      </c>
      <c r="AE86" s="54">
        <v>0</v>
      </c>
      <c r="AF86" s="50">
        <v>151</v>
      </c>
      <c r="AG86" s="50">
        <v>43117</v>
      </c>
      <c r="AH86" s="55">
        <v>82915000</v>
      </c>
      <c r="AI86" s="50" t="s">
        <v>376</v>
      </c>
      <c r="AJ86" s="50">
        <v>158</v>
      </c>
      <c r="AK86" s="64"/>
      <c r="AL86" s="55">
        <v>82915000</v>
      </c>
      <c r="AM86" s="69">
        <v>53594334</v>
      </c>
      <c r="AN86" s="69">
        <v>29320666</v>
      </c>
      <c r="AO86" s="58" t="s">
        <v>67</v>
      </c>
      <c r="AP86" s="64"/>
      <c r="AQ86" s="64"/>
      <c r="AR86" s="64"/>
      <c r="AS86" s="64"/>
      <c r="AT86" s="64"/>
      <c r="AU86" s="64"/>
      <c r="AV86" s="64"/>
      <c r="AW86" s="220"/>
    </row>
    <row r="87" spans="1:49" s="221" customFormat="1" ht="270.75" x14ac:dyDescent="0.25">
      <c r="A87" s="47">
        <v>83</v>
      </c>
      <c r="B87" s="47" t="s">
        <v>377</v>
      </c>
      <c r="C87" s="123" t="s">
        <v>49</v>
      </c>
      <c r="D87" s="63" t="s">
        <v>50</v>
      </c>
      <c r="E87" s="133" t="s">
        <v>51</v>
      </c>
      <c r="F87" s="63" t="s">
        <v>52</v>
      </c>
      <c r="G87" s="63" t="s">
        <v>53</v>
      </c>
      <c r="H87" s="124" t="s">
        <v>54</v>
      </c>
      <c r="I87" s="63" t="s">
        <v>55</v>
      </c>
      <c r="J87" s="63" t="s">
        <v>56</v>
      </c>
      <c r="K87" s="126">
        <v>801116</v>
      </c>
      <c r="L87" s="126" t="s">
        <v>57</v>
      </c>
      <c r="M87" s="47" t="s">
        <v>58</v>
      </c>
      <c r="N87" s="47" t="s">
        <v>59</v>
      </c>
      <c r="O87" s="125" t="s">
        <v>60</v>
      </c>
      <c r="P87" s="47" t="s">
        <v>378</v>
      </c>
      <c r="Q87" s="44">
        <v>4120000</v>
      </c>
      <c r="R87" s="45">
        <v>1</v>
      </c>
      <c r="S87" s="46">
        <f t="shared" si="2"/>
        <v>47380000</v>
      </c>
      <c r="T87" s="48" t="s">
        <v>168</v>
      </c>
      <c r="U87" s="48" t="s">
        <v>63</v>
      </c>
      <c r="V87" s="49" t="s">
        <v>64</v>
      </c>
      <c r="W87" s="63">
        <v>11.5</v>
      </c>
      <c r="X87" s="50" t="s">
        <v>379</v>
      </c>
      <c r="Y87" s="51">
        <v>43104</v>
      </c>
      <c r="Z87" s="52">
        <f t="shared" si="3"/>
        <v>47380000</v>
      </c>
      <c r="AA87" s="50"/>
      <c r="AB87" s="50">
        <v>275</v>
      </c>
      <c r="AC87" s="53">
        <v>43109</v>
      </c>
      <c r="AD87" s="44">
        <v>47380000</v>
      </c>
      <c r="AE87" s="54">
        <v>0</v>
      </c>
      <c r="AF87" s="50">
        <v>363</v>
      </c>
      <c r="AG87" s="50">
        <v>43123</v>
      </c>
      <c r="AH87" s="55">
        <v>47380000</v>
      </c>
      <c r="AI87" s="50" t="s">
        <v>380</v>
      </c>
      <c r="AJ87" s="50">
        <v>303</v>
      </c>
      <c r="AK87" s="64"/>
      <c r="AL87" s="55">
        <v>47380000</v>
      </c>
      <c r="AM87" s="69">
        <v>23020500</v>
      </c>
      <c r="AN87" s="69">
        <v>24359500</v>
      </c>
      <c r="AO87" s="58" t="s">
        <v>67</v>
      </c>
      <c r="AP87" s="64"/>
      <c r="AQ87" s="64"/>
      <c r="AR87" s="64"/>
      <c r="AS87" s="64"/>
      <c r="AT87" s="64"/>
      <c r="AU87" s="64"/>
      <c r="AV87" s="64"/>
      <c r="AW87" s="220"/>
    </row>
    <row r="88" spans="1:49" s="221" customFormat="1" ht="313.5" x14ac:dyDescent="0.25">
      <c r="A88" s="47">
        <v>84</v>
      </c>
      <c r="B88" s="47" t="s">
        <v>381</v>
      </c>
      <c r="C88" s="123" t="s">
        <v>49</v>
      </c>
      <c r="D88" s="63" t="s">
        <v>50</v>
      </c>
      <c r="E88" s="133" t="s">
        <v>89</v>
      </c>
      <c r="F88" s="63" t="s">
        <v>52</v>
      </c>
      <c r="G88" s="63" t="s">
        <v>53</v>
      </c>
      <c r="H88" s="124" t="s">
        <v>54</v>
      </c>
      <c r="I88" s="63" t="s">
        <v>55</v>
      </c>
      <c r="J88" s="63" t="s">
        <v>56</v>
      </c>
      <c r="K88" s="126">
        <v>801116</v>
      </c>
      <c r="L88" s="126" t="s">
        <v>57</v>
      </c>
      <c r="M88" s="47" t="s">
        <v>58</v>
      </c>
      <c r="N88" s="47" t="s">
        <v>59</v>
      </c>
      <c r="O88" s="125" t="s">
        <v>60</v>
      </c>
      <c r="P88" s="47" t="s">
        <v>382</v>
      </c>
      <c r="Q88" s="44">
        <v>2472000</v>
      </c>
      <c r="R88" s="45">
        <v>1</v>
      </c>
      <c r="S88" s="44">
        <f t="shared" si="2"/>
        <v>28428000</v>
      </c>
      <c r="T88" s="48" t="s">
        <v>168</v>
      </c>
      <c r="U88" s="48" t="s">
        <v>63</v>
      </c>
      <c r="V88" s="49" t="s">
        <v>64</v>
      </c>
      <c r="W88" s="63">
        <v>11.5</v>
      </c>
      <c r="X88" s="50" t="s">
        <v>383</v>
      </c>
      <c r="Y88" s="51">
        <v>43104</v>
      </c>
      <c r="Z88" s="52">
        <f t="shared" si="3"/>
        <v>28428000</v>
      </c>
      <c r="AA88" s="50"/>
      <c r="AB88" s="50">
        <v>276</v>
      </c>
      <c r="AC88" s="53">
        <v>43109</v>
      </c>
      <c r="AD88" s="44">
        <v>28428000</v>
      </c>
      <c r="AE88" s="54">
        <v>0</v>
      </c>
      <c r="AF88" s="50">
        <v>494</v>
      </c>
      <c r="AG88" s="50">
        <v>43126</v>
      </c>
      <c r="AH88" s="55">
        <v>28428000</v>
      </c>
      <c r="AI88" s="50" t="s">
        <v>384</v>
      </c>
      <c r="AJ88" s="50">
        <v>420</v>
      </c>
      <c r="AK88" s="64"/>
      <c r="AL88" s="55">
        <v>28428000</v>
      </c>
      <c r="AM88" s="69">
        <v>17304000</v>
      </c>
      <c r="AN88" s="69">
        <v>11124000</v>
      </c>
      <c r="AO88" s="58" t="s">
        <v>67</v>
      </c>
      <c r="AP88" s="64"/>
      <c r="AQ88" s="64"/>
      <c r="AR88" s="64"/>
      <c r="AS88" s="64"/>
      <c r="AT88" s="64"/>
      <c r="AU88" s="64"/>
      <c r="AV88" s="64"/>
      <c r="AW88" s="220"/>
    </row>
    <row r="89" spans="1:49" s="221" customFormat="1" ht="342" x14ac:dyDescent="0.25">
      <c r="A89" s="47">
        <v>85</v>
      </c>
      <c r="B89" s="47" t="s">
        <v>385</v>
      </c>
      <c r="C89" s="123" t="s">
        <v>49</v>
      </c>
      <c r="D89" s="63" t="s">
        <v>50</v>
      </c>
      <c r="E89" s="47" t="s">
        <v>51</v>
      </c>
      <c r="F89" s="63" t="s">
        <v>52</v>
      </c>
      <c r="G89" s="63" t="s">
        <v>53</v>
      </c>
      <c r="H89" s="124" t="s">
        <v>54</v>
      </c>
      <c r="I89" s="63" t="s">
        <v>55</v>
      </c>
      <c r="J89" s="63" t="s">
        <v>56</v>
      </c>
      <c r="K89" s="126">
        <v>801116</v>
      </c>
      <c r="L89" s="126" t="s">
        <v>57</v>
      </c>
      <c r="M89" s="47" t="s">
        <v>58</v>
      </c>
      <c r="N89" s="47" t="s">
        <v>59</v>
      </c>
      <c r="O89" s="125" t="s">
        <v>60</v>
      </c>
      <c r="P89" s="47" t="s">
        <v>386</v>
      </c>
      <c r="Q89" s="44">
        <v>888376</v>
      </c>
      <c r="R89" s="45">
        <v>1</v>
      </c>
      <c r="S89" s="46">
        <f>+Q89*R89*W89-444199</f>
        <v>9772125</v>
      </c>
      <c r="T89" s="48" t="s">
        <v>168</v>
      </c>
      <c r="U89" s="48" t="s">
        <v>63</v>
      </c>
      <c r="V89" s="49" t="s">
        <v>64</v>
      </c>
      <c r="W89" s="48">
        <v>11.5</v>
      </c>
      <c r="X89" s="50" t="s">
        <v>387</v>
      </c>
      <c r="Y89" s="51">
        <v>43104</v>
      </c>
      <c r="Z89" s="52">
        <f t="shared" si="3"/>
        <v>9772125</v>
      </c>
      <c r="AA89" s="50"/>
      <c r="AB89" s="50">
        <v>277</v>
      </c>
      <c r="AC89" s="53">
        <v>43109</v>
      </c>
      <c r="AD89" s="44">
        <v>10216324</v>
      </c>
      <c r="AE89" s="54">
        <v>444199</v>
      </c>
      <c r="AF89" s="50">
        <v>291</v>
      </c>
      <c r="AG89" s="50">
        <v>43122</v>
      </c>
      <c r="AH89" s="55">
        <v>9772125</v>
      </c>
      <c r="AI89" s="50" t="s">
        <v>388</v>
      </c>
      <c r="AJ89" s="50">
        <v>261</v>
      </c>
      <c r="AK89" s="54">
        <v>444199</v>
      </c>
      <c r="AL89" s="55">
        <v>9772125</v>
      </c>
      <c r="AM89" s="69">
        <v>6485162</v>
      </c>
      <c r="AN89" s="69">
        <v>3286963</v>
      </c>
      <c r="AO89" s="58" t="s">
        <v>67</v>
      </c>
      <c r="AP89" s="64"/>
      <c r="AQ89" s="58" t="s">
        <v>68</v>
      </c>
      <c r="AR89" s="60">
        <v>43339</v>
      </c>
      <c r="AS89" s="58" t="s">
        <v>69</v>
      </c>
      <c r="AT89" s="64"/>
      <c r="AU89" s="64"/>
      <c r="AV89" s="64"/>
      <c r="AW89" s="220"/>
    </row>
    <row r="90" spans="1:49" s="221" customFormat="1" ht="256.5" x14ac:dyDescent="0.25">
      <c r="A90" s="47">
        <v>86</v>
      </c>
      <c r="B90" s="47" t="s">
        <v>389</v>
      </c>
      <c r="C90" s="123" t="s">
        <v>49</v>
      </c>
      <c r="D90" s="63" t="s">
        <v>50</v>
      </c>
      <c r="E90" s="63" t="s">
        <v>390</v>
      </c>
      <c r="F90" s="63" t="s">
        <v>52</v>
      </c>
      <c r="G90" s="63" t="s">
        <v>53</v>
      </c>
      <c r="H90" s="124" t="s">
        <v>54</v>
      </c>
      <c r="I90" s="63" t="s">
        <v>55</v>
      </c>
      <c r="J90" s="63" t="s">
        <v>56</v>
      </c>
      <c r="K90" s="126">
        <v>801116</v>
      </c>
      <c r="L90" s="126" t="s">
        <v>57</v>
      </c>
      <c r="M90" s="47" t="s">
        <v>58</v>
      </c>
      <c r="N90" s="47" t="s">
        <v>59</v>
      </c>
      <c r="O90" s="125" t="s">
        <v>60</v>
      </c>
      <c r="P90" s="47" t="s">
        <v>391</v>
      </c>
      <c r="Q90" s="44">
        <v>6695000</v>
      </c>
      <c r="R90" s="45">
        <v>1</v>
      </c>
      <c r="S90" s="44">
        <f t="shared" si="2"/>
        <v>76992500</v>
      </c>
      <c r="T90" s="48" t="s">
        <v>168</v>
      </c>
      <c r="U90" s="48" t="s">
        <v>63</v>
      </c>
      <c r="V90" s="49" t="s">
        <v>64</v>
      </c>
      <c r="W90" s="48">
        <v>11.5</v>
      </c>
      <c r="X90" s="50" t="s">
        <v>392</v>
      </c>
      <c r="Y90" s="51">
        <v>43104</v>
      </c>
      <c r="Z90" s="52">
        <f t="shared" si="3"/>
        <v>76992500</v>
      </c>
      <c r="AA90" s="50"/>
      <c r="AB90" s="50">
        <v>278</v>
      </c>
      <c r="AC90" s="53">
        <v>43109</v>
      </c>
      <c r="AD90" s="44">
        <v>76992500</v>
      </c>
      <c r="AE90" s="54">
        <v>0</v>
      </c>
      <c r="AF90" s="50">
        <v>318</v>
      </c>
      <c r="AG90" s="50">
        <v>43122</v>
      </c>
      <c r="AH90" s="55">
        <v>76992500</v>
      </c>
      <c r="AI90" s="50" t="s">
        <v>393</v>
      </c>
      <c r="AJ90" s="50">
        <v>277</v>
      </c>
      <c r="AK90" s="64"/>
      <c r="AL90" s="55">
        <v>76992500</v>
      </c>
      <c r="AM90" s="69">
        <v>48650333</v>
      </c>
      <c r="AN90" s="69">
        <v>28342167</v>
      </c>
      <c r="AO90" s="58" t="s">
        <v>67</v>
      </c>
      <c r="AP90" s="64"/>
      <c r="AQ90" s="64"/>
      <c r="AR90" s="64"/>
      <c r="AS90" s="64"/>
      <c r="AT90" s="64"/>
      <c r="AU90" s="64"/>
      <c r="AV90" s="64"/>
      <c r="AW90" s="220"/>
    </row>
    <row r="91" spans="1:49" s="221" customFormat="1" ht="356.25" x14ac:dyDescent="0.25">
      <c r="A91" s="47">
        <v>87</v>
      </c>
      <c r="B91" s="47" t="s">
        <v>394</v>
      </c>
      <c r="C91" s="123" t="s">
        <v>49</v>
      </c>
      <c r="D91" s="63" t="s">
        <v>50</v>
      </c>
      <c r="E91" s="47" t="s">
        <v>89</v>
      </c>
      <c r="F91" s="63" t="s">
        <v>52</v>
      </c>
      <c r="G91" s="63" t="s">
        <v>53</v>
      </c>
      <c r="H91" s="124" t="s">
        <v>54</v>
      </c>
      <c r="I91" s="63" t="s">
        <v>55</v>
      </c>
      <c r="J91" s="63" t="s">
        <v>56</v>
      </c>
      <c r="K91" s="126">
        <v>801116</v>
      </c>
      <c r="L91" s="126" t="s">
        <v>57</v>
      </c>
      <c r="M91" s="47" t="s">
        <v>58</v>
      </c>
      <c r="N91" s="47" t="s">
        <v>59</v>
      </c>
      <c r="O91" s="125" t="s">
        <v>60</v>
      </c>
      <c r="P91" s="47" t="s">
        <v>395</v>
      </c>
      <c r="Q91" s="44">
        <v>5036700</v>
      </c>
      <c r="R91" s="45">
        <v>1</v>
      </c>
      <c r="S91" s="44">
        <f t="shared" si="2"/>
        <v>57922050</v>
      </c>
      <c r="T91" s="48" t="s">
        <v>168</v>
      </c>
      <c r="U91" s="48" t="s">
        <v>63</v>
      </c>
      <c r="V91" s="49" t="s">
        <v>64</v>
      </c>
      <c r="W91" s="48">
        <v>11.5</v>
      </c>
      <c r="X91" s="50" t="s">
        <v>396</v>
      </c>
      <c r="Y91" s="51">
        <v>43104</v>
      </c>
      <c r="Z91" s="52">
        <f t="shared" si="3"/>
        <v>57922050</v>
      </c>
      <c r="AA91" s="50"/>
      <c r="AB91" s="50">
        <v>279</v>
      </c>
      <c r="AC91" s="53">
        <v>43109</v>
      </c>
      <c r="AD91" s="44">
        <v>57922050</v>
      </c>
      <c r="AE91" s="54">
        <v>0</v>
      </c>
      <c r="AF91" s="50">
        <v>493</v>
      </c>
      <c r="AG91" s="51">
        <v>43126</v>
      </c>
      <c r="AH91" s="55">
        <v>57922050</v>
      </c>
      <c r="AI91" s="50" t="s">
        <v>397</v>
      </c>
      <c r="AJ91" s="50">
        <v>423</v>
      </c>
      <c r="AK91" s="64"/>
      <c r="AL91" s="55">
        <v>57922050</v>
      </c>
      <c r="AM91" s="69">
        <v>35592680</v>
      </c>
      <c r="AN91" s="69">
        <v>22329370</v>
      </c>
      <c r="AO91" s="58" t="s">
        <v>67</v>
      </c>
      <c r="AP91" s="64"/>
      <c r="AQ91" s="64"/>
      <c r="AR91" s="64"/>
      <c r="AS91" s="64"/>
      <c r="AT91" s="64"/>
      <c r="AU91" s="64"/>
      <c r="AV91" s="64"/>
      <c r="AW91" s="220"/>
    </row>
    <row r="92" spans="1:49" s="221" customFormat="1" ht="285" x14ac:dyDescent="0.25">
      <c r="A92" s="47">
        <v>88</v>
      </c>
      <c r="B92" s="47" t="s">
        <v>398</v>
      </c>
      <c r="C92" s="123" t="s">
        <v>49</v>
      </c>
      <c r="D92" s="63" t="s">
        <v>50</v>
      </c>
      <c r="E92" s="47" t="s">
        <v>89</v>
      </c>
      <c r="F92" s="63" t="s">
        <v>52</v>
      </c>
      <c r="G92" s="63" t="s">
        <v>53</v>
      </c>
      <c r="H92" s="124" t="s">
        <v>54</v>
      </c>
      <c r="I92" s="63" t="s">
        <v>55</v>
      </c>
      <c r="J92" s="63" t="s">
        <v>56</v>
      </c>
      <c r="K92" s="126">
        <v>801116</v>
      </c>
      <c r="L92" s="126" t="s">
        <v>57</v>
      </c>
      <c r="M92" s="47" t="s">
        <v>58</v>
      </c>
      <c r="N92" s="47" t="s">
        <v>59</v>
      </c>
      <c r="O92" s="125" t="s">
        <v>60</v>
      </c>
      <c r="P92" s="47" t="s">
        <v>223</v>
      </c>
      <c r="Q92" s="44">
        <v>4120000</v>
      </c>
      <c r="R92" s="45">
        <v>1</v>
      </c>
      <c r="S92" s="44">
        <f t="shared" si="2"/>
        <v>47380000</v>
      </c>
      <c r="T92" s="48" t="s">
        <v>168</v>
      </c>
      <c r="U92" s="48" t="s">
        <v>63</v>
      </c>
      <c r="V92" s="49" t="s">
        <v>64</v>
      </c>
      <c r="W92" s="48">
        <v>11.5</v>
      </c>
      <c r="X92" s="50" t="s">
        <v>399</v>
      </c>
      <c r="Y92" s="51">
        <v>43104</v>
      </c>
      <c r="Z92" s="52">
        <f t="shared" si="3"/>
        <v>47380000</v>
      </c>
      <c r="AA92" s="50"/>
      <c r="AB92" s="50">
        <v>280</v>
      </c>
      <c r="AC92" s="53">
        <v>43109</v>
      </c>
      <c r="AD92" s="44">
        <v>47380000</v>
      </c>
      <c r="AE92" s="54">
        <v>0</v>
      </c>
      <c r="AF92" s="50">
        <v>480</v>
      </c>
      <c r="AG92" s="50">
        <v>43126</v>
      </c>
      <c r="AH92" s="55">
        <v>47380000</v>
      </c>
      <c r="AI92" s="50" t="s">
        <v>400</v>
      </c>
      <c r="AJ92" s="50">
        <v>402</v>
      </c>
      <c r="AK92" s="64"/>
      <c r="AL92" s="55">
        <v>47380000</v>
      </c>
      <c r="AM92" s="69">
        <v>29114667</v>
      </c>
      <c r="AN92" s="69">
        <v>18265333</v>
      </c>
      <c r="AO92" s="58" t="s">
        <v>67</v>
      </c>
      <c r="AP92" s="64"/>
      <c r="AQ92" s="64"/>
      <c r="AR92" s="64"/>
      <c r="AS92" s="64"/>
      <c r="AT92" s="64"/>
      <c r="AU92" s="64"/>
      <c r="AV92" s="64"/>
      <c r="AW92" s="220"/>
    </row>
    <row r="93" spans="1:49" s="221" customFormat="1" ht="213.75" x14ac:dyDescent="0.25">
      <c r="A93" s="47">
        <v>89</v>
      </c>
      <c r="B93" s="47" t="s">
        <v>401</v>
      </c>
      <c r="C93" s="123" t="s">
        <v>49</v>
      </c>
      <c r="D93" s="63" t="s">
        <v>50</v>
      </c>
      <c r="E93" s="47" t="s">
        <v>89</v>
      </c>
      <c r="F93" s="63" t="s">
        <v>52</v>
      </c>
      <c r="G93" s="63" t="s">
        <v>53</v>
      </c>
      <c r="H93" s="124" t="s">
        <v>54</v>
      </c>
      <c r="I93" s="63" t="s">
        <v>55</v>
      </c>
      <c r="J93" s="63" t="s">
        <v>56</v>
      </c>
      <c r="K93" s="126">
        <v>801116</v>
      </c>
      <c r="L93" s="126" t="s">
        <v>57</v>
      </c>
      <c r="M93" s="47" t="s">
        <v>58</v>
      </c>
      <c r="N93" s="47" t="s">
        <v>59</v>
      </c>
      <c r="O93" s="125" t="s">
        <v>60</v>
      </c>
      <c r="P93" s="47" t="s">
        <v>402</v>
      </c>
      <c r="Q93" s="44">
        <v>1545000</v>
      </c>
      <c r="R93" s="45">
        <v>1</v>
      </c>
      <c r="S93" s="44">
        <f t="shared" si="2"/>
        <v>17767500</v>
      </c>
      <c r="T93" s="48" t="s">
        <v>168</v>
      </c>
      <c r="U93" s="48" t="s">
        <v>63</v>
      </c>
      <c r="V93" s="49" t="s">
        <v>64</v>
      </c>
      <c r="W93" s="48">
        <v>11.5</v>
      </c>
      <c r="X93" s="50" t="s">
        <v>403</v>
      </c>
      <c r="Y93" s="51">
        <v>43104</v>
      </c>
      <c r="Z93" s="52">
        <f t="shared" si="3"/>
        <v>17767500</v>
      </c>
      <c r="AA93" s="50"/>
      <c r="AB93" s="50">
        <v>281</v>
      </c>
      <c r="AC93" s="53">
        <v>43109</v>
      </c>
      <c r="AD93" s="44">
        <v>17767500</v>
      </c>
      <c r="AE93" s="54">
        <v>0</v>
      </c>
      <c r="AF93" s="50">
        <v>296</v>
      </c>
      <c r="AG93" s="50">
        <v>43122</v>
      </c>
      <c r="AH93" s="55">
        <v>17767500</v>
      </c>
      <c r="AI93" s="50" t="s">
        <v>404</v>
      </c>
      <c r="AJ93" s="50">
        <v>264</v>
      </c>
      <c r="AK93" s="64"/>
      <c r="AL93" s="55">
        <v>17767500</v>
      </c>
      <c r="AM93" s="69">
        <v>11278500</v>
      </c>
      <c r="AN93" s="69">
        <v>6489000</v>
      </c>
      <c r="AO93" s="58" t="s">
        <v>67</v>
      </c>
      <c r="AP93" s="64"/>
      <c r="AQ93" s="64"/>
      <c r="AR93" s="64"/>
      <c r="AS93" s="64"/>
      <c r="AT93" s="64"/>
      <c r="AU93" s="64"/>
      <c r="AV93" s="64"/>
      <c r="AW93" s="220"/>
    </row>
    <row r="94" spans="1:49" s="221" customFormat="1" ht="313.5" x14ac:dyDescent="0.25">
      <c r="A94" s="47">
        <v>90</v>
      </c>
      <c r="B94" s="47" t="s">
        <v>405</v>
      </c>
      <c r="C94" s="123" t="s">
        <v>49</v>
      </c>
      <c r="D94" s="63" t="s">
        <v>50</v>
      </c>
      <c r="E94" s="47" t="s">
        <v>51</v>
      </c>
      <c r="F94" s="63" t="s">
        <v>52</v>
      </c>
      <c r="G94" s="63" t="s">
        <v>53</v>
      </c>
      <c r="H94" s="124" t="s">
        <v>54</v>
      </c>
      <c r="I94" s="63" t="s">
        <v>55</v>
      </c>
      <c r="J94" s="63" t="s">
        <v>56</v>
      </c>
      <c r="K94" s="126">
        <v>801116</v>
      </c>
      <c r="L94" s="126" t="s">
        <v>57</v>
      </c>
      <c r="M94" s="47" t="s">
        <v>58</v>
      </c>
      <c r="N94" s="47" t="s">
        <v>59</v>
      </c>
      <c r="O94" s="125" t="s">
        <v>60</v>
      </c>
      <c r="P94" s="47" t="s">
        <v>406</v>
      </c>
      <c r="Q94" s="44">
        <v>7210000</v>
      </c>
      <c r="R94" s="47">
        <v>1</v>
      </c>
      <c r="S94" s="46">
        <f>+Q94*R94*W94-82915000</f>
        <v>0</v>
      </c>
      <c r="T94" s="48" t="s">
        <v>168</v>
      </c>
      <c r="U94" s="48" t="s">
        <v>63</v>
      </c>
      <c r="V94" s="49" t="s">
        <v>64</v>
      </c>
      <c r="W94" s="48">
        <v>11.5</v>
      </c>
      <c r="X94" s="50" t="s">
        <v>407</v>
      </c>
      <c r="Y94" s="60">
        <v>43104</v>
      </c>
      <c r="Z94" s="44">
        <f t="shared" si="3"/>
        <v>0</v>
      </c>
      <c r="AA94" s="64"/>
      <c r="AB94" s="50">
        <v>0</v>
      </c>
      <c r="AC94" s="60">
        <v>0</v>
      </c>
      <c r="AD94" s="44">
        <v>0</v>
      </c>
      <c r="AE94" s="64"/>
      <c r="AF94" s="50">
        <v>0</v>
      </c>
      <c r="AG94" s="50">
        <v>0</v>
      </c>
      <c r="AH94" s="55">
        <v>0</v>
      </c>
      <c r="AI94" s="50">
        <v>0</v>
      </c>
      <c r="AJ94" s="50">
        <v>0</v>
      </c>
      <c r="AK94" s="64"/>
      <c r="AL94" s="55">
        <v>0</v>
      </c>
      <c r="AM94" s="55">
        <v>0</v>
      </c>
      <c r="AN94" s="70">
        <f t="shared" ref="AN94" si="4">AL94-AM94</f>
        <v>0</v>
      </c>
      <c r="AO94" s="58" t="s">
        <v>67</v>
      </c>
      <c r="AP94" s="64"/>
      <c r="AQ94" s="58" t="s">
        <v>408</v>
      </c>
      <c r="AR94" s="61">
        <v>43150</v>
      </c>
      <c r="AS94" s="58" t="s">
        <v>78</v>
      </c>
      <c r="AT94" s="64"/>
      <c r="AU94" s="58" t="s">
        <v>79</v>
      </c>
      <c r="AV94" s="64"/>
      <c r="AW94" s="220"/>
    </row>
    <row r="95" spans="1:49" s="221" customFormat="1" ht="171" x14ac:dyDescent="0.25">
      <c r="A95" s="47">
        <v>91</v>
      </c>
      <c r="B95" s="47" t="s">
        <v>409</v>
      </c>
      <c r="C95" s="123" t="s">
        <v>49</v>
      </c>
      <c r="D95" s="63" t="s">
        <v>50</v>
      </c>
      <c r="E95" s="63" t="s">
        <v>390</v>
      </c>
      <c r="F95" s="63" t="s">
        <v>52</v>
      </c>
      <c r="G95" s="63" t="s">
        <v>53</v>
      </c>
      <c r="H95" s="124" t="s">
        <v>54</v>
      </c>
      <c r="I95" s="63" t="s">
        <v>55</v>
      </c>
      <c r="J95" s="63" t="s">
        <v>56</v>
      </c>
      <c r="K95" s="126">
        <v>801116</v>
      </c>
      <c r="L95" s="126" t="s">
        <v>57</v>
      </c>
      <c r="M95" s="47" t="s">
        <v>58</v>
      </c>
      <c r="N95" s="47" t="s">
        <v>59</v>
      </c>
      <c r="O95" s="125" t="s">
        <v>60</v>
      </c>
      <c r="P95" s="47" t="s">
        <v>410</v>
      </c>
      <c r="Q95" s="44">
        <v>11900000</v>
      </c>
      <c r="R95" s="47">
        <v>1</v>
      </c>
      <c r="S95" s="44">
        <f>119000000-24457140-14280000-55000000-25262860</f>
        <v>0</v>
      </c>
      <c r="T95" s="48" t="s">
        <v>168</v>
      </c>
      <c r="U95" s="48" t="s">
        <v>63</v>
      </c>
      <c r="V95" s="49" t="s">
        <v>411</v>
      </c>
      <c r="W95" s="48">
        <v>10</v>
      </c>
      <c r="X95" s="50"/>
      <c r="Y95" s="60">
        <v>43102</v>
      </c>
      <c r="Z95" s="44">
        <f t="shared" si="3"/>
        <v>0</v>
      </c>
      <c r="AA95" s="64"/>
      <c r="AB95" s="50">
        <v>0</v>
      </c>
      <c r="AC95" s="64"/>
      <c r="AD95" s="44">
        <v>0</v>
      </c>
      <c r="AE95" s="64"/>
      <c r="AF95" s="50">
        <v>0</v>
      </c>
      <c r="AG95" s="50">
        <v>0</v>
      </c>
      <c r="AH95" s="55">
        <v>0</v>
      </c>
      <c r="AI95" s="50">
        <v>0</v>
      </c>
      <c r="AJ95" s="50">
        <v>0</v>
      </c>
      <c r="AK95" s="64"/>
      <c r="AL95" s="55">
        <v>0</v>
      </c>
      <c r="AM95" s="55">
        <v>0</v>
      </c>
      <c r="AN95" s="64"/>
      <c r="AO95" s="58" t="s">
        <v>67</v>
      </c>
      <c r="AP95" s="64"/>
      <c r="AQ95" s="64"/>
      <c r="AR95" s="64"/>
      <c r="AS95" s="64"/>
      <c r="AT95" s="64"/>
      <c r="AU95" s="64"/>
      <c r="AV95" s="64"/>
      <c r="AW95" s="220"/>
    </row>
    <row r="96" spans="1:49" s="221" customFormat="1" ht="228" x14ac:dyDescent="0.25">
      <c r="A96" s="47">
        <v>92</v>
      </c>
      <c r="B96" s="47" t="s">
        <v>412</v>
      </c>
      <c r="C96" s="123" t="s">
        <v>49</v>
      </c>
      <c r="D96" s="63" t="s">
        <v>50</v>
      </c>
      <c r="E96" s="47" t="s">
        <v>51</v>
      </c>
      <c r="F96" s="63" t="s">
        <v>52</v>
      </c>
      <c r="G96" s="63" t="s">
        <v>53</v>
      </c>
      <c r="H96" s="124" t="s">
        <v>54</v>
      </c>
      <c r="I96" s="63" t="s">
        <v>55</v>
      </c>
      <c r="J96" s="63" t="s">
        <v>56</v>
      </c>
      <c r="K96" s="126">
        <v>801116</v>
      </c>
      <c r="L96" s="126" t="s">
        <v>57</v>
      </c>
      <c r="M96" s="47" t="s">
        <v>58</v>
      </c>
      <c r="N96" s="47" t="s">
        <v>59</v>
      </c>
      <c r="O96" s="125" t="s">
        <v>60</v>
      </c>
      <c r="P96" s="47" t="s">
        <v>413</v>
      </c>
      <c r="Q96" s="44">
        <f>+S96/10/R96</f>
        <v>0</v>
      </c>
      <c r="R96" s="47">
        <v>2</v>
      </c>
      <c r="S96" s="46">
        <f>293177807-38259350-38259350-17767500-27192000-37389000-60000000-39088500+38455195+65147500+82915000-90000000-11611000-30000000-6798000-19961400-60000000-1002140-2367262</f>
        <v>0</v>
      </c>
      <c r="T96" s="48" t="s">
        <v>168</v>
      </c>
      <c r="U96" s="48" t="s">
        <v>63</v>
      </c>
      <c r="V96" s="49" t="s">
        <v>411</v>
      </c>
      <c r="W96" s="48">
        <v>10</v>
      </c>
      <c r="X96" s="50"/>
      <c r="Y96" s="60">
        <v>43102</v>
      </c>
      <c r="Z96" s="44">
        <f t="shared" si="3"/>
        <v>0</v>
      </c>
      <c r="AA96" s="64"/>
      <c r="AB96" s="50">
        <v>0</v>
      </c>
      <c r="AC96" s="64"/>
      <c r="AD96" s="44">
        <v>0</v>
      </c>
      <c r="AE96" s="44">
        <v>0</v>
      </c>
      <c r="AF96" s="50">
        <v>0</v>
      </c>
      <c r="AG96" s="50">
        <v>0</v>
      </c>
      <c r="AH96" s="55">
        <v>0</v>
      </c>
      <c r="AI96" s="50">
        <v>0</v>
      </c>
      <c r="AJ96" s="50">
        <v>0</v>
      </c>
      <c r="AK96" s="64"/>
      <c r="AL96" s="55">
        <v>0</v>
      </c>
      <c r="AM96" s="55">
        <v>0</v>
      </c>
      <c r="AN96" s="64"/>
      <c r="AO96" s="58" t="s">
        <v>67</v>
      </c>
      <c r="AP96" s="64"/>
      <c r="AQ96" s="58" t="s">
        <v>68</v>
      </c>
      <c r="AR96" s="60">
        <v>43339</v>
      </c>
      <c r="AS96" s="58" t="s">
        <v>69</v>
      </c>
      <c r="AT96" s="64"/>
      <c r="AU96" s="58" t="s">
        <v>414</v>
      </c>
      <c r="AV96" s="64"/>
      <c r="AW96" s="220"/>
    </row>
    <row r="97" spans="1:49" s="221" customFormat="1" ht="228" x14ac:dyDescent="0.25">
      <c r="A97" s="47">
        <v>93</v>
      </c>
      <c r="B97" s="47" t="s">
        <v>415</v>
      </c>
      <c r="C97" s="123" t="s">
        <v>49</v>
      </c>
      <c r="D97" s="63" t="s">
        <v>50</v>
      </c>
      <c r="E97" s="47" t="s">
        <v>89</v>
      </c>
      <c r="F97" s="63" t="s">
        <v>52</v>
      </c>
      <c r="G97" s="63" t="s">
        <v>53</v>
      </c>
      <c r="H97" s="124" t="s">
        <v>54</v>
      </c>
      <c r="I97" s="63" t="s">
        <v>55</v>
      </c>
      <c r="J97" s="63" t="s">
        <v>56</v>
      </c>
      <c r="K97" s="126">
        <v>801116</v>
      </c>
      <c r="L97" s="126" t="s">
        <v>57</v>
      </c>
      <c r="M97" s="47" t="s">
        <v>58</v>
      </c>
      <c r="N97" s="47" t="s">
        <v>59</v>
      </c>
      <c r="O97" s="125" t="s">
        <v>60</v>
      </c>
      <c r="P97" s="47" t="s">
        <v>416</v>
      </c>
      <c r="Q97" s="44">
        <f>+S97/R97/W97</f>
        <v>8352203.177083333</v>
      </c>
      <c r="R97" s="47">
        <v>8</v>
      </c>
      <c r="S97" s="44">
        <f>939530000-137718495</f>
        <v>801811505</v>
      </c>
      <c r="T97" s="48" t="s">
        <v>417</v>
      </c>
      <c r="U97" s="48" t="s">
        <v>417</v>
      </c>
      <c r="V97" s="49" t="s">
        <v>64</v>
      </c>
      <c r="W97" s="48">
        <v>12</v>
      </c>
      <c r="X97" s="50" t="s">
        <v>418</v>
      </c>
      <c r="Y97" s="60">
        <v>43110</v>
      </c>
      <c r="Z97" s="44">
        <f t="shared" si="3"/>
        <v>801811505</v>
      </c>
      <c r="AA97" s="64"/>
      <c r="AB97" s="50">
        <v>541</v>
      </c>
      <c r="AC97" s="64"/>
      <c r="AD97" s="44">
        <v>801811505</v>
      </c>
      <c r="AE97" s="64"/>
      <c r="AF97" s="48" t="s">
        <v>419</v>
      </c>
      <c r="AG97" s="48" t="s">
        <v>420</v>
      </c>
      <c r="AH97" s="69">
        <v>518242340</v>
      </c>
      <c r="AI97" s="50" t="s">
        <v>421</v>
      </c>
      <c r="AJ97" s="50" t="e">
        <v>#N/A</v>
      </c>
      <c r="AK97" s="65">
        <v>137718495</v>
      </c>
      <c r="AL97" s="69">
        <v>518242340</v>
      </c>
      <c r="AM97" s="69">
        <v>518242340</v>
      </c>
      <c r="AN97" s="64"/>
      <c r="AO97" s="58" t="s">
        <v>67</v>
      </c>
      <c r="AP97" s="64"/>
      <c r="AQ97" s="58" t="s">
        <v>68</v>
      </c>
      <c r="AR97" s="60">
        <v>43339</v>
      </c>
      <c r="AS97" s="58" t="s">
        <v>69</v>
      </c>
      <c r="AT97" s="64"/>
      <c r="AU97" s="64"/>
      <c r="AV97" s="64"/>
      <c r="AW97" s="220"/>
    </row>
    <row r="98" spans="1:49" s="221" customFormat="1" ht="228" x14ac:dyDescent="0.25">
      <c r="A98" s="47">
        <v>94</v>
      </c>
      <c r="B98" s="47" t="s">
        <v>422</v>
      </c>
      <c r="C98" s="123" t="s">
        <v>49</v>
      </c>
      <c r="D98" s="63" t="s">
        <v>50</v>
      </c>
      <c r="E98" s="47" t="s">
        <v>51</v>
      </c>
      <c r="F98" s="63" t="s">
        <v>52</v>
      </c>
      <c r="G98" s="63" t="s">
        <v>53</v>
      </c>
      <c r="H98" s="124" t="s">
        <v>54</v>
      </c>
      <c r="I98" s="63" t="s">
        <v>55</v>
      </c>
      <c r="J98" s="63" t="s">
        <v>56</v>
      </c>
      <c r="K98" s="126">
        <v>801116</v>
      </c>
      <c r="L98" s="126" t="s">
        <v>57</v>
      </c>
      <c r="M98" s="47" t="s">
        <v>58</v>
      </c>
      <c r="N98" s="47" t="s">
        <v>59</v>
      </c>
      <c r="O98" s="125" t="s">
        <v>60</v>
      </c>
      <c r="P98" s="47" t="s">
        <v>416</v>
      </c>
      <c r="Q98" s="44">
        <f>+S98/W98/R98</f>
        <v>9910760.458333334</v>
      </c>
      <c r="R98" s="47">
        <v>4</v>
      </c>
      <c r="S98" s="46">
        <f>543548000-67831498</f>
        <v>475716502</v>
      </c>
      <c r="T98" s="48" t="s">
        <v>417</v>
      </c>
      <c r="U98" s="48" t="s">
        <v>417</v>
      </c>
      <c r="V98" s="49" t="s">
        <v>64</v>
      </c>
      <c r="W98" s="48">
        <v>12</v>
      </c>
      <c r="X98" s="50" t="s">
        <v>423</v>
      </c>
      <c r="Y98" s="60">
        <v>43110</v>
      </c>
      <c r="Z98" s="44">
        <f t="shared" si="3"/>
        <v>475716502</v>
      </c>
      <c r="AA98" s="64"/>
      <c r="AB98" s="50">
        <v>541</v>
      </c>
      <c r="AC98" s="64"/>
      <c r="AD98" s="44">
        <v>475716502</v>
      </c>
      <c r="AE98" s="64"/>
      <c r="AF98" s="48" t="s">
        <v>419</v>
      </c>
      <c r="AG98" s="48" t="s">
        <v>420</v>
      </c>
      <c r="AH98" s="69">
        <v>255253690</v>
      </c>
      <c r="AI98" s="50" t="s">
        <v>421</v>
      </c>
      <c r="AJ98" s="50" t="e">
        <v>#N/A</v>
      </c>
      <c r="AK98" s="65">
        <v>67831498</v>
      </c>
      <c r="AL98" s="69">
        <v>255253690</v>
      </c>
      <c r="AM98" s="69">
        <v>255253690</v>
      </c>
      <c r="AN98" s="64"/>
      <c r="AO98" s="58" t="s">
        <v>67</v>
      </c>
      <c r="AP98" s="64"/>
      <c r="AQ98" s="58" t="s">
        <v>68</v>
      </c>
      <c r="AR98" s="60">
        <v>43339</v>
      </c>
      <c r="AS98" s="58" t="s">
        <v>69</v>
      </c>
      <c r="AT98" s="64"/>
      <c r="AU98" s="64"/>
      <c r="AV98" s="64"/>
      <c r="AW98" s="220"/>
    </row>
    <row r="99" spans="1:49" s="221" customFormat="1" ht="285" x14ac:dyDescent="0.25">
      <c r="A99" s="47">
        <v>95</v>
      </c>
      <c r="B99" s="47" t="s">
        <v>424</v>
      </c>
      <c r="C99" s="47" t="s">
        <v>49</v>
      </c>
      <c r="D99" s="47" t="s">
        <v>50</v>
      </c>
      <c r="E99" s="47" t="s">
        <v>89</v>
      </c>
      <c r="F99" s="47" t="s">
        <v>425</v>
      </c>
      <c r="G99" s="47" t="s">
        <v>426</v>
      </c>
      <c r="H99" s="47" t="s">
        <v>427</v>
      </c>
      <c r="I99" s="47" t="s">
        <v>55</v>
      </c>
      <c r="J99" s="47" t="s">
        <v>56</v>
      </c>
      <c r="K99" s="63">
        <v>82101600</v>
      </c>
      <c r="L99" s="63" t="s">
        <v>57</v>
      </c>
      <c r="M99" s="63" t="s">
        <v>58</v>
      </c>
      <c r="N99" s="63" t="s">
        <v>59</v>
      </c>
      <c r="O99" s="125" t="s">
        <v>60</v>
      </c>
      <c r="P99" s="47" t="s">
        <v>428</v>
      </c>
      <c r="Q99" s="44">
        <f>+S99/W99/R99</f>
        <v>0</v>
      </c>
      <c r="R99" s="47">
        <v>1</v>
      </c>
      <c r="S99" s="44">
        <f>81250000/2-40625000</f>
        <v>0</v>
      </c>
      <c r="T99" s="48" t="s">
        <v>429</v>
      </c>
      <c r="U99" s="48" t="s">
        <v>429</v>
      </c>
      <c r="V99" s="49" t="s">
        <v>411</v>
      </c>
      <c r="W99" s="48">
        <v>8</v>
      </c>
      <c r="X99" s="50"/>
      <c r="Y99" s="64"/>
      <c r="Z99" s="44">
        <f t="shared" si="3"/>
        <v>0</v>
      </c>
      <c r="AA99" s="64"/>
      <c r="AB99" s="50">
        <v>0</v>
      </c>
      <c r="AC99" s="64"/>
      <c r="AD99" s="44">
        <v>0</v>
      </c>
      <c r="AE99" s="64"/>
      <c r="AF99" s="50">
        <v>0</v>
      </c>
      <c r="AG99" s="50">
        <v>0</v>
      </c>
      <c r="AH99" s="55">
        <v>0</v>
      </c>
      <c r="AI99" s="50">
        <v>0</v>
      </c>
      <c r="AJ99" s="50">
        <v>0</v>
      </c>
      <c r="AK99" s="64"/>
      <c r="AL99" s="55">
        <v>0</v>
      </c>
      <c r="AM99" s="55">
        <v>0</v>
      </c>
      <c r="AN99" s="64"/>
      <c r="AO99" s="58" t="s">
        <v>67</v>
      </c>
      <c r="AP99" s="64"/>
      <c r="AQ99" s="64"/>
      <c r="AR99" s="64"/>
      <c r="AS99" s="64"/>
      <c r="AT99" s="64"/>
      <c r="AU99" s="64"/>
      <c r="AV99" s="64"/>
      <c r="AW99" s="220"/>
    </row>
    <row r="100" spans="1:49" s="221" customFormat="1" ht="285" x14ac:dyDescent="0.25">
      <c r="A100" s="47">
        <v>96</v>
      </c>
      <c r="B100" s="47" t="s">
        <v>430</v>
      </c>
      <c r="C100" s="47" t="s">
        <v>49</v>
      </c>
      <c r="D100" s="47" t="s">
        <v>50</v>
      </c>
      <c r="E100" s="47" t="s">
        <v>89</v>
      </c>
      <c r="F100" s="47" t="s">
        <v>425</v>
      </c>
      <c r="G100" s="47" t="s">
        <v>426</v>
      </c>
      <c r="H100" s="47" t="s">
        <v>427</v>
      </c>
      <c r="I100" s="47" t="s">
        <v>55</v>
      </c>
      <c r="J100" s="47" t="s">
        <v>56</v>
      </c>
      <c r="K100" s="63">
        <v>82101600</v>
      </c>
      <c r="L100" s="63" t="s">
        <v>57</v>
      </c>
      <c r="M100" s="63" t="s">
        <v>58</v>
      </c>
      <c r="N100" s="63" t="s">
        <v>59</v>
      </c>
      <c r="O100" s="125" t="s">
        <v>60</v>
      </c>
      <c r="P100" s="47" t="s">
        <v>428</v>
      </c>
      <c r="Q100" s="44">
        <f>+S100/W100/R100</f>
        <v>0</v>
      </c>
      <c r="R100" s="47">
        <v>1</v>
      </c>
      <c r="S100" s="44">
        <f>81250000/2-40625000</f>
        <v>0</v>
      </c>
      <c r="T100" s="48" t="s">
        <v>429</v>
      </c>
      <c r="U100" s="48" t="s">
        <v>429</v>
      </c>
      <c r="V100" s="49" t="s">
        <v>431</v>
      </c>
      <c r="W100" s="48">
        <v>4</v>
      </c>
      <c r="X100" s="50"/>
      <c r="Y100" s="64"/>
      <c r="Z100" s="44">
        <f t="shared" si="3"/>
        <v>0</v>
      </c>
      <c r="AA100" s="64"/>
      <c r="AB100" s="50">
        <v>0</v>
      </c>
      <c r="AC100" s="64"/>
      <c r="AD100" s="44">
        <v>0</v>
      </c>
      <c r="AE100" s="64"/>
      <c r="AF100" s="50">
        <v>0</v>
      </c>
      <c r="AG100" s="50">
        <v>0</v>
      </c>
      <c r="AH100" s="55">
        <v>0</v>
      </c>
      <c r="AI100" s="50">
        <v>0</v>
      </c>
      <c r="AJ100" s="50">
        <v>0</v>
      </c>
      <c r="AK100" s="64"/>
      <c r="AL100" s="55">
        <v>0</v>
      </c>
      <c r="AM100" s="55">
        <v>0</v>
      </c>
      <c r="AN100" s="64"/>
      <c r="AO100" s="58" t="s">
        <v>67</v>
      </c>
      <c r="AP100" s="64"/>
      <c r="AQ100" s="64"/>
      <c r="AR100" s="64"/>
      <c r="AS100" s="64"/>
      <c r="AT100" s="64"/>
      <c r="AU100" s="64"/>
      <c r="AV100" s="64"/>
      <c r="AW100" s="220"/>
    </row>
    <row r="101" spans="1:49" s="221" customFormat="1" ht="285" x14ac:dyDescent="0.25">
      <c r="A101" s="47">
        <v>97</v>
      </c>
      <c r="B101" s="47" t="s">
        <v>432</v>
      </c>
      <c r="C101" s="47" t="s">
        <v>49</v>
      </c>
      <c r="D101" s="47" t="s">
        <v>50</v>
      </c>
      <c r="E101" s="47" t="s">
        <v>51</v>
      </c>
      <c r="F101" s="47" t="s">
        <v>425</v>
      </c>
      <c r="G101" s="47" t="s">
        <v>426</v>
      </c>
      <c r="H101" s="47" t="s">
        <v>427</v>
      </c>
      <c r="I101" s="47" t="s">
        <v>55</v>
      </c>
      <c r="J101" s="47" t="s">
        <v>56</v>
      </c>
      <c r="K101" s="63">
        <v>82101600</v>
      </c>
      <c r="L101" s="63" t="s">
        <v>57</v>
      </c>
      <c r="M101" s="63" t="s">
        <v>58</v>
      </c>
      <c r="N101" s="63" t="s">
        <v>59</v>
      </c>
      <c r="O101" s="125" t="s">
        <v>60</v>
      </c>
      <c r="P101" s="47" t="s">
        <v>428</v>
      </c>
      <c r="Q101" s="44">
        <f>+S101/W101/R101</f>
        <v>0</v>
      </c>
      <c r="R101" s="47">
        <v>1</v>
      </c>
      <c r="S101" s="46">
        <f>81250000/2-40625000</f>
        <v>0</v>
      </c>
      <c r="T101" s="48" t="s">
        <v>429</v>
      </c>
      <c r="U101" s="48" t="s">
        <v>429</v>
      </c>
      <c r="V101" s="49" t="s">
        <v>411</v>
      </c>
      <c r="W101" s="48">
        <v>8</v>
      </c>
      <c r="X101" s="50"/>
      <c r="Y101" s="64"/>
      <c r="Z101" s="44">
        <f t="shared" si="3"/>
        <v>0</v>
      </c>
      <c r="AA101" s="64"/>
      <c r="AB101" s="50">
        <v>0</v>
      </c>
      <c r="AC101" s="64"/>
      <c r="AD101" s="44">
        <v>0</v>
      </c>
      <c r="AE101" s="64"/>
      <c r="AF101" s="50">
        <v>0</v>
      </c>
      <c r="AG101" s="50">
        <v>0</v>
      </c>
      <c r="AH101" s="55">
        <v>0</v>
      </c>
      <c r="AI101" s="50">
        <v>0</v>
      </c>
      <c r="AJ101" s="50">
        <v>0</v>
      </c>
      <c r="AK101" s="64"/>
      <c r="AL101" s="55">
        <v>0</v>
      </c>
      <c r="AM101" s="55">
        <v>0</v>
      </c>
      <c r="AN101" s="64"/>
      <c r="AO101" s="58" t="s">
        <v>67</v>
      </c>
      <c r="AP101" s="64"/>
      <c r="AQ101" s="64"/>
      <c r="AR101" s="64"/>
      <c r="AS101" s="64"/>
      <c r="AT101" s="64"/>
      <c r="AU101" s="64"/>
      <c r="AV101" s="64"/>
      <c r="AW101" s="220"/>
    </row>
    <row r="102" spans="1:49" s="221" customFormat="1" ht="256.5" x14ac:dyDescent="0.25">
      <c r="A102" s="47">
        <v>98</v>
      </c>
      <c r="B102" s="47" t="s">
        <v>433</v>
      </c>
      <c r="C102" s="47" t="s">
        <v>49</v>
      </c>
      <c r="D102" s="47" t="s">
        <v>50</v>
      </c>
      <c r="E102" s="47" t="s">
        <v>51</v>
      </c>
      <c r="F102" s="47" t="s">
        <v>425</v>
      </c>
      <c r="G102" s="47" t="s">
        <v>426</v>
      </c>
      <c r="H102" s="47" t="s">
        <v>427</v>
      </c>
      <c r="I102" s="47" t="s">
        <v>55</v>
      </c>
      <c r="J102" s="47" t="s">
        <v>56</v>
      </c>
      <c r="K102" s="63">
        <v>82101600</v>
      </c>
      <c r="L102" s="63" t="s">
        <v>57</v>
      </c>
      <c r="M102" s="63" t="s">
        <v>58</v>
      </c>
      <c r="N102" s="63" t="s">
        <v>59</v>
      </c>
      <c r="O102" s="125" t="s">
        <v>60</v>
      </c>
      <c r="P102" s="47" t="s">
        <v>434</v>
      </c>
      <c r="Q102" s="44">
        <f>+S102/W102/R102</f>
        <v>0</v>
      </c>
      <c r="R102" s="47">
        <v>1</v>
      </c>
      <c r="S102" s="46">
        <f>81250000/2-40625000</f>
        <v>0</v>
      </c>
      <c r="T102" s="48" t="s">
        <v>429</v>
      </c>
      <c r="U102" s="48" t="s">
        <v>429</v>
      </c>
      <c r="V102" s="49" t="s">
        <v>431</v>
      </c>
      <c r="W102" s="48">
        <v>4</v>
      </c>
      <c r="X102" s="50"/>
      <c r="Y102" s="64"/>
      <c r="Z102" s="44">
        <f t="shared" si="3"/>
        <v>0</v>
      </c>
      <c r="AA102" s="64"/>
      <c r="AB102" s="50">
        <v>0</v>
      </c>
      <c r="AC102" s="64"/>
      <c r="AD102" s="44">
        <v>0</v>
      </c>
      <c r="AE102" s="64"/>
      <c r="AF102" s="50">
        <v>0</v>
      </c>
      <c r="AG102" s="50">
        <v>0</v>
      </c>
      <c r="AH102" s="55">
        <v>0</v>
      </c>
      <c r="AI102" s="50">
        <v>0</v>
      </c>
      <c r="AJ102" s="50">
        <v>0</v>
      </c>
      <c r="AK102" s="64"/>
      <c r="AL102" s="55">
        <v>0</v>
      </c>
      <c r="AM102" s="55">
        <v>0</v>
      </c>
      <c r="AN102" s="64"/>
      <c r="AO102" s="58" t="s">
        <v>67</v>
      </c>
      <c r="AP102" s="64"/>
      <c r="AQ102" s="64"/>
      <c r="AR102" s="64"/>
      <c r="AS102" s="64"/>
      <c r="AT102" s="64"/>
      <c r="AU102" s="64"/>
      <c r="AV102" s="64"/>
      <c r="AW102" s="220"/>
    </row>
    <row r="103" spans="1:49" s="221" customFormat="1" ht="313.5" x14ac:dyDescent="0.25">
      <c r="A103" s="47">
        <v>99</v>
      </c>
      <c r="B103" s="47" t="s">
        <v>435</v>
      </c>
      <c r="C103" s="47" t="s">
        <v>49</v>
      </c>
      <c r="D103" s="47" t="s">
        <v>50</v>
      </c>
      <c r="E103" s="47" t="s">
        <v>89</v>
      </c>
      <c r="F103" s="47" t="s">
        <v>436</v>
      </c>
      <c r="G103" s="47" t="s">
        <v>437</v>
      </c>
      <c r="H103" s="47" t="s">
        <v>438</v>
      </c>
      <c r="I103" s="47" t="s">
        <v>55</v>
      </c>
      <c r="J103" s="47" t="s">
        <v>56</v>
      </c>
      <c r="K103" s="47" t="s">
        <v>439</v>
      </c>
      <c r="L103" s="47"/>
      <c r="M103" s="47"/>
      <c r="N103" s="47"/>
      <c r="O103" s="125" t="s">
        <v>60</v>
      </c>
      <c r="P103" s="222" t="s">
        <v>440</v>
      </c>
      <c r="Q103" s="44">
        <f>+S103/R103</f>
        <v>56210.25</v>
      </c>
      <c r="R103" s="47">
        <v>1200</v>
      </c>
      <c r="S103" s="44">
        <f>80040000-583400-2004300-10000000</f>
        <v>67452300</v>
      </c>
      <c r="T103" s="48" t="s">
        <v>417</v>
      </c>
      <c r="U103" s="48" t="s">
        <v>417</v>
      </c>
      <c r="V103" s="49" t="s">
        <v>441</v>
      </c>
      <c r="W103" s="48">
        <v>12</v>
      </c>
      <c r="X103" s="50"/>
      <c r="Y103" s="64"/>
      <c r="Z103" s="44">
        <f t="shared" si="3"/>
        <v>67452300</v>
      </c>
      <c r="AA103" s="64"/>
      <c r="AB103" s="50" t="e">
        <v>#N/A</v>
      </c>
      <c r="AC103" s="64"/>
      <c r="AD103" s="44"/>
      <c r="AE103" s="64"/>
      <c r="AF103" s="50">
        <v>0</v>
      </c>
      <c r="AG103" s="50">
        <v>0</v>
      </c>
      <c r="AH103" s="55">
        <v>0</v>
      </c>
      <c r="AI103" s="50">
        <v>0</v>
      </c>
      <c r="AJ103" s="50">
        <v>0</v>
      </c>
      <c r="AK103" s="64"/>
      <c r="AL103" s="55">
        <v>0</v>
      </c>
      <c r="AM103" s="55">
        <v>0</v>
      </c>
      <c r="AN103" s="64"/>
      <c r="AO103" s="58" t="s">
        <v>67</v>
      </c>
      <c r="AP103" s="64"/>
      <c r="AQ103" s="64"/>
      <c r="AR103" s="64"/>
      <c r="AS103" s="64"/>
      <c r="AT103" s="64"/>
      <c r="AU103" s="64"/>
      <c r="AV103" s="64"/>
      <c r="AW103" s="220"/>
    </row>
    <row r="104" spans="1:49" s="221" customFormat="1" ht="270.75" x14ac:dyDescent="0.25">
      <c r="A104" s="47">
        <v>100</v>
      </c>
      <c r="B104" s="47" t="s">
        <v>442</v>
      </c>
      <c r="C104" s="123" t="s">
        <v>49</v>
      </c>
      <c r="D104" s="63" t="s">
        <v>50</v>
      </c>
      <c r="E104" s="47" t="s">
        <v>89</v>
      </c>
      <c r="F104" s="63" t="s">
        <v>52</v>
      </c>
      <c r="G104" s="63" t="s">
        <v>53</v>
      </c>
      <c r="H104" s="124" t="s">
        <v>54</v>
      </c>
      <c r="I104" s="63" t="s">
        <v>55</v>
      </c>
      <c r="J104" s="63" t="s">
        <v>56</v>
      </c>
      <c r="K104" s="126">
        <v>801116</v>
      </c>
      <c r="L104" s="126" t="s">
        <v>57</v>
      </c>
      <c r="M104" s="47" t="s">
        <v>58</v>
      </c>
      <c r="N104" s="47" t="s">
        <v>59</v>
      </c>
      <c r="O104" s="125" t="s">
        <v>60</v>
      </c>
      <c r="P104" s="47" t="s">
        <v>443</v>
      </c>
      <c r="Q104" s="44">
        <v>3326900</v>
      </c>
      <c r="R104" s="45">
        <v>1</v>
      </c>
      <c r="S104" s="44">
        <f>Q104*11.5</f>
        <v>38259350</v>
      </c>
      <c r="T104" s="48" t="s">
        <v>444</v>
      </c>
      <c r="U104" s="48" t="s">
        <v>445</v>
      </c>
      <c r="V104" s="49" t="s">
        <v>64</v>
      </c>
      <c r="W104" s="48">
        <v>11.5</v>
      </c>
      <c r="X104" s="50" t="s">
        <v>446</v>
      </c>
      <c r="Y104" s="51">
        <v>43115</v>
      </c>
      <c r="Z104" s="52">
        <f t="shared" si="3"/>
        <v>38259350</v>
      </c>
      <c r="AA104" s="50"/>
      <c r="AB104" s="50">
        <v>507</v>
      </c>
      <c r="AC104" s="53">
        <v>43116</v>
      </c>
      <c r="AD104" s="44">
        <v>38259350</v>
      </c>
      <c r="AE104" s="54">
        <v>0</v>
      </c>
      <c r="AF104" s="50">
        <v>437</v>
      </c>
      <c r="AG104" s="50">
        <v>43125</v>
      </c>
      <c r="AH104" s="55">
        <v>38259350</v>
      </c>
      <c r="AI104" s="50" t="s">
        <v>447</v>
      </c>
      <c r="AJ104" s="50">
        <v>310</v>
      </c>
      <c r="AK104" s="64"/>
      <c r="AL104" s="55">
        <v>38259350</v>
      </c>
      <c r="AM104" s="69">
        <v>23842783</v>
      </c>
      <c r="AN104" s="69">
        <v>14416567</v>
      </c>
      <c r="AO104" s="58" t="s">
        <v>67</v>
      </c>
      <c r="AP104" s="64"/>
      <c r="AQ104" s="64"/>
      <c r="AR104" s="64"/>
      <c r="AS104" s="64"/>
      <c r="AT104" s="64"/>
      <c r="AU104" s="64"/>
      <c r="AV104" s="64"/>
      <c r="AW104" s="220"/>
    </row>
    <row r="105" spans="1:49" s="221" customFormat="1" ht="384.75" x14ac:dyDescent="0.25">
      <c r="A105" s="64">
        <f t="shared" ref="A105:A161" si="5">A104+1</f>
        <v>101</v>
      </c>
      <c r="B105" s="47" t="s">
        <v>448</v>
      </c>
      <c r="C105" s="123" t="s">
        <v>49</v>
      </c>
      <c r="D105" s="63" t="s">
        <v>50</v>
      </c>
      <c r="E105" s="47" t="s">
        <v>89</v>
      </c>
      <c r="F105" s="63" t="s">
        <v>52</v>
      </c>
      <c r="G105" s="63" t="s">
        <v>53</v>
      </c>
      <c r="H105" s="124" t="s">
        <v>54</v>
      </c>
      <c r="I105" s="63" t="s">
        <v>55</v>
      </c>
      <c r="J105" s="63" t="s">
        <v>56</v>
      </c>
      <c r="K105" s="126">
        <v>801117</v>
      </c>
      <c r="L105" s="126" t="s">
        <v>57</v>
      </c>
      <c r="M105" s="47" t="s">
        <v>449</v>
      </c>
      <c r="N105" s="47" t="s">
        <v>450</v>
      </c>
      <c r="O105" s="125" t="s">
        <v>451</v>
      </c>
      <c r="P105" s="47" t="s">
        <v>452</v>
      </c>
      <c r="Q105" s="44">
        <v>3326900</v>
      </c>
      <c r="R105" s="45">
        <v>1</v>
      </c>
      <c r="S105" s="44">
        <v>38259350</v>
      </c>
      <c r="T105" s="48" t="s">
        <v>444</v>
      </c>
      <c r="U105" s="48" t="s">
        <v>445</v>
      </c>
      <c r="V105" s="49" t="s">
        <v>64</v>
      </c>
      <c r="W105" s="48">
        <v>11.5</v>
      </c>
      <c r="X105" s="50" t="s">
        <v>453</v>
      </c>
      <c r="Y105" s="51">
        <v>43115</v>
      </c>
      <c r="Z105" s="52">
        <f t="shared" si="3"/>
        <v>38259350</v>
      </c>
      <c r="AA105" s="50"/>
      <c r="AB105" s="50">
        <v>506</v>
      </c>
      <c r="AC105" s="53">
        <v>43116</v>
      </c>
      <c r="AD105" s="44">
        <v>38259350</v>
      </c>
      <c r="AE105" s="54">
        <v>0</v>
      </c>
      <c r="AF105" s="50">
        <v>324</v>
      </c>
      <c r="AG105" s="50">
        <v>43123</v>
      </c>
      <c r="AH105" s="55">
        <v>38259350</v>
      </c>
      <c r="AI105" s="50" t="s">
        <v>454</v>
      </c>
      <c r="AJ105" s="50">
        <v>285</v>
      </c>
      <c r="AK105" s="64"/>
      <c r="AL105" s="55">
        <v>38259350</v>
      </c>
      <c r="AM105" s="69">
        <v>24175473</v>
      </c>
      <c r="AN105" s="69">
        <v>14083877</v>
      </c>
      <c r="AO105" s="58" t="s">
        <v>67</v>
      </c>
      <c r="AP105" s="64"/>
      <c r="AQ105" s="64"/>
      <c r="AR105" s="64"/>
      <c r="AS105" s="64"/>
      <c r="AT105" s="64"/>
      <c r="AU105" s="64"/>
      <c r="AV105" s="64"/>
      <c r="AW105" s="220"/>
    </row>
    <row r="106" spans="1:49" s="221" customFormat="1" ht="270.75" x14ac:dyDescent="0.25">
      <c r="A106" s="64">
        <f t="shared" si="5"/>
        <v>102</v>
      </c>
      <c r="B106" s="47" t="s">
        <v>455</v>
      </c>
      <c r="C106" s="123" t="s">
        <v>49</v>
      </c>
      <c r="D106" s="63" t="s">
        <v>50</v>
      </c>
      <c r="E106" s="47" t="s">
        <v>51</v>
      </c>
      <c r="F106" s="63" t="s">
        <v>52</v>
      </c>
      <c r="G106" s="63" t="s">
        <v>53</v>
      </c>
      <c r="H106" s="124" t="s">
        <v>54</v>
      </c>
      <c r="I106" s="63" t="s">
        <v>55</v>
      </c>
      <c r="J106" s="63" t="s">
        <v>56</v>
      </c>
      <c r="K106" s="126">
        <v>801116</v>
      </c>
      <c r="L106" s="126" t="s">
        <v>57</v>
      </c>
      <c r="M106" s="47" t="s">
        <v>58</v>
      </c>
      <c r="N106" s="47" t="s">
        <v>59</v>
      </c>
      <c r="O106" s="125" t="s">
        <v>60</v>
      </c>
      <c r="P106" s="47" t="s">
        <v>378</v>
      </c>
      <c r="Q106" s="44">
        <v>5665000</v>
      </c>
      <c r="R106" s="45">
        <v>1</v>
      </c>
      <c r="S106" s="46">
        <v>17767500</v>
      </c>
      <c r="T106" s="48" t="s">
        <v>444</v>
      </c>
      <c r="U106" s="48" t="s">
        <v>63</v>
      </c>
      <c r="V106" s="49" t="s">
        <v>64</v>
      </c>
      <c r="W106" s="48">
        <v>11.5</v>
      </c>
      <c r="X106" s="50" t="s">
        <v>456</v>
      </c>
      <c r="Y106" s="51">
        <v>43115</v>
      </c>
      <c r="Z106" s="52">
        <f t="shared" si="3"/>
        <v>17767500</v>
      </c>
      <c r="AA106" s="50" t="s">
        <v>457</v>
      </c>
      <c r="AB106" s="50">
        <v>501</v>
      </c>
      <c r="AC106" s="53">
        <v>43116</v>
      </c>
      <c r="AD106" s="44">
        <v>17767500</v>
      </c>
      <c r="AE106" s="54">
        <v>0</v>
      </c>
      <c r="AF106" s="50">
        <v>362</v>
      </c>
      <c r="AG106" s="50">
        <v>43123</v>
      </c>
      <c r="AH106" s="55">
        <v>17767500</v>
      </c>
      <c r="AI106" s="50" t="s">
        <v>380</v>
      </c>
      <c r="AJ106" s="50">
        <v>303</v>
      </c>
      <c r="AK106" s="64"/>
      <c r="AL106" s="55">
        <v>17767500</v>
      </c>
      <c r="AM106" s="69">
        <v>17767500</v>
      </c>
      <c r="AN106" s="69">
        <v>0</v>
      </c>
      <c r="AO106" s="58" t="s">
        <v>67</v>
      </c>
      <c r="AP106" s="64"/>
      <c r="AQ106" s="64"/>
      <c r="AR106" s="64"/>
      <c r="AS106" s="64"/>
      <c r="AT106" s="64"/>
      <c r="AU106" s="64"/>
      <c r="AV106" s="64"/>
      <c r="AW106" s="220"/>
    </row>
    <row r="107" spans="1:49" s="221" customFormat="1" ht="370.5" x14ac:dyDescent="0.25">
      <c r="A107" s="64">
        <f t="shared" si="5"/>
        <v>103</v>
      </c>
      <c r="B107" s="47" t="s">
        <v>458</v>
      </c>
      <c r="C107" s="123" t="s">
        <v>49</v>
      </c>
      <c r="D107" s="63" t="s">
        <v>50</v>
      </c>
      <c r="E107" s="47" t="s">
        <v>89</v>
      </c>
      <c r="F107" s="63" t="s">
        <v>52</v>
      </c>
      <c r="G107" s="63" t="s">
        <v>53</v>
      </c>
      <c r="H107" s="124" t="s">
        <v>54</v>
      </c>
      <c r="I107" s="63" t="s">
        <v>55</v>
      </c>
      <c r="J107" s="63" t="s">
        <v>56</v>
      </c>
      <c r="K107" s="126">
        <v>801116</v>
      </c>
      <c r="L107" s="126" t="s">
        <v>57</v>
      </c>
      <c r="M107" s="47" t="s">
        <v>58</v>
      </c>
      <c r="N107" s="47" t="s">
        <v>59</v>
      </c>
      <c r="O107" s="125" t="s">
        <v>60</v>
      </c>
      <c r="P107" s="47" t="s">
        <v>459</v>
      </c>
      <c r="Q107" s="44">
        <v>2472000</v>
      </c>
      <c r="R107" s="45">
        <v>1</v>
      </c>
      <c r="S107" s="44">
        <f>27192000-7931000</f>
        <v>19261000</v>
      </c>
      <c r="T107" s="48" t="s">
        <v>444</v>
      </c>
      <c r="U107" s="48" t="s">
        <v>63</v>
      </c>
      <c r="V107" s="49" t="s">
        <v>64</v>
      </c>
      <c r="W107" s="48">
        <v>11</v>
      </c>
      <c r="X107" s="50" t="s">
        <v>460</v>
      </c>
      <c r="Y107" s="51">
        <v>43122</v>
      </c>
      <c r="Z107" s="52">
        <f t="shared" si="3"/>
        <v>19261000</v>
      </c>
      <c r="AA107" s="50" t="s">
        <v>412</v>
      </c>
      <c r="AB107" s="50">
        <v>555</v>
      </c>
      <c r="AC107" s="53">
        <v>43122</v>
      </c>
      <c r="AD107" s="44">
        <v>27192000</v>
      </c>
      <c r="AE107" s="54">
        <v>7931000</v>
      </c>
      <c r="AF107" s="50">
        <v>464</v>
      </c>
      <c r="AG107" s="50">
        <v>43126</v>
      </c>
      <c r="AH107" s="55">
        <v>19261000</v>
      </c>
      <c r="AI107" s="50" t="s">
        <v>461</v>
      </c>
      <c r="AJ107" s="50">
        <v>391</v>
      </c>
      <c r="AK107" s="54">
        <v>7931000</v>
      </c>
      <c r="AL107" s="55">
        <v>19261000</v>
      </c>
      <c r="AM107" s="69">
        <v>12373734</v>
      </c>
      <c r="AN107" s="69">
        <v>6887266</v>
      </c>
      <c r="AO107" s="58" t="s">
        <v>67</v>
      </c>
      <c r="AP107" s="64"/>
      <c r="AQ107" s="58" t="s">
        <v>68</v>
      </c>
      <c r="AR107" s="60">
        <v>43339</v>
      </c>
      <c r="AS107" s="58" t="s">
        <v>69</v>
      </c>
      <c r="AT107" s="64"/>
      <c r="AU107" s="64"/>
      <c r="AV107" s="64"/>
      <c r="AW107" s="220"/>
    </row>
    <row r="108" spans="1:49" s="221" customFormat="1" ht="213.75" x14ac:dyDescent="0.25">
      <c r="A108" s="64">
        <f t="shared" si="5"/>
        <v>104</v>
      </c>
      <c r="B108" s="47" t="s">
        <v>462</v>
      </c>
      <c r="C108" s="123" t="s">
        <v>49</v>
      </c>
      <c r="D108" s="63" t="s">
        <v>50</v>
      </c>
      <c r="E108" s="47" t="s">
        <v>89</v>
      </c>
      <c r="F108" s="63" t="s">
        <v>52</v>
      </c>
      <c r="G108" s="63" t="s">
        <v>53</v>
      </c>
      <c r="H108" s="124" t="s">
        <v>54</v>
      </c>
      <c r="I108" s="63" t="s">
        <v>55</v>
      </c>
      <c r="J108" s="63" t="s">
        <v>56</v>
      </c>
      <c r="K108" s="126">
        <v>801116</v>
      </c>
      <c r="L108" s="126" t="s">
        <v>57</v>
      </c>
      <c r="M108" s="47" t="s">
        <v>58</v>
      </c>
      <c r="N108" s="47" t="s">
        <v>59</v>
      </c>
      <c r="O108" s="125" t="s">
        <v>60</v>
      </c>
      <c r="P108" s="47" t="s">
        <v>463</v>
      </c>
      <c r="Q108" s="44">
        <v>3399000</v>
      </c>
      <c r="R108" s="45">
        <v>1</v>
      </c>
      <c r="S108" s="44">
        <v>37389000</v>
      </c>
      <c r="T108" s="48" t="s">
        <v>168</v>
      </c>
      <c r="U108" s="48" t="s">
        <v>63</v>
      </c>
      <c r="V108" s="49" t="s">
        <v>64</v>
      </c>
      <c r="W108" s="48">
        <v>11</v>
      </c>
      <c r="X108" s="50" t="s">
        <v>464</v>
      </c>
      <c r="Y108" s="51">
        <v>43122</v>
      </c>
      <c r="Z108" s="52">
        <f t="shared" si="3"/>
        <v>37389000</v>
      </c>
      <c r="AA108" s="50" t="s">
        <v>412</v>
      </c>
      <c r="AB108" s="50">
        <v>556</v>
      </c>
      <c r="AC108" s="53">
        <v>43122</v>
      </c>
      <c r="AD108" s="44">
        <v>37389000</v>
      </c>
      <c r="AE108" s="54">
        <v>0</v>
      </c>
      <c r="AF108" s="50">
        <v>475</v>
      </c>
      <c r="AG108" s="50">
        <v>43126</v>
      </c>
      <c r="AH108" s="55">
        <v>37389000</v>
      </c>
      <c r="AI108" s="50" t="s">
        <v>465</v>
      </c>
      <c r="AJ108" s="50">
        <v>401</v>
      </c>
      <c r="AK108" s="64"/>
      <c r="AL108" s="55">
        <v>37389000</v>
      </c>
      <c r="AM108" s="69">
        <v>24019600</v>
      </c>
      <c r="AN108" s="69">
        <v>13369400</v>
      </c>
      <c r="AO108" s="58" t="s">
        <v>67</v>
      </c>
      <c r="AP108" s="64"/>
      <c r="AQ108" s="64"/>
      <c r="AR108" s="64"/>
      <c r="AS108" s="64"/>
      <c r="AT108" s="64"/>
      <c r="AU108" s="64"/>
      <c r="AV108" s="64"/>
      <c r="AW108" s="220"/>
    </row>
    <row r="109" spans="1:49" s="221" customFormat="1" ht="399" x14ac:dyDescent="0.25">
      <c r="A109" s="64">
        <f t="shared" si="5"/>
        <v>105</v>
      </c>
      <c r="B109" s="47" t="s">
        <v>466</v>
      </c>
      <c r="C109" s="47" t="s">
        <v>49</v>
      </c>
      <c r="D109" s="47" t="s">
        <v>50</v>
      </c>
      <c r="E109" s="47" t="s">
        <v>51</v>
      </c>
      <c r="F109" s="47" t="s">
        <v>52</v>
      </c>
      <c r="G109" s="63" t="s">
        <v>53</v>
      </c>
      <c r="H109" s="124" t="s">
        <v>54</v>
      </c>
      <c r="I109" s="47" t="s">
        <v>55</v>
      </c>
      <c r="J109" s="47" t="s">
        <v>56</v>
      </c>
      <c r="K109" s="63">
        <v>82101600</v>
      </c>
      <c r="L109" s="63" t="s">
        <v>57</v>
      </c>
      <c r="M109" s="63" t="s">
        <v>58</v>
      </c>
      <c r="N109" s="63" t="s">
        <v>59</v>
      </c>
      <c r="O109" s="125" t="s">
        <v>60</v>
      </c>
      <c r="P109" s="47" t="s">
        <v>467</v>
      </c>
      <c r="Q109" s="44">
        <v>10000000</v>
      </c>
      <c r="R109" s="45">
        <v>1</v>
      </c>
      <c r="S109" s="46">
        <v>60000000</v>
      </c>
      <c r="T109" s="48" t="s">
        <v>62</v>
      </c>
      <c r="U109" s="48" t="s">
        <v>63</v>
      </c>
      <c r="V109" s="49" t="s">
        <v>64</v>
      </c>
      <c r="W109" s="48">
        <v>6</v>
      </c>
      <c r="X109" s="50" t="s">
        <v>468</v>
      </c>
      <c r="Y109" s="51">
        <v>43126</v>
      </c>
      <c r="Z109" s="52">
        <f t="shared" si="3"/>
        <v>60000000</v>
      </c>
      <c r="AA109" s="50" t="s">
        <v>412</v>
      </c>
      <c r="AB109" s="50">
        <v>571</v>
      </c>
      <c r="AC109" s="53">
        <v>43126</v>
      </c>
      <c r="AD109" s="44">
        <v>60000000</v>
      </c>
      <c r="AE109" s="54">
        <v>0</v>
      </c>
      <c r="AF109" s="50">
        <v>508</v>
      </c>
      <c r="AG109" s="50">
        <v>43129</v>
      </c>
      <c r="AH109" s="55">
        <v>60000000</v>
      </c>
      <c r="AI109" s="50" t="s">
        <v>469</v>
      </c>
      <c r="AJ109" s="50">
        <v>427</v>
      </c>
      <c r="AK109" s="64"/>
      <c r="AL109" s="55">
        <v>60000000</v>
      </c>
      <c r="AM109" s="69">
        <v>60000000</v>
      </c>
      <c r="AN109" s="69">
        <v>0</v>
      </c>
      <c r="AO109" s="58" t="s">
        <v>67</v>
      </c>
      <c r="AP109" s="64"/>
      <c r="AQ109" s="64"/>
      <c r="AR109" s="64"/>
      <c r="AS109" s="64"/>
      <c r="AT109" s="64"/>
      <c r="AU109" s="64"/>
      <c r="AV109" s="64"/>
      <c r="AW109" s="220"/>
    </row>
    <row r="110" spans="1:49" s="221" customFormat="1" ht="242.25" x14ac:dyDescent="0.25">
      <c r="A110" s="64">
        <f t="shared" si="5"/>
        <v>106</v>
      </c>
      <c r="B110" s="47" t="s">
        <v>470</v>
      </c>
      <c r="C110" s="47" t="s">
        <v>49</v>
      </c>
      <c r="D110" s="47" t="s">
        <v>50</v>
      </c>
      <c r="E110" s="47" t="s">
        <v>89</v>
      </c>
      <c r="F110" s="47" t="s">
        <v>52</v>
      </c>
      <c r="G110" s="63" t="s">
        <v>53</v>
      </c>
      <c r="H110" s="124" t="s">
        <v>54</v>
      </c>
      <c r="I110" s="47" t="s">
        <v>55</v>
      </c>
      <c r="J110" s="47" t="s">
        <v>56</v>
      </c>
      <c r="K110" s="63">
        <v>82101600</v>
      </c>
      <c r="L110" s="63" t="s">
        <v>57</v>
      </c>
      <c r="M110" s="63" t="s">
        <v>58</v>
      </c>
      <c r="N110" s="63" t="s">
        <v>59</v>
      </c>
      <c r="O110" s="125" t="s">
        <v>60</v>
      </c>
      <c r="P110" s="47" t="s">
        <v>471</v>
      </c>
      <c r="Q110" s="44">
        <v>3553500</v>
      </c>
      <c r="R110" s="45">
        <v>1</v>
      </c>
      <c r="S110" s="44">
        <f>Q110*11</f>
        <v>39088500</v>
      </c>
      <c r="T110" s="48" t="s">
        <v>444</v>
      </c>
      <c r="U110" s="48" t="s">
        <v>63</v>
      </c>
      <c r="V110" s="49" t="s">
        <v>64</v>
      </c>
      <c r="W110" s="48">
        <v>11</v>
      </c>
      <c r="X110" s="50" t="s">
        <v>472</v>
      </c>
      <c r="Y110" s="51">
        <v>43106</v>
      </c>
      <c r="Z110" s="52">
        <f t="shared" si="3"/>
        <v>39088500</v>
      </c>
      <c r="AA110" s="50" t="s">
        <v>412</v>
      </c>
      <c r="AB110" s="50">
        <v>588</v>
      </c>
      <c r="AC110" s="53">
        <v>43126</v>
      </c>
      <c r="AD110" s="44">
        <v>39088500</v>
      </c>
      <c r="AE110" s="54">
        <v>0</v>
      </c>
      <c r="AF110" s="50">
        <v>507</v>
      </c>
      <c r="AG110" s="50">
        <v>43126</v>
      </c>
      <c r="AH110" s="55">
        <v>39088500</v>
      </c>
      <c r="AI110" s="50" t="s">
        <v>473</v>
      </c>
      <c r="AJ110" s="50">
        <v>428</v>
      </c>
      <c r="AK110" s="64"/>
      <c r="AL110" s="55">
        <v>39088500</v>
      </c>
      <c r="AM110" s="69">
        <v>24874500</v>
      </c>
      <c r="AN110" s="69">
        <v>14214000</v>
      </c>
      <c r="AO110" s="58" t="s">
        <v>67</v>
      </c>
      <c r="AP110" s="64"/>
      <c r="AQ110" s="64"/>
      <c r="AR110" s="64"/>
      <c r="AS110" s="64"/>
      <c r="AT110" s="64"/>
      <c r="AU110" s="64"/>
      <c r="AV110" s="64"/>
      <c r="AW110" s="220"/>
    </row>
    <row r="111" spans="1:49" s="221" customFormat="1" ht="327.75" x14ac:dyDescent="0.25">
      <c r="A111" s="64">
        <f t="shared" si="5"/>
        <v>107</v>
      </c>
      <c r="B111" s="47" t="s">
        <v>474</v>
      </c>
      <c r="C111" s="47" t="s">
        <v>49</v>
      </c>
      <c r="D111" s="47" t="s">
        <v>50</v>
      </c>
      <c r="E111" s="47" t="s">
        <v>89</v>
      </c>
      <c r="F111" s="47" t="s">
        <v>436</v>
      </c>
      <c r="G111" s="47" t="s">
        <v>437</v>
      </c>
      <c r="H111" s="47" t="s">
        <v>438</v>
      </c>
      <c r="I111" s="47" t="s">
        <v>55</v>
      </c>
      <c r="J111" s="47" t="s">
        <v>56</v>
      </c>
      <c r="K111" s="47" t="s">
        <v>439</v>
      </c>
      <c r="L111" s="47"/>
      <c r="M111" s="47"/>
      <c r="N111" s="47"/>
      <c r="O111" s="125" t="s">
        <v>60</v>
      </c>
      <c r="P111" s="47" t="s">
        <v>475</v>
      </c>
      <c r="Q111" s="66">
        <v>0</v>
      </c>
      <c r="R111" s="47">
        <v>1</v>
      </c>
      <c r="S111" s="44">
        <v>583400</v>
      </c>
      <c r="T111" s="48" t="s">
        <v>417</v>
      </c>
      <c r="U111" s="47" t="s">
        <v>417</v>
      </c>
      <c r="V111" s="49" t="s">
        <v>64</v>
      </c>
      <c r="W111" s="50" t="s">
        <v>439</v>
      </c>
      <c r="X111" s="50" t="s">
        <v>476</v>
      </c>
      <c r="Y111" s="60">
        <v>43139</v>
      </c>
      <c r="Z111" s="44">
        <f>S111</f>
        <v>583400</v>
      </c>
      <c r="AA111" s="66" t="s">
        <v>435</v>
      </c>
      <c r="AB111" s="50">
        <v>640</v>
      </c>
      <c r="AC111" s="60">
        <v>43140</v>
      </c>
      <c r="AD111" s="44">
        <v>583400</v>
      </c>
      <c r="AE111" s="52">
        <v>47200</v>
      </c>
      <c r="AF111" s="48" t="s">
        <v>477</v>
      </c>
      <c r="AG111" s="48" t="s">
        <v>478</v>
      </c>
      <c r="AH111" s="55">
        <v>536200</v>
      </c>
      <c r="AI111" s="48" t="s">
        <v>479</v>
      </c>
      <c r="AJ111" s="50">
        <v>11127</v>
      </c>
      <c r="AK111" s="64"/>
      <c r="AL111" s="55">
        <v>536200</v>
      </c>
      <c r="AM111" s="55">
        <v>536200</v>
      </c>
      <c r="AN111" s="70">
        <f t="shared" ref="AN111:AN112" si="6">AL111-AM111</f>
        <v>0</v>
      </c>
      <c r="AO111" s="58" t="s">
        <v>67</v>
      </c>
      <c r="AP111" s="70"/>
      <c r="AQ111" s="64" t="s">
        <v>480</v>
      </c>
      <c r="AR111" s="64"/>
      <c r="AS111" s="64"/>
      <c r="AT111" s="64"/>
      <c r="AU111" s="64"/>
      <c r="AV111" s="64"/>
      <c r="AW111" s="220"/>
    </row>
    <row r="112" spans="1:49" s="221" customFormat="1" ht="327.75" x14ac:dyDescent="0.25">
      <c r="A112" s="64">
        <f t="shared" si="5"/>
        <v>108</v>
      </c>
      <c r="B112" s="47" t="s">
        <v>481</v>
      </c>
      <c r="C112" s="47" t="s">
        <v>49</v>
      </c>
      <c r="D112" s="47" t="s">
        <v>50</v>
      </c>
      <c r="E112" s="47" t="s">
        <v>89</v>
      </c>
      <c r="F112" s="47" t="s">
        <v>436</v>
      </c>
      <c r="G112" s="47" t="s">
        <v>437</v>
      </c>
      <c r="H112" s="47" t="s">
        <v>438</v>
      </c>
      <c r="I112" s="47" t="s">
        <v>55</v>
      </c>
      <c r="J112" s="47" t="s">
        <v>56</v>
      </c>
      <c r="K112" s="47" t="s">
        <v>439</v>
      </c>
      <c r="L112" s="47"/>
      <c r="M112" s="47"/>
      <c r="N112" s="47"/>
      <c r="O112" s="125" t="s">
        <v>60</v>
      </c>
      <c r="P112" s="47" t="s">
        <v>475</v>
      </c>
      <c r="Q112" s="64"/>
      <c r="R112" s="64"/>
      <c r="S112" s="64"/>
      <c r="T112" s="48" t="s">
        <v>417</v>
      </c>
      <c r="U112" s="47" t="s">
        <v>417</v>
      </c>
      <c r="V112" s="49" t="s">
        <v>64</v>
      </c>
      <c r="W112" s="50" t="s">
        <v>439</v>
      </c>
      <c r="X112" s="50" t="s">
        <v>476</v>
      </c>
      <c r="Y112" s="60">
        <v>43139</v>
      </c>
      <c r="Z112" s="64"/>
      <c r="AA112" s="66" t="s">
        <v>435</v>
      </c>
      <c r="AB112" s="50">
        <v>640</v>
      </c>
      <c r="AC112" s="60">
        <v>43140</v>
      </c>
      <c r="AD112" s="52">
        <v>0</v>
      </c>
      <c r="AE112" s="64">
        <v>0</v>
      </c>
      <c r="AF112" s="48" t="s">
        <v>477</v>
      </c>
      <c r="AG112" s="48" t="s">
        <v>478</v>
      </c>
      <c r="AH112" s="55">
        <v>0</v>
      </c>
      <c r="AI112" s="48" t="s">
        <v>479</v>
      </c>
      <c r="AJ112" s="50">
        <v>11127</v>
      </c>
      <c r="AK112" s="64"/>
      <c r="AL112" s="55">
        <v>0</v>
      </c>
      <c r="AM112" s="55">
        <v>0</v>
      </c>
      <c r="AN112" s="70">
        <f t="shared" si="6"/>
        <v>0</v>
      </c>
      <c r="AO112" s="58" t="s">
        <v>67</v>
      </c>
      <c r="AP112" s="64"/>
      <c r="AQ112" s="64" t="s">
        <v>480</v>
      </c>
      <c r="AR112" s="64"/>
      <c r="AS112" s="64"/>
      <c r="AT112" s="64"/>
      <c r="AU112" s="64"/>
      <c r="AV112" s="64"/>
      <c r="AW112" s="220"/>
    </row>
    <row r="113" spans="1:49" s="221" customFormat="1" ht="128.25" x14ac:dyDescent="0.25">
      <c r="A113" s="64">
        <f t="shared" si="5"/>
        <v>109</v>
      </c>
      <c r="B113" s="47" t="s">
        <v>482</v>
      </c>
      <c r="C113" s="123" t="s">
        <v>49</v>
      </c>
      <c r="D113" s="63" t="s">
        <v>50</v>
      </c>
      <c r="E113" s="47" t="s">
        <v>89</v>
      </c>
      <c r="F113" s="63" t="s">
        <v>52</v>
      </c>
      <c r="G113" s="63" t="s">
        <v>53</v>
      </c>
      <c r="H113" s="63" t="s">
        <v>54</v>
      </c>
      <c r="I113" s="63" t="s">
        <v>55</v>
      </c>
      <c r="J113" s="63" t="s">
        <v>56</v>
      </c>
      <c r="K113" s="63">
        <v>801116</v>
      </c>
      <c r="L113" s="126" t="s">
        <v>57</v>
      </c>
      <c r="M113" s="47" t="s">
        <v>58</v>
      </c>
      <c r="N113" s="47" t="s">
        <v>59</v>
      </c>
      <c r="O113" s="125" t="s">
        <v>60</v>
      </c>
      <c r="P113" s="47" t="s">
        <v>483</v>
      </c>
      <c r="Q113" s="50" t="s">
        <v>439</v>
      </c>
      <c r="R113" s="50" t="s">
        <v>439</v>
      </c>
      <c r="S113" s="44">
        <v>30000000</v>
      </c>
      <c r="T113" s="48" t="s">
        <v>417</v>
      </c>
      <c r="U113" s="47" t="s">
        <v>417</v>
      </c>
      <c r="V113" s="49" t="s">
        <v>441</v>
      </c>
      <c r="W113" s="48">
        <v>6</v>
      </c>
      <c r="X113" s="64"/>
      <c r="Y113" s="64"/>
      <c r="Z113" s="64"/>
      <c r="AA113" s="64"/>
      <c r="AB113" s="50">
        <v>0</v>
      </c>
      <c r="AC113" s="64"/>
      <c r="AD113" s="52">
        <v>0</v>
      </c>
      <c r="AE113" s="64"/>
      <c r="AF113" s="50">
        <v>0</v>
      </c>
      <c r="AG113" s="50">
        <v>0</v>
      </c>
      <c r="AH113" s="55">
        <v>0</v>
      </c>
      <c r="AI113" s="50">
        <v>0</v>
      </c>
      <c r="AJ113" s="50">
        <v>0</v>
      </c>
      <c r="AK113" s="64"/>
      <c r="AL113" s="55">
        <v>0</v>
      </c>
      <c r="AM113" s="55">
        <v>0</v>
      </c>
      <c r="AN113" s="64"/>
      <c r="AO113" s="58" t="s">
        <v>67</v>
      </c>
      <c r="AP113" s="64"/>
      <c r="AQ113" s="64"/>
      <c r="AR113" s="64"/>
      <c r="AS113" s="64"/>
      <c r="AT113" s="64"/>
      <c r="AU113" s="64"/>
      <c r="AV113" s="64"/>
      <c r="AW113" s="220"/>
    </row>
    <row r="114" spans="1:49" s="221" customFormat="1" ht="213.75" x14ac:dyDescent="0.25">
      <c r="A114" s="64">
        <f t="shared" si="5"/>
        <v>110</v>
      </c>
      <c r="B114" s="47" t="s">
        <v>484</v>
      </c>
      <c r="C114" s="123" t="s">
        <v>49</v>
      </c>
      <c r="D114" s="63" t="s">
        <v>50</v>
      </c>
      <c r="E114" s="47" t="s">
        <v>51</v>
      </c>
      <c r="F114" s="63" t="s">
        <v>425</v>
      </c>
      <c r="G114" s="63" t="s">
        <v>485</v>
      </c>
      <c r="H114" s="63" t="s">
        <v>486</v>
      </c>
      <c r="I114" s="63" t="s">
        <v>55</v>
      </c>
      <c r="J114" s="63" t="s">
        <v>56</v>
      </c>
      <c r="K114" s="63">
        <v>84131501</v>
      </c>
      <c r="L114" s="126" t="s">
        <v>57</v>
      </c>
      <c r="M114" s="47" t="s">
        <v>58</v>
      </c>
      <c r="N114" s="47" t="s">
        <v>59</v>
      </c>
      <c r="O114" s="125" t="s">
        <v>60</v>
      </c>
      <c r="P114" s="47" t="s">
        <v>487</v>
      </c>
      <c r="Q114" s="50" t="s">
        <v>439</v>
      </c>
      <c r="R114" s="50" t="s">
        <v>439</v>
      </c>
      <c r="S114" s="67">
        <f>30000000-12000000-14056087-1859356-929678</f>
        <v>1154879</v>
      </c>
      <c r="T114" s="48" t="s">
        <v>417</v>
      </c>
      <c r="U114" s="47" t="s">
        <v>417</v>
      </c>
      <c r="V114" s="49" t="s">
        <v>441</v>
      </c>
      <c r="W114" s="48">
        <v>6</v>
      </c>
      <c r="X114" s="64"/>
      <c r="Y114" s="64"/>
      <c r="Z114" s="64"/>
      <c r="AA114" s="64"/>
      <c r="AB114" s="50">
        <v>0</v>
      </c>
      <c r="AC114" s="64"/>
      <c r="AD114" s="52">
        <v>0</v>
      </c>
      <c r="AE114" s="64"/>
      <c r="AF114" s="50">
        <v>0</v>
      </c>
      <c r="AG114" s="50">
        <v>0</v>
      </c>
      <c r="AH114" s="55">
        <v>0</v>
      </c>
      <c r="AI114" s="50">
        <v>0</v>
      </c>
      <c r="AJ114" s="50">
        <v>0</v>
      </c>
      <c r="AK114" s="64"/>
      <c r="AL114" s="55">
        <v>0</v>
      </c>
      <c r="AM114" s="55">
        <v>0</v>
      </c>
      <c r="AN114" s="64"/>
      <c r="AO114" s="58" t="s">
        <v>67</v>
      </c>
      <c r="AP114" s="64"/>
      <c r="AQ114" s="64"/>
      <c r="AR114" s="64"/>
      <c r="AS114" s="64"/>
      <c r="AT114" s="64"/>
      <c r="AU114" s="64"/>
      <c r="AV114" s="64"/>
      <c r="AW114" s="220"/>
    </row>
    <row r="115" spans="1:49" s="221" customFormat="1" ht="213.75" x14ac:dyDescent="0.25">
      <c r="A115" s="64">
        <f t="shared" si="5"/>
        <v>111</v>
      </c>
      <c r="B115" s="47" t="s">
        <v>488</v>
      </c>
      <c r="C115" s="123" t="s">
        <v>49</v>
      </c>
      <c r="D115" s="63" t="s">
        <v>50</v>
      </c>
      <c r="E115" s="63" t="s">
        <v>390</v>
      </c>
      <c r="F115" s="63" t="s">
        <v>425</v>
      </c>
      <c r="G115" s="63" t="s">
        <v>485</v>
      </c>
      <c r="H115" s="63" t="s">
        <v>486</v>
      </c>
      <c r="I115" s="63" t="s">
        <v>55</v>
      </c>
      <c r="J115" s="63" t="s">
        <v>56</v>
      </c>
      <c r="K115" s="63">
        <v>84131501</v>
      </c>
      <c r="L115" s="126" t="s">
        <v>57</v>
      </c>
      <c r="M115" s="47" t="s">
        <v>58</v>
      </c>
      <c r="N115" s="47" t="s">
        <v>59</v>
      </c>
      <c r="O115" s="125" t="s">
        <v>60</v>
      </c>
      <c r="P115" s="47" t="s">
        <v>489</v>
      </c>
      <c r="Q115" s="50" t="s">
        <v>439</v>
      </c>
      <c r="R115" s="50" t="s">
        <v>439</v>
      </c>
      <c r="S115" s="44">
        <f>30000000-300000-4000000-119276-1047000-95119-9098844-600000-8737140</f>
        <v>6002621</v>
      </c>
      <c r="T115" s="48" t="s">
        <v>417</v>
      </c>
      <c r="U115" s="47" t="s">
        <v>417</v>
      </c>
      <c r="V115" s="49" t="s">
        <v>441</v>
      </c>
      <c r="W115" s="48">
        <v>6</v>
      </c>
      <c r="X115" s="64"/>
      <c r="Y115" s="64"/>
      <c r="Z115" s="64"/>
      <c r="AA115" s="64"/>
      <c r="AB115" s="50">
        <v>0</v>
      </c>
      <c r="AC115" s="64"/>
      <c r="AD115" s="52">
        <v>0</v>
      </c>
      <c r="AE115" s="64"/>
      <c r="AF115" s="50">
        <v>0</v>
      </c>
      <c r="AG115" s="50">
        <v>0</v>
      </c>
      <c r="AH115" s="55">
        <v>0</v>
      </c>
      <c r="AI115" s="50">
        <v>0</v>
      </c>
      <c r="AJ115" s="50">
        <v>0</v>
      </c>
      <c r="AK115" s="64"/>
      <c r="AL115" s="55">
        <v>0</v>
      </c>
      <c r="AM115" s="55">
        <v>0</v>
      </c>
      <c r="AN115" s="64"/>
      <c r="AO115" s="58" t="s">
        <v>67</v>
      </c>
      <c r="AP115" s="64"/>
      <c r="AQ115" s="64"/>
      <c r="AR115" s="64"/>
      <c r="AS115" s="64"/>
      <c r="AT115" s="64"/>
      <c r="AU115" s="64"/>
      <c r="AV115" s="64"/>
      <c r="AW115" s="220"/>
    </row>
    <row r="116" spans="1:49" s="221" customFormat="1" ht="409.5" x14ac:dyDescent="0.25">
      <c r="A116" s="64">
        <f t="shared" si="5"/>
        <v>112</v>
      </c>
      <c r="B116" s="47" t="s">
        <v>490</v>
      </c>
      <c r="C116" s="123" t="s">
        <v>49</v>
      </c>
      <c r="D116" s="63" t="s">
        <v>50</v>
      </c>
      <c r="E116" s="47" t="s">
        <v>51</v>
      </c>
      <c r="F116" s="63" t="s">
        <v>425</v>
      </c>
      <c r="G116" s="63" t="s">
        <v>485</v>
      </c>
      <c r="H116" s="63" t="s">
        <v>486</v>
      </c>
      <c r="I116" s="63" t="s">
        <v>55</v>
      </c>
      <c r="J116" s="63" t="s">
        <v>56</v>
      </c>
      <c r="K116" s="63">
        <v>84131501</v>
      </c>
      <c r="L116" s="126" t="s">
        <v>57</v>
      </c>
      <c r="M116" s="47" t="s">
        <v>58</v>
      </c>
      <c r="N116" s="47" t="s">
        <v>59</v>
      </c>
      <c r="O116" s="125" t="s">
        <v>60</v>
      </c>
      <c r="P116" s="47" t="s">
        <v>491</v>
      </c>
      <c r="Q116" s="50">
        <v>0</v>
      </c>
      <c r="R116" s="50">
        <v>1</v>
      </c>
      <c r="S116" s="44">
        <v>12000000</v>
      </c>
      <c r="T116" s="48" t="s">
        <v>492</v>
      </c>
      <c r="U116" s="47" t="s">
        <v>492</v>
      </c>
      <c r="V116" s="51" t="s">
        <v>493</v>
      </c>
      <c r="W116" s="50" t="s">
        <v>439</v>
      </c>
      <c r="X116" s="50" t="s">
        <v>494</v>
      </c>
      <c r="Y116" s="51">
        <v>43153</v>
      </c>
      <c r="Z116" s="68">
        <f>S116</f>
        <v>12000000</v>
      </c>
      <c r="AA116" s="64">
        <v>110</v>
      </c>
      <c r="AB116" s="50">
        <v>665</v>
      </c>
      <c r="AC116" s="60">
        <v>43159</v>
      </c>
      <c r="AD116" s="52">
        <v>26056087</v>
      </c>
      <c r="AE116" s="64"/>
      <c r="AF116" s="50">
        <v>1475</v>
      </c>
      <c r="AG116" s="60">
        <v>43159</v>
      </c>
      <c r="AH116" s="69">
        <v>26056087</v>
      </c>
      <c r="AI116" s="64" t="s">
        <v>495</v>
      </c>
      <c r="AJ116" s="50">
        <v>454</v>
      </c>
      <c r="AK116" s="64"/>
      <c r="AL116" s="69">
        <v>26056087</v>
      </c>
      <c r="AM116" s="69">
        <v>26056087</v>
      </c>
      <c r="AN116" s="70">
        <f>AL116-AM116</f>
        <v>0</v>
      </c>
      <c r="AO116" s="58" t="s">
        <v>67</v>
      </c>
      <c r="AP116" s="64"/>
      <c r="AQ116" s="64" t="s">
        <v>496</v>
      </c>
      <c r="AR116" s="64"/>
      <c r="AS116" s="64"/>
      <c r="AT116" s="64"/>
      <c r="AU116" s="64"/>
      <c r="AV116" s="64"/>
      <c r="AW116" s="220"/>
    </row>
    <row r="117" spans="1:49" s="221" customFormat="1" ht="409.5" x14ac:dyDescent="0.25">
      <c r="A117" s="64">
        <f t="shared" si="5"/>
        <v>113</v>
      </c>
      <c r="B117" s="47" t="s">
        <v>497</v>
      </c>
      <c r="C117" s="123" t="s">
        <v>49</v>
      </c>
      <c r="D117" s="63" t="s">
        <v>50</v>
      </c>
      <c r="E117" s="47" t="s">
        <v>51</v>
      </c>
      <c r="F117" s="63" t="s">
        <v>425</v>
      </c>
      <c r="G117" s="63" t="s">
        <v>485</v>
      </c>
      <c r="H117" s="63" t="s">
        <v>486</v>
      </c>
      <c r="I117" s="63" t="s">
        <v>55</v>
      </c>
      <c r="J117" s="63" t="s">
        <v>56</v>
      </c>
      <c r="K117" s="63">
        <v>84131501</v>
      </c>
      <c r="L117" s="126" t="s">
        <v>57</v>
      </c>
      <c r="M117" s="47" t="s">
        <v>58</v>
      </c>
      <c r="N117" s="47" t="s">
        <v>59</v>
      </c>
      <c r="O117" s="125" t="s">
        <v>60</v>
      </c>
      <c r="P117" s="47" t="s">
        <v>491</v>
      </c>
      <c r="Q117" s="50">
        <v>0</v>
      </c>
      <c r="R117" s="50">
        <v>1</v>
      </c>
      <c r="S117" s="44">
        <v>14056087</v>
      </c>
      <c r="T117" s="48" t="s">
        <v>492</v>
      </c>
      <c r="U117" s="47" t="s">
        <v>492</v>
      </c>
      <c r="V117" s="49" t="s">
        <v>493</v>
      </c>
      <c r="W117" s="50" t="s">
        <v>439</v>
      </c>
      <c r="X117" s="50" t="s">
        <v>498</v>
      </c>
      <c r="Y117" s="50">
        <v>43159</v>
      </c>
      <c r="Z117" s="68">
        <f>S117</f>
        <v>14056087</v>
      </c>
      <c r="AA117" s="64"/>
      <c r="AB117" s="50">
        <v>665</v>
      </c>
      <c r="AC117" s="60">
        <v>43159</v>
      </c>
      <c r="AD117" s="52">
        <v>0</v>
      </c>
      <c r="AE117" s="64"/>
      <c r="AF117" s="50">
        <v>1475</v>
      </c>
      <c r="AG117" s="60">
        <v>43159</v>
      </c>
      <c r="AH117" s="55">
        <v>0</v>
      </c>
      <c r="AI117" s="64" t="s">
        <v>495</v>
      </c>
      <c r="AJ117" s="50">
        <v>454</v>
      </c>
      <c r="AK117" s="64"/>
      <c r="AL117" s="55">
        <v>0</v>
      </c>
      <c r="AM117" s="55">
        <v>0</v>
      </c>
      <c r="AN117" s="70"/>
      <c r="AO117" s="58" t="s">
        <v>67</v>
      </c>
      <c r="AP117" s="64"/>
      <c r="AQ117" s="64" t="s">
        <v>496</v>
      </c>
      <c r="AR117" s="58" t="s">
        <v>499</v>
      </c>
      <c r="AS117" s="64"/>
      <c r="AT117" s="64"/>
      <c r="AU117" s="64"/>
      <c r="AV117" s="64"/>
      <c r="AW117" s="220"/>
    </row>
    <row r="118" spans="1:49" s="221" customFormat="1" ht="128.25" x14ac:dyDescent="0.25">
      <c r="A118" s="64">
        <f t="shared" si="5"/>
        <v>114</v>
      </c>
      <c r="B118" s="47" t="s">
        <v>500</v>
      </c>
      <c r="C118" s="123" t="s">
        <v>49</v>
      </c>
      <c r="D118" s="63" t="s">
        <v>50</v>
      </c>
      <c r="E118" s="47" t="s">
        <v>89</v>
      </c>
      <c r="F118" s="63" t="s">
        <v>52</v>
      </c>
      <c r="G118" s="63" t="s">
        <v>53</v>
      </c>
      <c r="H118" s="124" t="s">
        <v>54</v>
      </c>
      <c r="I118" s="63" t="s">
        <v>55</v>
      </c>
      <c r="J118" s="63" t="s">
        <v>56</v>
      </c>
      <c r="K118" s="126">
        <v>801116</v>
      </c>
      <c r="L118" s="126" t="s">
        <v>57</v>
      </c>
      <c r="M118" s="47" t="s">
        <v>58</v>
      </c>
      <c r="N118" s="47" t="s">
        <v>59</v>
      </c>
      <c r="O118" s="125" t="s">
        <v>60</v>
      </c>
      <c r="P118" s="47" t="s">
        <v>501</v>
      </c>
      <c r="Q118" s="64"/>
      <c r="R118" s="64"/>
      <c r="S118" s="70"/>
      <c r="T118" s="64"/>
      <c r="U118" s="47"/>
      <c r="V118" s="64"/>
      <c r="W118" s="64"/>
      <c r="X118" s="64"/>
      <c r="Y118" s="64"/>
      <c r="Z118" s="64"/>
      <c r="AA118" s="64"/>
      <c r="AB118" s="50">
        <v>0</v>
      </c>
      <c r="AC118" s="64"/>
      <c r="AD118" s="52"/>
      <c r="AE118" s="64"/>
      <c r="AF118" s="50">
        <v>0</v>
      </c>
      <c r="AG118" s="50">
        <v>0</v>
      </c>
      <c r="AH118" s="55">
        <v>0</v>
      </c>
      <c r="AI118" s="50">
        <v>0</v>
      </c>
      <c r="AJ118" s="50">
        <v>0</v>
      </c>
      <c r="AK118" s="64"/>
      <c r="AL118" s="55">
        <v>0</v>
      </c>
      <c r="AM118" s="55">
        <v>0</v>
      </c>
      <c r="AN118" s="71">
        <f>AL118+AL119-AM118-AM119</f>
        <v>0</v>
      </c>
      <c r="AO118" s="58" t="s">
        <v>67</v>
      </c>
      <c r="AP118" s="64"/>
      <c r="AQ118" s="64"/>
      <c r="AR118" s="64"/>
      <c r="AS118" s="64"/>
      <c r="AT118" s="64"/>
      <c r="AU118" s="64"/>
      <c r="AV118" s="64"/>
      <c r="AW118" s="220"/>
    </row>
    <row r="119" spans="1:49" s="221" customFormat="1" ht="128.25" x14ac:dyDescent="0.25">
      <c r="A119" s="64">
        <f t="shared" si="5"/>
        <v>115</v>
      </c>
      <c r="B119" s="47" t="s">
        <v>502</v>
      </c>
      <c r="C119" s="123" t="s">
        <v>49</v>
      </c>
      <c r="D119" s="63" t="s">
        <v>50</v>
      </c>
      <c r="E119" s="47" t="s">
        <v>51</v>
      </c>
      <c r="F119" s="63" t="s">
        <v>52</v>
      </c>
      <c r="G119" s="63" t="s">
        <v>53</v>
      </c>
      <c r="H119" s="124" t="s">
        <v>54</v>
      </c>
      <c r="I119" s="63" t="s">
        <v>55</v>
      </c>
      <c r="J119" s="63" t="s">
        <v>56</v>
      </c>
      <c r="K119" s="126">
        <v>801116</v>
      </c>
      <c r="L119" s="126" t="s">
        <v>57</v>
      </c>
      <c r="M119" s="47" t="s">
        <v>58</v>
      </c>
      <c r="N119" s="47" t="s">
        <v>59</v>
      </c>
      <c r="O119" s="125" t="s">
        <v>60</v>
      </c>
      <c r="P119" s="47" t="s">
        <v>501</v>
      </c>
      <c r="Q119" s="64"/>
      <c r="R119" s="64"/>
      <c r="S119" s="70"/>
      <c r="T119" s="64"/>
      <c r="U119" s="47"/>
      <c r="V119" s="64"/>
      <c r="W119" s="64"/>
      <c r="X119" s="64"/>
      <c r="Y119" s="64"/>
      <c r="Z119" s="64"/>
      <c r="AA119" s="64"/>
      <c r="AB119" s="50">
        <v>0</v>
      </c>
      <c r="AC119" s="64"/>
      <c r="AD119" s="52"/>
      <c r="AE119" s="64"/>
      <c r="AF119" s="50">
        <v>0</v>
      </c>
      <c r="AG119" s="50">
        <v>0</v>
      </c>
      <c r="AH119" s="55">
        <v>0</v>
      </c>
      <c r="AI119" s="50">
        <v>0</v>
      </c>
      <c r="AJ119" s="50">
        <v>0</v>
      </c>
      <c r="AK119" s="64"/>
      <c r="AL119" s="55">
        <v>0</v>
      </c>
      <c r="AM119" s="55">
        <v>0</v>
      </c>
      <c r="AN119" s="64"/>
      <c r="AO119" s="58" t="s">
        <v>67</v>
      </c>
      <c r="AP119" s="64"/>
      <c r="AQ119" s="64"/>
      <c r="AR119" s="64"/>
      <c r="AS119" s="64"/>
      <c r="AT119" s="64"/>
      <c r="AU119" s="64"/>
      <c r="AV119" s="64"/>
      <c r="AW119" s="220"/>
    </row>
    <row r="120" spans="1:49" s="221" customFormat="1" ht="399" x14ac:dyDescent="0.25">
      <c r="A120" s="64">
        <f t="shared" si="5"/>
        <v>116</v>
      </c>
      <c r="B120" s="47" t="s">
        <v>503</v>
      </c>
      <c r="C120" s="123" t="s">
        <v>49</v>
      </c>
      <c r="D120" s="63" t="s">
        <v>50</v>
      </c>
      <c r="E120" s="63" t="s">
        <v>390</v>
      </c>
      <c r="F120" s="63" t="s">
        <v>425</v>
      </c>
      <c r="G120" s="63" t="s">
        <v>485</v>
      </c>
      <c r="H120" s="63" t="s">
        <v>486</v>
      </c>
      <c r="I120" s="63" t="s">
        <v>55</v>
      </c>
      <c r="J120" s="63" t="s">
        <v>56</v>
      </c>
      <c r="K120" s="63">
        <v>84131501</v>
      </c>
      <c r="L120" s="126" t="s">
        <v>57</v>
      </c>
      <c r="M120" s="47" t="s">
        <v>58</v>
      </c>
      <c r="N120" s="47" t="s">
        <v>59</v>
      </c>
      <c r="O120" s="125" t="s">
        <v>60</v>
      </c>
      <c r="P120" s="47" t="s">
        <v>504</v>
      </c>
      <c r="Q120" s="64"/>
      <c r="R120" s="64">
        <v>1</v>
      </c>
      <c r="S120" s="72">
        <v>300000</v>
      </c>
      <c r="T120" s="48" t="s">
        <v>505</v>
      </c>
      <c r="U120" s="48" t="s">
        <v>505</v>
      </c>
      <c r="V120" s="49">
        <v>43165</v>
      </c>
      <c r="W120" s="48" t="s">
        <v>439</v>
      </c>
      <c r="X120" s="48" t="s">
        <v>506</v>
      </c>
      <c r="Y120" s="49">
        <v>43164</v>
      </c>
      <c r="Z120" s="72">
        <v>300000</v>
      </c>
      <c r="AA120" s="50" t="s">
        <v>488</v>
      </c>
      <c r="AB120" s="50">
        <v>684</v>
      </c>
      <c r="AC120" s="60">
        <v>43165</v>
      </c>
      <c r="AD120" s="52">
        <v>300000</v>
      </c>
      <c r="AE120" s="64"/>
      <c r="AF120" s="50">
        <v>1569</v>
      </c>
      <c r="AG120" s="50">
        <v>43173</v>
      </c>
      <c r="AH120" s="55">
        <v>300000</v>
      </c>
      <c r="AI120" s="50" t="s">
        <v>507</v>
      </c>
      <c r="AJ120" s="50">
        <v>1526</v>
      </c>
      <c r="AK120" s="64"/>
      <c r="AL120" s="55">
        <v>300000</v>
      </c>
      <c r="AM120" s="69">
        <v>300000</v>
      </c>
      <c r="AN120" s="69">
        <v>0</v>
      </c>
      <c r="AO120" s="58" t="s">
        <v>67</v>
      </c>
      <c r="AP120" s="64"/>
      <c r="AQ120" s="64"/>
      <c r="AR120" s="64"/>
      <c r="AS120" s="64"/>
      <c r="AT120" s="64"/>
      <c r="AU120" s="64"/>
      <c r="AV120" s="64"/>
      <c r="AW120" s="220"/>
    </row>
    <row r="121" spans="1:49" s="221" customFormat="1" ht="299.25" x14ac:dyDescent="0.25">
      <c r="A121" s="64">
        <f t="shared" si="5"/>
        <v>117</v>
      </c>
      <c r="B121" s="47" t="s">
        <v>508</v>
      </c>
      <c r="C121" s="123" t="s">
        <v>49</v>
      </c>
      <c r="D121" s="63" t="s">
        <v>50</v>
      </c>
      <c r="E121" s="47" t="s">
        <v>51</v>
      </c>
      <c r="F121" s="63" t="s">
        <v>52</v>
      </c>
      <c r="G121" s="63" t="s">
        <v>53</v>
      </c>
      <c r="H121" s="124" t="s">
        <v>54</v>
      </c>
      <c r="I121" s="63" t="s">
        <v>55</v>
      </c>
      <c r="J121" s="63" t="s">
        <v>56</v>
      </c>
      <c r="K121" s="126">
        <v>801116</v>
      </c>
      <c r="L121" s="126" t="s">
        <v>57</v>
      </c>
      <c r="M121" s="47" t="s">
        <v>58</v>
      </c>
      <c r="N121" s="47" t="s">
        <v>59</v>
      </c>
      <c r="O121" s="125" t="s">
        <v>60</v>
      </c>
      <c r="P121" s="47" t="s">
        <v>509</v>
      </c>
      <c r="Q121" s="72">
        <v>11611000</v>
      </c>
      <c r="R121" s="50">
        <v>1</v>
      </c>
      <c r="S121" s="44">
        <v>11611000</v>
      </c>
      <c r="T121" s="64"/>
      <c r="U121" s="47" t="s">
        <v>63</v>
      </c>
      <c r="V121" s="51">
        <v>43165</v>
      </c>
      <c r="W121" s="50" t="s">
        <v>439</v>
      </c>
      <c r="X121" s="50" t="s">
        <v>510</v>
      </c>
      <c r="Y121" s="51">
        <v>43164</v>
      </c>
      <c r="Z121" s="68">
        <f>S121</f>
        <v>11611000</v>
      </c>
      <c r="AA121" s="50" t="s">
        <v>490</v>
      </c>
      <c r="AB121" s="50">
        <v>683</v>
      </c>
      <c r="AC121" s="60">
        <v>43165</v>
      </c>
      <c r="AD121" s="52">
        <v>11611000</v>
      </c>
      <c r="AE121" s="64"/>
      <c r="AF121" s="48" t="s">
        <v>511</v>
      </c>
      <c r="AG121" s="48" t="s">
        <v>512</v>
      </c>
      <c r="AH121" s="69">
        <v>6675800</v>
      </c>
      <c r="AI121" s="64" t="s">
        <v>513</v>
      </c>
      <c r="AJ121" s="48" t="s">
        <v>514</v>
      </c>
      <c r="AK121" s="64"/>
      <c r="AL121" s="69">
        <v>6675800</v>
      </c>
      <c r="AM121" s="69">
        <v>6675800</v>
      </c>
      <c r="AN121" s="64"/>
      <c r="AO121" s="58" t="s">
        <v>67</v>
      </c>
      <c r="AP121" s="64"/>
      <c r="AQ121" s="64"/>
      <c r="AR121" s="64"/>
      <c r="AS121" s="64"/>
      <c r="AT121" s="64"/>
      <c r="AU121" s="64"/>
      <c r="AV121" s="64"/>
      <c r="AW121" s="220"/>
    </row>
    <row r="122" spans="1:49" s="221" customFormat="1" ht="185.25" x14ac:dyDescent="0.25">
      <c r="A122" s="64">
        <f t="shared" si="5"/>
        <v>118</v>
      </c>
      <c r="B122" s="47" t="s">
        <v>515</v>
      </c>
      <c r="C122" s="123" t="s">
        <v>49</v>
      </c>
      <c r="D122" s="123" t="s">
        <v>50</v>
      </c>
      <c r="E122" s="123" t="s">
        <v>89</v>
      </c>
      <c r="F122" s="123" t="s">
        <v>52</v>
      </c>
      <c r="G122" s="123" t="s">
        <v>53</v>
      </c>
      <c r="H122" s="123" t="s">
        <v>54</v>
      </c>
      <c r="I122" s="123" t="s">
        <v>55</v>
      </c>
      <c r="J122" s="123" t="s">
        <v>56</v>
      </c>
      <c r="K122" s="123">
        <v>801116</v>
      </c>
      <c r="L122" s="123" t="s">
        <v>57</v>
      </c>
      <c r="M122" s="123" t="s">
        <v>58</v>
      </c>
      <c r="N122" s="123" t="s">
        <v>59</v>
      </c>
      <c r="O122" s="123" t="s">
        <v>60</v>
      </c>
      <c r="P122" s="47" t="s">
        <v>516</v>
      </c>
      <c r="Q122" s="64"/>
      <c r="R122" s="64"/>
      <c r="S122" s="73"/>
      <c r="T122" s="64"/>
      <c r="U122" s="47"/>
      <c r="V122" s="64"/>
      <c r="W122" s="64"/>
      <c r="X122" s="64"/>
      <c r="Y122" s="64"/>
      <c r="Z122" s="64"/>
      <c r="AA122" s="64"/>
      <c r="AB122" s="50">
        <v>0</v>
      </c>
      <c r="AC122" s="64"/>
      <c r="AD122" s="52"/>
      <c r="AE122" s="64"/>
      <c r="AF122" s="50">
        <v>0</v>
      </c>
      <c r="AG122" s="50">
        <v>0</v>
      </c>
      <c r="AH122" s="55">
        <v>0</v>
      </c>
      <c r="AI122" s="50">
        <v>0</v>
      </c>
      <c r="AJ122" s="50">
        <v>0</v>
      </c>
      <c r="AK122" s="64"/>
      <c r="AL122" s="55">
        <v>0</v>
      </c>
      <c r="AM122" s="55">
        <v>0</v>
      </c>
      <c r="AN122" s="64">
        <f>AL122-AM122</f>
        <v>0</v>
      </c>
      <c r="AO122" s="58" t="s">
        <v>67</v>
      </c>
      <c r="AP122" s="64"/>
      <c r="AQ122" s="64"/>
      <c r="AR122" s="64"/>
      <c r="AS122" s="64"/>
      <c r="AT122" s="64"/>
      <c r="AU122" s="64"/>
      <c r="AV122" s="64"/>
      <c r="AW122" s="220"/>
    </row>
    <row r="123" spans="1:49" s="221" customFormat="1" ht="409.5" x14ac:dyDescent="0.25">
      <c r="A123" s="64">
        <f t="shared" si="5"/>
        <v>119</v>
      </c>
      <c r="B123" s="47" t="s">
        <v>517</v>
      </c>
      <c r="C123" s="123" t="s">
        <v>49</v>
      </c>
      <c r="D123" s="63" t="s">
        <v>50</v>
      </c>
      <c r="E123" s="47" t="s">
        <v>51</v>
      </c>
      <c r="F123" s="63" t="s">
        <v>52</v>
      </c>
      <c r="G123" s="63" t="s">
        <v>53</v>
      </c>
      <c r="H123" s="124" t="s">
        <v>54</v>
      </c>
      <c r="I123" s="63" t="s">
        <v>55</v>
      </c>
      <c r="J123" s="63" t="s">
        <v>56</v>
      </c>
      <c r="K123" s="126">
        <v>801116</v>
      </c>
      <c r="L123" s="126" t="s">
        <v>57</v>
      </c>
      <c r="M123" s="47" t="s">
        <v>58</v>
      </c>
      <c r="N123" s="47" t="s">
        <v>59</v>
      </c>
      <c r="O123" s="125" t="s">
        <v>60</v>
      </c>
      <c r="P123" s="47" t="s">
        <v>518</v>
      </c>
      <c r="Q123" s="64"/>
      <c r="R123" s="64"/>
      <c r="S123" s="64"/>
      <c r="T123" s="64"/>
      <c r="U123" s="47"/>
      <c r="V123" s="64"/>
      <c r="W123" s="64"/>
      <c r="X123" s="64"/>
      <c r="Y123" s="64"/>
      <c r="Z123" s="64"/>
      <c r="AA123" s="64"/>
      <c r="AB123" s="50">
        <v>0</v>
      </c>
      <c r="AC123" s="64"/>
      <c r="AD123" s="52">
        <v>0</v>
      </c>
      <c r="AE123" s="64"/>
      <c r="AF123" s="50">
        <v>0</v>
      </c>
      <c r="AG123" s="50">
        <v>0</v>
      </c>
      <c r="AH123" s="55">
        <v>0</v>
      </c>
      <c r="AI123" s="50">
        <v>0</v>
      </c>
      <c r="AJ123" s="50">
        <v>0</v>
      </c>
      <c r="AK123" s="64"/>
      <c r="AL123" s="55">
        <v>0</v>
      </c>
      <c r="AM123" s="55">
        <v>0</v>
      </c>
      <c r="AN123" s="65">
        <f>AL123-AM123</f>
        <v>0</v>
      </c>
      <c r="AO123" s="58" t="s">
        <v>67</v>
      </c>
      <c r="AP123" s="64"/>
      <c r="AQ123" s="64"/>
      <c r="AR123" s="64"/>
      <c r="AS123" s="64"/>
      <c r="AT123" s="64"/>
      <c r="AU123" s="64"/>
      <c r="AV123" s="64"/>
      <c r="AW123" s="220"/>
    </row>
    <row r="124" spans="1:49" s="221" customFormat="1" ht="185.25" x14ac:dyDescent="0.25">
      <c r="A124" s="64">
        <f t="shared" si="5"/>
        <v>120</v>
      </c>
      <c r="B124" s="47" t="s">
        <v>519</v>
      </c>
      <c r="C124" s="123" t="s">
        <v>49</v>
      </c>
      <c r="D124" s="63" t="s">
        <v>50</v>
      </c>
      <c r="E124" s="47" t="s">
        <v>89</v>
      </c>
      <c r="F124" s="63" t="s">
        <v>52</v>
      </c>
      <c r="G124" s="63" t="s">
        <v>53</v>
      </c>
      <c r="H124" s="124" t="s">
        <v>54</v>
      </c>
      <c r="I124" s="63" t="s">
        <v>55</v>
      </c>
      <c r="J124" s="63" t="s">
        <v>56</v>
      </c>
      <c r="K124" s="126">
        <v>801116</v>
      </c>
      <c r="L124" s="126" t="s">
        <v>57</v>
      </c>
      <c r="M124" s="47" t="s">
        <v>58</v>
      </c>
      <c r="N124" s="47" t="s">
        <v>59</v>
      </c>
      <c r="O124" s="125" t="s">
        <v>60</v>
      </c>
      <c r="P124" s="48" t="s">
        <v>520</v>
      </c>
      <c r="Q124" s="64"/>
      <c r="R124" s="64"/>
      <c r="S124" s="64"/>
      <c r="T124" s="64"/>
      <c r="U124" s="47"/>
      <c r="V124" s="64"/>
      <c r="W124" s="64"/>
      <c r="X124" s="64"/>
      <c r="Y124" s="64"/>
      <c r="Z124" s="64"/>
      <c r="AA124" s="64"/>
      <c r="AB124" s="50">
        <v>0</v>
      </c>
      <c r="AC124" s="64"/>
      <c r="AD124" s="52"/>
      <c r="AE124" s="64"/>
      <c r="AF124" s="50">
        <v>0</v>
      </c>
      <c r="AG124" s="50">
        <v>0</v>
      </c>
      <c r="AH124" s="55">
        <v>0</v>
      </c>
      <c r="AI124" s="50">
        <v>0</v>
      </c>
      <c r="AJ124" s="50">
        <v>0</v>
      </c>
      <c r="AK124" s="64"/>
      <c r="AL124" s="55">
        <v>0</v>
      </c>
      <c r="AM124" s="55">
        <v>0</v>
      </c>
      <c r="AN124" s="65">
        <f>AL124-AM124</f>
        <v>0</v>
      </c>
      <c r="AO124" s="64"/>
      <c r="AP124" s="64"/>
      <c r="AQ124" s="64"/>
      <c r="AR124" s="64"/>
      <c r="AS124" s="64"/>
      <c r="AT124" s="64"/>
      <c r="AU124" s="64"/>
      <c r="AV124" s="64"/>
      <c r="AW124" s="220"/>
    </row>
    <row r="125" spans="1:49" s="221" customFormat="1" ht="185.25" x14ac:dyDescent="0.25">
      <c r="A125" s="64">
        <f t="shared" si="5"/>
        <v>121</v>
      </c>
      <c r="B125" s="47" t="s">
        <v>521</v>
      </c>
      <c r="C125" s="123" t="s">
        <v>49</v>
      </c>
      <c r="D125" s="63" t="s">
        <v>50</v>
      </c>
      <c r="E125" s="47" t="s">
        <v>51</v>
      </c>
      <c r="F125" s="63" t="s">
        <v>52</v>
      </c>
      <c r="G125" s="63" t="s">
        <v>53</v>
      </c>
      <c r="H125" s="124" t="s">
        <v>54</v>
      </c>
      <c r="I125" s="63" t="s">
        <v>55</v>
      </c>
      <c r="J125" s="63" t="s">
        <v>56</v>
      </c>
      <c r="K125" s="126">
        <v>801117</v>
      </c>
      <c r="L125" s="126" t="s">
        <v>57</v>
      </c>
      <c r="M125" s="47" t="s">
        <v>449</v>
      </c>
      <c r="N125" s="47" t="s">
        <v>450</v>
      </c>
      <c r="O125" s="125" t="s">
        <v>451</v>
      </c>
      <c r="P125" s="47" t="s">
        <v>522</v>
      </c>
      <c r="Q125" s="64"/>
      <c r="R125" s="64"/>
      <c r="S125" s="64"/>
      <c r="T125" s="64"/>
      <c r="U125" s="47"/>
      <c r="V125" s="64"/>
      <c r="W125" s="64"/>
      <c r="X125" s="64"/>
      <c r="Y125" s="64"/>
      <c r="Z125" s="64"/>
      <c r="AA125" s="64"/>
      <c r="AB125" s="50">
        <v>0</v>
      </c>
      <c r="AC125" s="64"/>
      <c r="AD125" s="52"/>
      <c r="AE125" s="64"/>
      <c r="AF125" s="50">
        <v>0</v>
      </c>
      <c r="AG125" s="50">
        <v>0</v>
      </c>
      <c r="AH125" s="55">
        <v>0</v>
      </c>
      <c r="AI125" s="50">
        <v>0</v>
      </c>
      <c r="AJ125" s="50">
        <v>0</v>
      </c>
      <c r="AK125" s="64"/>
      <c r="AL125" s="55">
        <v>0</v>
      </c>
      <c r="AM125" s="55">
        <v>0</v>
      </c>
      <c r="AN125" s="65">
        <f>AL125-AM125</f>
        <v>0</v>
      </c>
      <c r="AO125" s="64"/>
      <c r="AP125" s="64"/>
      <c r="AQ125" s="64"/>
      <c r="AR125" s="64"/>
      <c r="AS125" s="64"/>
      <c r="AT125" s="64"/>
      <c r="AU125" s="64"/>
      <c r="AV125" s="64"/>
      <c r="AW125" s="220"/>
    </row>
    <row r="126" spans="1:49" s="221" customFormat="1" ht="409.5" x14ac:dyDescent="0.25">
      <c r="A126" s="64">
        <f t="shared" si="5"/>
        <v>122</v>
      </c>
      <c r="B126" s="47" t="s">
        <v>523</v>
      </c>
      <c r="C126" s="123" t="s">
        <v>49</v>
      </c>
      <c r="D126" s="63" t="s">
        <v>50</v>
      </c>
      <c r="E126" s="47" t="s">
        <v>51</v>
      </c>
      <c r="F126" s="63" t="s">
        <v>52</v>
      </c>
      <c r="G126" s="63" t="s">
        <v>53</v>
      </c>
      <c r="H126" s="124" t="s">
        <v>54</v>
      </c>
      <c r="I126" s="63" t="s">
        <v>55</v>
      </c>
      <c r="J126" s="63" t="s">
        <v>56</v>
      </c>
      <c r="K126" s="126">
        <v>801116</v>
      </c>
      <c r="L126" s="126" t="s">
        <v>57</v>
      </c>
      <c r="M126" s="47" t="s">
        <v>58</v>
      </c>
      <c r="N126" s="47" t="s">
        <v>59</v>
      </c>
      <c r="O126" s="125" t="s">
        <v>60</v>
      </c>
      <c r="P126" s="47" t="s">
        <v>524</v>
      </c>
      <c r="Q126" s="70">
        <v>10000000</v>
      </c>
      <c r="R126" s="64">
        <v>1</v>
      </c>
      <c r="S126" s="70">
        <v>30000000</v>
      </c>
      <c r="T126" s="47" t="s">
        <v>62</v>
      </c>
      <c r="U126" s="47"/>
      <c r="V126" s="60">
        <v>43202</v>
      </c>
      <c r="W126" s="64">
        <v>3</v>
      </c>
      <c r="X126" s="64" t="s">
        <v>525</v>
      </c>
      <c r="Y126" s="60">
        <v>43202</v>
      </c>
      <c r="Z126" s="70">
        <v>30000000</v>
      </c>
      <c r="AA126" s="64" t="s">
        <v>412</v>
      </c>
      <c r="AB126" s="50">
        <v>788</v>
      </c>
      <c r="AC126" s="60">
        <v>43203</v>
      </c>
      <c r="AD126" s="70">
        <v>30000000</v>
      </c>
      <c r="AE126" s="64"/>
      <c r="AF126" s="50">
        <v>2144</v>
      </c>
      <c r="AG126" s="50">
        <v>43276</v>
      </c>
      <c r="AH126" s="55">
        <v>30000000</v>
      </c>
      <c r="AI126" s="50" t="s">
        <v>469</v>
      </c>
      <c r="AJ126" s="50">
        <v>427</v>
      </c>
      <c r="AK126" s="64"/>
      <c r="AL126" s="55">
        <v>30000000</v>
      </c>
      <c r="AM126" s="69">
        <v>10000000</v>
      </c>
      <c r="AN126" s="69">
        <v>20000000</v>
      </c>
      <c r="AO126" s="64"/>
      <c r="AP126" s="64"/>
      <c r="AQ126" s="64"/>
      <c r="AR126" s="64"/>
      <c r="AS126" s="64"/>
      <c r="AT126" s="64"/>
      <c r="AU126" s="64"/>
      <c r="AV126" s="64"/>
      <c r="AW126" s="220"/>
    </row>
    <row r="127" spans="1:49" s="221" customFormat="1" ht="270.75" x14ac:dyDescent="0.25">
      <c r="A127" s="64">
        <f t="shared" si="5"/>
        <v>123</v>
      </c>
      <c r="B127" s="47" t="s">
        <v>526</v>
      </c>
      <c r="C127" s="123" t="s">
        <v>49</v>
      </c>
      <c r="D127" s="63" t="s">
        <v>50</v>
      </c>
      <c r="E127" s="47" t="s">
        <v>51</v>
      </c>
      <c r="F127" s="63" t="s">
        <v>52</v>
      </c>
      <c r="G127" s="63" t="s">
        <v>53</v>
      </c>
      <c r="H127" s="124" t="s">
        <v>54</v>
      </c>
      <c r="I127" s="63" t="s">
        <v>55</v>
      </c>
      <c r="J127" s="63" t="s">
        <v>56</v>
      </c>
      <c r="K127" s="126">
        <v>801117</v>
      </c>
      <c r="L127" s="126" t="s">
        <v>57</v>
      </c>
      <c r="M127" s="47" t="s">
        <v>449</v>
      </c>
      <c r="N127" s="47" t="s">
        <v>450</v>
      </c>
      <c r="O127" s="125" t="s">
        <v>451</v>
      </c>
      <c r="P127" s="47" t="s">
        <v>527</v>
      </c>
      <c r="Q127" s="70">
        <v>4532000</v>
      </c>
      <c r="R127" s="64">
        <v>1</v>
      </c>
      <c r="S127" s="70">
        <v>6798000</v>
      </c>
      <c r="T127" s="47" t="s">
        <v>62</v>
      </c>
      <c r="U127" s="47"/>
      <c r="V127" s="60">
        <v>43202</v>
      </c>
      <c r="W127" s="64">
        <v>1.5</v>
      </c>
      <c r="X127" s="64" t="s">
        <v>528</v>
      </c>
      <c r="Y127" s="60">
        <v>43202</v>
      </c>
      <c r="Z127" s="70">
        <v>6798000</v>
      </c>
      <c r="AA127" s="64" t="s">
        <v>412</v>
      </c>
      <c r="AB127" s="50">
        <v>789</v>
      </c>
      <c r="AC127" s="60">
        <v>43203</v>
      </c>
      <c r="AD127" s="70">
        <v>6798000</v>
      </c>
      <c r="AE127" s="64"/>
      <c r="AF127" s="50">
        <v>1842</v>
      </c>
      <c r="AG127" s="50">
        <v>43214</v>
      </c>
      <c r="AH127" s="55">
        <v>6798000</v>
      </c>
      <c r="AI127" s="50" t="s">
        <v>104</v>
      </c>
      <c r="AJ127" s="50">
        <v>347</v>
      </c>
      <c r="AK127" s="64"/>
      <c r="AL127" s="55">
        <v>6798000</v>
      </c>
      <c r="AM127" s="69">
        <v>5438400</v>
      </c>
      <c r="AN127" s="69">
        <v>1359600</v>
      </c>
      <c r="AO127" s="64"/>
      <c r="AP127" s="64"/>
      <c r="AQ127" s="64"/>
      <c r="AR127" s="64"/>
      <c r="AS127" s="64"/>
      <c r="AT127" s="64"/>
      <c r="AU127" s="64"/>
      <c r="AV127" s="64"/>
      <c r="AW127" s="220"/>
    </row>
    <row r="128" spans="1:49" s="221" customFormat="1" ht="370.5" x14ac:dyDescent="0.25">
      <c r="A128" s="64">
        <f t="shared" si="5"/>
        <v>124</v>
      </c>
      <c r="B128" s="47" t="s">
        <v>529</v>
      </c>
      <c r="C128" s="123" t="s">
        <v>49</v>
      </c>
      <c r="D128" s="63" t="s">
        <v>50</v>
      </c>
      <c r="E128" s="63" t="s">
        <v>390</v>
      </c>
      <c r="F128" s="63" t="s">
        <v>425</v>
      </c>
      <c r="G128" s="63" t="s">
        <v>485</v>
      </c>
      <c r="H128" s="63" t="s">
        <v>486</v>
      </c>
      <c r="I128" s="63" t="s">
        <v>55</v>
      </c>
      <c r="J128" s="63" t="s">
        <v>56</v>
      </c>
      <c r="K128" s="63">
        <v>84131501</v>
      </c>
      <c r="L128" s="126" t="s">
        <v>57</v>
      </c>
      <c r="M128" s="47" t="s">
        <v>58</v>
      </c>
      <c r="N128" s="47" t="s">
        <v>59</v>
      </c>
      <c r="O128" s="125" t="s">
        <v>60</v>
      </c>
      <c r="P128" s="47" t="s">
        <v>530</v>
      </c>
      <c r="Q128" s="70">
        <v>4000000</v>
      </c>
      <c r="R128" s="64">
        <v>1</v>
      </c>
      <c r="S128" s="70">
        <v>4000000</v>
      </c>
      <c r="T128" s="64" t="s">
        <v>505</v>
      </c>
      <c r="U128" s="47"/>
      <c r="V128" s="60">
        <v>43203</v>
      </c>
      <c r="W128" s="64">
        <v>2</v>
      </c>
      <c r="X128" s="64" t="s">
        <v>531</v>
      </c>
      <c r="Y128" s="60">
        <v>43203</v>
      </c>
      <c r="Z128" s="70">
        <v>4000000</v>
      </c>
      <c r="AA128" s="64" t="s">
        <v>488</v>
      </c>
      <c r="AB128" s="50">
        <v>790</v>
      </c>
      <c r="AC128" s="60">
        <v>43203</v>
      </c>
      <c r="AD128" s="70">
        <v>4000000</v>
      </c>
      <c r="AE128" s="64"/>
      <c r="AF128" s="48" t="s">
        <v>532</v>
      </c>
      <c r="AG128" s="48" t="s">
        <v>533</v>
      </c>
      <c r="AH128" s="55">
        <v>2200000</v>
      </c>
      <c r="AI128" s="48" t="s">
        <v>534</v>
      </c>
      <c r="AJ128" s="48" t="s">
        <v>535</v>
      </c>
      <c r="AK128" s="64"/>
      <c r="AL128" s="55">
        <v>2200000</v>
      </c>
      <c r="AM128" s="55">
        <v>2200000</v>
      </c>
      <c r="AN128" s="65">
        <f>AL128-AM128</f>
        <v>0</v>
      </c>
      <c r="AO128" s="64"/>
      <c r="AP128" s="64"/>
      <c r="AQ128" s="64"/>
      <c r="AR128" s="64"/>
      <c r="AS128" s="64"/>
      <c r="AT128" s="64"/>
      <c r="AU128" s="64"/>
      <c r="AV128" s="64"/>
      <c r="AW128" s="220"/>
    </row>
    <row r="129" spans="1:49" s="221" customFormat="1" ht="199.5" x14ac:dyDescent="0.25">
      <c r="A129" s="64">
        <f t="shared" si="5"/>
        <v>125</v>
      </c>
      <c r="B129" s="47" t="s">
        <v>536</v>
      </c>
      <c r="C129" s="123" t="s">
        <v>49</v>
      </c>
      <c r="D129" s="63" t="s">
        <v>50</v>
      </c>
      <c r="E129" s="63" t="s">
        <v>390</v>
      </c>
      <c r="F129" s="63" t="s">
        <v>425</v>
      </c>
      <c r="G129" s="63" t="s">
        <v>485</v>
      </c>
      <c r="H129" s="63" t="s">
        <v>486</v>
      </c>
      <c r="I129" s="63" t="s">
        <v>55</v>
      </c>
      <c r="J129" s="63" t="s">
        <v>56</v>
      </c>
      <c r="K129" s="63">
        <v>84131501</v>
      </c>
      <c r="L129" s="126" t="s">
        <v>57</v>
      </c>
      <c r="M129" s="47" t="s">
        <v>58</v>
      </c>
      <c r="N129" s="47" t="s">
        <v>59</v>
      </c>
      <c r="O129" s="125" t="s">
        <v>60</v>
      </c>
      <c r="P129" s="47" t="s">
        <v>537</v>
      </c>
      <c r="Q129" s="70">
        <v>119276</v>
      </c>
      <c r="R129" s="50">
        <v>1</v>
      </c>
      <c r="S129" s="73">
        <v>119276</v>
      </c>
      <c r="T129" s="64" t="s">
        <v>505</v>
      </c>
      <c r="U129" s="47"/>
      <c r="V129" s="60">
        <v>43210</v>
      </c>
      <c r="W129" s="64">
        <v>1</v>
      </c>
      <c r="X129" s="64" t="s">
        <v>538</v>
      </c>
      <c r="Y129" s="60">
        <v>43209</v>
      </c>
      <c r="Z129" s="73">
        <v>119276</v>
      </c>
      <c r="AA129" s="64" t="s">
        <v>488</v>
      </c>
      <c r="AB129" s="50">
        <v>800</v>
      </c>
      <c r="AC129" s="60">
        <v>43210</v>
      </c>
      <c r="AD129" s="70">
        <v>119276</v>
      </c>
      <c r="AE129" s="64"/>
      <c r="AF129" s="50">
        <v>1863</v>
      </c>
      <c r="AG129" s="50">
        <v>43227</v>
      </c>
      <c r="AH129" s="55">
        <v>119276</v>
      </c>
      <c r="AI129" s="50" t="s">
        <v>507</v>
      </c>
      <c r="AJ129" s="50">
        <v>1932</v>
      </c>
      <c r="AK129" s="64"/>
      <c r="AL129" s="55">
        <v>119276</v>
      </c>
      <c r="AM129" s="69">
        <v>119276</v>
      </c>
      <c r="AN129" s="69">
        <v>0</v>
      </c>
      <c r="AO129" s="64"/>
      <c r="AP129" s="64"/>
      <c r="AQ129" s="64"/>
      <c r="AR129" s="64"/>
      <c r="AS129" s="64"/>
      <c r="AT129" s="64"/>
      <c r="AU129" s="64"/>
      <c r="AV129" s="64"/>
      <c r="AW129" s="220"/>
    </row>
    <row r="130" spans="1:49" s="221" customFormat="1" ht="285" x14ac:dyDescent="0.25">
      <c r="A130" s="64">
        <f t="shared" si="5"/>
        <v>126</v>
      </c>
      <c r="B130" s="47" t="s">
        <v>539</v>
      </c>
      <c r="C130" s="123" t="s">
        <v>49</v>
      </c>
      <c r="D130" s="63" t="s">
        <v>50</v>
      </c>
      <c r="E130" s="63" t="s">
        <v>390</v>
      </c>
      <c r="F130" s="63" t="s">
        <v>425</v>
      </c>
      <c r="G130" s="63" t="s">
        <v>485</v>
      </c>
      <c r="H130" s="63" t="s">
        <v>486</v>
      </c>
      <c r="I130" s="63" t="s">
        <v>55</v>
      </c>
      <c r="J130" s="63" t="s">
        <v>56</v>
      </c>
      <c r="K130" s="63">
        <v>84131502</v>
      </c>
      <c r="L130" s="126" t="s">
        <v>57</v>
      </c>
      <c r="M130" s="47" t="s">
        <v>449</v>
      </c>
      <c r="N130" s="47" t="s">
        <v>450</v>
      </c>
      <c r="O130" s="125" t="s">
        <v>451</v>
      </c>
      <c r="P130" s="47" t="s">
        <v>540</v>
      </c>
      <c r="Q130" s="70">
        <v>1047000</v>
      </c>
      <c r="R130" s="50">
        <v>1</v>
      </c>
      <c r="S130" s="70">
        <v>1047000</v>
      </c>
      <c r="T130" s="70" t="s">
        <v>541</v>
      </c>
      <c r="U130" s="70"/>
      <c r="V130" s="60">
        <v>43210</v>
      </c>
      <c r="W130" s="64">
        <v>1</v>
      </c>
      <c r="X130" s="64" t="s">
        <v>542</v>
      </c>
      <c r="Y130" s="60">
        <v>43209</v>
      </c>
      <c r="Z130" s="70">
        <v>1047000</v>
      </c>
      <c r="AA130" s="64" t="s">
        <v>109</v>
      </c>
      <c r="AB130" s="50">
        <v>799</v>
      </c>
      <c r="AC130" s="60">
        <v>43210</v>
      </c>
      <c r="AD130" s="70">
        <v>1047000</v>
      </c>
      <c r="AE130" s="64"/>
      <c r="AF130" s="50">
        <v>1840</v>
      </c>
      <c r="AG130" s="50">
        <v>43214</v>
      </c>
      <c r="AH130" s="55">
        <v>1047000</v>
      </c>
      <c r="AI130" s="50" t="s">
        <v>507</v>
      </c>
      <c r="AJ130" s="50">
        <v>1935</v>
      </c>
      <c r="AK130" s="47"/>
      <c r="AL130" s="55">
        <v>1047000</v>
      </c>
      <c r="AM130" s="69">
        <v>1047000</v>
      </c>
      <c r="AN130" s="69">
        <v>0</v>
      </c>
      <c r="AO130" s="64"/>
      <c r="AP130" s="64"/>
      <c r="AQ130" s="64"/>
      <c r="AR130" s="64"/>
      <c r="AS130" s="64"/>
      <c r="AT130" s="64"/>
      <c r="AU130" s="64"/>
      <c r="AV130" s="64"/>
      <c r="AW130" s="220"/>
    </row>
    <row r="131" spans="1:49" s="221" customFormat="1" ht="213.75" x14ac:dyDescent="0.25">
      <c r="A131" s="64">
        <f t="shared" si="5"/>
        <v>127</v>
      </c>
      <c r="B131" s="47" t="s">
        <v>543</v>
      </c>
      <c r="C131" s="123" t="s">
        <v>49</v>
      </c>
      <c r="D131" s="63" t="s">
        <v>50</v>
      </c>
      <c r="E131" s="47" t="s">
        <v>89</v>
      </c>
      <c r="F131" s="63" t="s">
        <v>52</v>
      </c>
      <c r="G131" s="63" t="s">
        <v>53</v>
      </c>
      <c r="H131" s="124" t="s">
        <v>54</v>
      </c>
      <c r="I131" s="63" t="s">
        <v>55</v>
      </c>
      <c r="J131" s="63" t="s">
        <v>56</v>
      </c>
      <c r="K131" s="126">
        <v>801116</v>
      </c>
      <c r="L131" s="126" t="s">
        <v>57</v>
      </c>
      <c r="M131" s="47" t="s">
        <v>58</v>
      </c>
      <c r="N131" s="47" t="s">
        <v>59</v>
      </c>
      <c r="O131" s="125" t="s">
        <v>60</v>
      </c>
      <c r="P131" s="47" t="s">
        <v>544</v>
      </c>
      <c r="Q131" s="64"/>
      <c r="R131" s="64"/>
      <c r="S131" s="73"/>
      <c r="T131" s="64"/>
      <c r="U131" s="47"/>
      <c r="V131" s="64"/>
      <c r="W131" s="64"/>
      <c r="X131" s="64"/>
      <c r="Y131" s="64"/>
      <c r="Z131" s="64"/>
      <c r="AA131" s="64"/>
      <c r="AB131" s="50">
        <v>0</v>
      </c>
      <c r="AC131" s="64"/>
      <c r="AD131" s="52"/>
      <c r="AE131" s="64"/>
      <c r="AF131" s="50">
        <v>0</v>
      </c>
      <c r="AG131" s="50">
        <v>0</v>
      </c>
      <c r="AH131" s="55">
        <v>0</v>
      </c>
      <c r="AI131" s="50">
        <v>0</v>
      </c>
      <c r="AJ131" s="50">
        <v>0</v>
      </c>
      <c r="AK131" s="64"/>
      <c r="AL131" s="55">
        <v>0</v>
      </c>
      <c r="AM131" s="55">
        <v>0</v>
      </c>
      <c r="AN131" s="65">
        <f t="shared" ref="AN131:AN139" si="7">AL131-AM131</f>
        <v>0</v>
      </c>
      <c r="AO131" s="64"/>
      <c r="AP131" s="64"/>
      <c r="AQ131" s="64"/>
      <c r="AR131" s="64"/>
      <c r="AS131" s="64"/>
      <c r="AT131" s="64"/>
      <c r="AU131" s="64"/>
      <c r="AV131" s="64"/>
      <c r="AW131" s="220"/>
    </row>
    <row r="132" spans="1:49" s="221" customFormat="1" ht="128.25" x14ac:dyDescent="0.25">
      <c r="A132" s="64">
        <f t="shared" si="5"/>
        <v>128</v>
      </c>
      <c r="B132" s="47" t="s">
        <v>545</v>
      </c>
      <c r="C132" s="123" t="s">
        <v>49</v>
      </c>
      <c r="D132" s="63" t="s">
        <v>50</v>
      </c>
      <c r="E132" s="47" t="s">
        <v>89</v>
      </c>
      <c r="F132" s="63" t="s">
        <v>52</v>
      </c>
      <c r="G132" s="63" t="s">
        <v>53</v>
      </c>
      <c r="H132" s="124" t="s">
        <v>54</v>
      </c>
      <c r="I132" s="63" t="s">
        <v>55</v>
      </c>
      <c r="J132" s="63" t="s">
        <v>56</v>
      </c>
      <c r="K132" s="126">
        <v>801117</v>
      </c>
      <c r="L132" s="126" t="s">
        <v>57</v>
      </c>
      <c r="M132" s="47" t="s">
        <v>449</v>
      </c>
      <c r="N132" s="47" t="s">
        <v>450</v>
      </c>
      <c r="O132" s="125" t="s">
        <v>451</v>
      </c>
      <c r="P132" s="47" t="s">
        <v>546</v>
      </c>
      <c r="Q132" s="64"/>
      <c r="R132" s="64"/>
      <c r="S132" s="64"/>
      <c r="T132" s="64"/>
      <c r="U132" s="47"/>
      <c r="V132" s="64"/>
      <c r="W132" s="64"/>
      <c r="X132" s="64"/>
      <c r="Y132" s="64"/>
      <c r="Z132" s="64"/>
      <c r="AA132" s="64"/>
      <c r="AB132" s="50">
        <v>0</v>
      </c>
      <c r="AC132" s="64"/>
      <c r="AD132" s="52"/>
      <c r="AE132" s="64"/>
      <c r="AF132" s="50">
        <v>0</v>
      </c>
      <c r="AG132" s="50">
        <v>0</v>
      </c>
      <c r="AH132" s="55">
        <v>0</v>
      </c>
      <c r="AI132" s="50">
        <v>0</v>
      </c>
      <c r="AJ132" s="50">
        <v>0</v>
      </c>
      <c r="AK132" s="64"/>
      <c r="AL132" s="55">
        <v>0</v>
      </c>
      <c r="AM132" s="55">
        <v>0</v>
      </c>
      <c r="AN132" s="65">
        <f t="shared" si="7"/>
        <v>0</v>
      </c>
      <c r="AO132" s="64"/>
      <c r="AP132" s="64"/>
      <c r="AQ132" s="64"/>
      <c r="AR132" s="64"/>
      <c r="AS132" s="64"/>
      <c r="AT132" s="64"/>
      <c r="AU132" s="64"/>
      <c r="AV132" s="64"/>
      <c r="AW132" s="220"/>
    </row>
    <row r="133" spans="1:49" s="221" customFormat="1" ht="128.25" x14ac:dyDescent="0.25">
      <c r="A133" s="64">
        <f t="shared" si="5"/>
        <v>129</v>
      </c>
      <c r="B133" s="47" t="s">
        <v>547</v>
      </c>
      <c r="C133" s="123" t="s">
        <v>49</v>
      </c>
      <c r="D133" s="63" t="s">
        <v>50</v>
      </c>
      <c r="E133" s="47" t="s">
        <v>51</v>
      </c>
      <c r="F133" s="63" t="s">
        <v>52</v>
      </c>
      <c r="G133" s="63" t="s">
        <v>53</v>
      </c>
      <c r="H133" s="124" t="s">
        <v>54</v>
      </c>
      <c r="I133" s="63" t="s">
        <v>55</v>
      </c>
      <c r="J133" s="63" t="s">
        <v>56</v>
      </c>
      <c r="K133" s="126">
        <v>801117</v>
      </c>
      <c r="L133" s="126" t="s">
        <v>57</v>
      </c>
      <c r="M133" s="47" t="s">
        <v>449</v>
      </c>
      <c r="N133" s="47" t="s">
        <v>450</v>
      </c>
      <c r="O133" s="125" t="s">
        <v>451</v>
      </c>
      <c r="P133" s="47" t="s">
        <v>546</v>
      </c>
      <c r="Q133" s="64"/>
      <c r="R133" s="64"/>
      <c r="S133" s="64"/>
      <c r="T133" s="64"/>
      <c r="U133" s="47"/>
      <c r="V133" s="64"/>
      <c r="W133" s="64"/>
      <c r="X133" s="64"/>
      <c r="Y133" s="64"/>
      <c r="Z133" s="64"/>
      <c r="AA133" s="64"/>
      <c r="AB133" s="50">
        <v>0</v>
      </c>
      <c r="AC133" s="64"/>
      <c r="AD133" s="52"/>
      <c r="AE133" s="64"/>
      <c r="AF133" s="50">
        <v>0</v>
      </c>
      <c r="AG133" s="50">
        <v>0</v>
      </c>
      <c r="AH133" s="55">
        <v>0</v>
      </c>
      <c r="AI133" s="50">
        <v>0</v>
      </c>
      <c r="AJ133" s="50">
        <v>0</v>
      </c>
      <c r="AK133" s="64"/>
      <c r="AL133" s="55">
        <v>0</v>
      </c>
      <c r="AM133" s="55">
        <v>0</v>
      </c>
      <c r="AN133" s="65">
        <f t="shared" si="7"/>
        <v>0</v>
      </c>
      <c r="AO133" s="64"/>
      <c r="AP133" s="64"/>
      <c r="AQ133" s="64"/>
      <c r="AR133" s="64"/>
      <c r="AS133" s="64"/>
      <c r="AT133" s="64"/>
      <c r="AU133" s="64"/>
      <c r="AV133" s="64"/>
      <c r="AW133" s="220"/>
    </row>
    <row r="134" spans="1:49" s="221" customFormat="1" ht="384.75" x14ac:dyDescent="0.25">
      <c r="A134" s="64">
        <f t="shared" si="5"/>
        <v>130</v>
      </c>
      <c r="B134" s="47" t="s">
        <v>548</v>
      </c>
      <c r="C134" s="123" t="s">
        <v>49</v>
      </c>
      <c r="D134" s="63" t="s">
        <v>50</v>
      </c>
      <c r="E134" s="47" t="s">
        <v>51</v>
      </c>
      <c r="F134" s="63" t="s">
        <v>52</v>
      </c>
      <c r="G134" s="63" t="s">
        <v>53</v>
      </c>
      <c r="H134" s="124" t="s">
        <v>54</v>
      </c>
      <c r="I134" s="63" t="s">
        <v>55</v>
      </c>
      <c r="J134" s="63" t="s">
        <v>56</v>
      </c>
      <c r="K134" s="126">
        <v>801116</v>
      </c>
      <c r="L134" s="126" t="s">
        <v>57</v>
      </c>
      <c r="M134" s="47" t="s">
        <v>58</v>
      </c>
      <c r="N134" s="47" t="s">
        <v>59</v>
      </c>
      <c r="O134" s="125" t="s">
        <v>60</v>
      </c>
      <c r="P134" s="47" t="s">
        <v>549</v>
      </c>
      <c r="Q134" s="64"/>
      <c r="R134" s="64"/>
      <c r="S134" s="64"/>
      <c r="T134" s="64"/>
      <c r="U134" s="47"/>
      <c r="V134" s="64"/>
      <c r="W134" s="64"/>
      <c r="X134" s="64"/>
      <c r="Y134" s="64"/>
      <c r="Z134" s="64"/>
      <c r="AA134" s="64"/>
      <c r="AB134" s="50">
        <v>0</v>
      </c>
      <c r="AC134" s="64"/>
      <c r="AD134" s="52">
        <v>0</v>
      </c>
      <c r="AE134" s="64"/>
      <c r="AF134" s="50">
        <v>0</v>
      </c>
      <c r="AG134" s="50">
        <v>0</v>
      </c>
      <c r="AH134" s="55">
        <v>0</v>
      </c>
      <c r="AI134" s="50">
        <v>0</v>
      </c>
      <c r="AJ134" s="50">
        <v>0</v>
      </c>
      <c r="AK134" s="64"/>
      <c r="AL134" s="55">
        <v>0</v>
      </c>
      <c r="AM134" s="55">
        <v>0</v>
      </c>
      <c r="AN134" s="65">
        <f t="shared" si="7"/>
        <v>0</v>
      </c>
      <c r="AO134" s="64"/>
      <c r="AP134" s="64"/>
      <c r="AQ134" s="64"/>
      <c r="AR134" s="64"/>
      <c r="AS134" s="64"/>
      <c r="AT134" s="64"/>
      <c r="AU134" s="64"/>
      <c r="AV134" s="64"/>
      <c r="AW134" s="220"/>
    </row>
    <row r="135" spans="1:49" s="221" customFormat="1" ht="327.75" x14ac:dyDescent="0.25">
      <c r="A135" s="64">
        <f t="shared" si="5"/>
        <v>131</v>
      </c>
      <c r="B135" s="47" t="s">
        <v>550</v>
      </c>
      <c r="C135" s="47" t="s">
        <v>49</v>
      </c>
      <c r="D135" s="47" t="s">
        <v>50</v>
      </c>
      <c r="E135" s="47" t="s">
        <v>89</v>
      </c>
      <c r="F135" s="47" t="s">
        <v>436</v>
      </c>
      <c r="G135" s="47" t="s">
        <v>437</v>
      </c>
      <c r="H135" s="47" t="s">
        <v>438</v>
      </c>
      <c r="I135" s="47" t="s">
        <v>55</v>
      </c>
      <c r="J135" s="47" t="s">
        <v>56</v>
      </c>
      <c r="K135" s="47" t="s">
        <v>439</v>
      </c>
      <c r="L135" s="47"/>
      <c r="M135" s="47"/>
      <c r="N135" s="47"/>
      <c r="O135" s="125" t="s">
        <v>60</v>
      </c>
      <c r="P135" s="47" t="s">
        <v>551</v>
      </c>
      <c r="Q135" s="64"/>
      <c r="R135" s="64">
        <v>1</v>
      </c>
      <c r="S135" s="70">
        <v>2004300</v>
      </c>
      <c r="T135" s="64" t="s">
        <v>505</v>
      </c>
      <c r="U135" s="64" t="s">
        <v>505</v>
      </c>
      <c r="V135" s="223">
        <v>43221</v>
      </c>
      <c r="W135" s="64"/>
      <c r="X135" s="64" t="s">
        <v>552</v>
      </c>
      <c r="Y135" s="60">
        <v>43229</v>
      </c>
      <c r="Z135" s="70">
        <v>2004300</v>
      </c>
      <c r="AA135" s="64"/>
      <c r="AB135" s="50">
        <v>820</v>
      </c>
      <c r="AC135" s="60">
        <v>43229</v>
      </c>
      <c r="AD135" s="52">
        <v>2004300</v>
      </c>
      <c r="AE135" s="64"/>
      <c r="AF135" s="48" t="s">
        <v>553</v>
      </c>
      <c r="AG135" s="48" t="s">
        <v>554</v>
      </c>
      <c r="AH135" s="55">
        <v>2004300</v>
      </c>
      <c r="AI135" s="48" t="s">
        <v>479</v>
      </c>
      <c r="AJ135" s="50">
        <v>2059</v>
      </c>
      <c r="AK135" s="64"/>
      <c r="AL135" s="55">
        <v>2004300</v>
      </c>
      <c r="AM135" s="55">
        <v>2004300</v>
      </c>
      <c r="AN135" s="70">
        <f t="shared" si="7"/>
        <v>0</v>
      </c>
      <c r="AO135" s="64"/>
      <c r="AP135" s="64"/>
      <c r="AQ135" s="64"/>
      <c r="AR135" s="64"/>
      <c r="AS135" s="64"/>
      <c r="AT135" s="64"/>
      <c r="AU135" s="64"/>
      <c r="AV135" s="64"/>
      <c r="AW135" s="220"/>
    </row>
    <row r="136" spans="1:49" s="221" customFormat="1" ht="370.5" x14ac:dyDescent="0.25">
      <c r="A136" s="64">
        <f t="shared" si="5"/>
        <v>132</v>
      </c>
      <c r="B136" s="47" t="s">
        <v>555</v>
      </c>
      <c r="C136" s="123" t="s">
        <v>49</v>
      </c>
      <c r="D136" s="63" t="s">
        <v>50</v>
      </c>
      <c r="E136" s="63" t="s">
        <v>390</v>
      </c>
      <c r="F136" s="63" t="s">
        <v>425</v>
      </c>
      <c r="G136" s="63" t="s">
        <v>485</v>
      </c>
      <c r="H136" s="63" t="s">
        <v>486</v>
      </c>
      <c r="I136" s="63" t="s">
        <v>55</v>
      </c>
      <c r="J136" s="63" t="s">
        <v>56</v>
      </c>
      <c r="K136" s="63">
        <v>84131501</v>
      </c>
      <c r="L136" s="126" t="s">
        <v>57</v>
      </c>
      <c r="M136" s="47" t="s">
        <v>58</v>
      </c>
      <c r="N136" s="47" t="s">
        <v>59</v>
      </c>
      <c r="O136" s="125" t="s">
        <v>60</v>
      </c>
      <c r="P136" s="47" t="s">
        <v>556</v>
      </c>
      <c r="Q136" s="64"/>
      <c r="R136" s="64">
        <v>1</v>
      </c>
      <c r="S136" s="70">
        <v>95119</v>
      </c>
      <c r="T136" s="64" t="s">
        <v>505</v>
      </c>
      <c r="U136" s="64" t="s">
        <v>505</v>
      </c>
      <c r="V136" s="223">
        <v>43221</v>
      </c>
      <c r="W136" s="64"/>
      <c r="X136" s="64" t="s">
        <v>557</v>
      </c>
      <c r="Y136" s="60">
        <v>43229</v>
      </c>
      <c r="Z136" s="70">
        <v>95119</v>
      </c>
      <c r="AA136" s="64"/>
      <c r="AB136" s="50">
        <v>821</v>
      </c>
      <c r="AC136" s="60">
        <v>43230</v>
      </c>
      <c r="AD136" s="52">
        <v>95119</v>
      </c>
      <c r="AE136" s="64"/>
      <c r="AF136" s="50">
        <v>2006</v>
      </c>
      <c r="AG136" s="50">
        <v>43258</v>
      </c>
      <c r="AH136" s="55">
        <v>95119</v>
      </c>
      <c r="AI136" s="50" t="s">
        <v>507</v>
      </c>
      <c r="AJ136" s="50">
        <v>2186</v>
      </c>
      <c r="AK136" s="64"/>
      <c r="AL136" s="55">
        <v>95119</v>
      </c>
      <c r="AM136" s="69">
        <v>95119</v>
      </c>
      <c r="AN136" s="69">
        <v>0</v>
      </c>
      <c r="AO136" s="64"/>
      <c r="AP136" s="64"/>
      <c r="AQ136" s="64"/>
      <c r="AR136" s="64"/>
      <c r="AS136" s="64"/>
      <c r="AT136" s="64"/>
      <c r="AU136" s="64"/>
      <c r="AV136" s="64"/>
      <c r="AW136" s="220"/>
    </row>
    <row r="137" spans="1:49" s="221" customFormat="1" ht="409.5" x14ac:dyDescent="0.25">
      <c r="A137" s="64">
        <f t="shared" si="5"/>
        <v>133</v>
      </c>
      <c r="B137" s="47" t="s">
        <v>558</v>
      </c>
      <c r="C137" s="123" t="s">
        <v>49</v>
      </c>
      <c r="D137" s="63" t="s">
        <v>50</v>
      </c>
      <c r="E137" s="63" t="s">
        <v>390</v>
      </c>
      <c r="F137" s="63" t="s">
        <v>425</v>
      </c>
      <c r="G137" s="63" t="s">
        <v>485</v>
      </c>
      <c r="H137" s="63" t="s">
        <v>486</v>
      </c>
      <c r="I137" s="63" t="s">
        <v>55</v>
      </c>
      <c r="J137" s="63" t="s">
        <v>56</v>
      </c>
      <c r="K137" s="63">
        <v>84131501</v>
      </c>
      <c r="L137" s="126" t="s">
        <v>57</v>
      </c>
      <c r="M137" s="47" t="s">
        <v>58</v>
      </c>
      <c r="N137" s="47" t="s">
        <v>59</v>
      </c>
      <c r="O137" s="125" t="s">
        <v>60</v>
      </c>
      <c r="P137" s="47" t="s">
        <v>559</v>
      </c>
      <c r="Q137" s="64"/>
      <c r="R137" s="64">
        <v>1</v>
      </c>
      <c r="S137" s="73">
        <v>9098844</v>
      </c>
      <c r="T137" s="64" t="s">
        <v>492</v>
      </c>
      <c r="U137" s="47" t="s">
        <v>492</v>
      </c>
      <c r="V137" s="223">
        <v>43221</v>
      </c>
      <c r="W137" s="64"/>
      <c r="X137" s="64" t="s">
        <v>560</v>
      </c>
      <c r="Y137" s="60">
        <v>43231</v>
      </c>
      <c r="Z137" s="70">
        <v>9098844</v>
      </c>
      <c r="AA137" s="64"/>
      <c r="AB137" s="50">
        <v>823</v>
      </c>
      <c r="AC137" s="60">
        <v>43231</v>
      </c>
      <c r="AD137" s="52">
        <v>9098844</v>
      </c>
      <c r="AE137" s="64"/>
      <c r="AF137" s="50">
        <v>1910</v>
      </c>
      <c r="AG137" s="50">
        <v>43235</v>
      </c>
      <c r="AH137" s="55">
        <v>9098844</v>
      </c>
      <c r="AI137" s="50" t="s">
        <v>495</v>
      </c>
      <c r="AJ137" s="50">
        <v>434</v>
      </c>
      <c r="AK137" s="64"/>
      <c r="AL137" s="55">
        <v>9098844</v>
      </c>
      <c r="AM137" s="69">
        <v>9098844</v>
      </c>
      <c r="AN137" s="69">
        <v>0</v>
      </c>
      <c r="AO137" s="64"/>
      <c r="AP137" s="64"/>
      <c r="AQ137" s="64"/>
      <c r="AR137" s="64"/>
      <c r="AS137" s="64"/>
      <c r="AT137" s="64"/>
      <c r="AU137" s="64"/>
      <c r="AV137" s="64"/>
      <c r="AW137" s="220"/>
    </row>
    <row r="138" spans="1:49" s="221" customFormat="1" ht="409.5" x14ac:dyDescent="0.25">
      <c r="A138" s="64">
        <f t="shared" si="5"/>
        <v>134</v>
      </c>
      <c r="B138" s="47" t="s">
        <v>561</v>
      </c>
      <c r="C138" s="47" t="s">
        <v>49</v>
      </c>
      <c r="D138" s="47" t="s">
        <v>50</v>
      </c>
      <c r="E138" s="47" t="s">
        <v>89</v>
      </c>
      <c r="F138" s="47" t="s">
        <v>436</v>
      </c>
      <c r="G138" s="47" t="s">
        <v>437</v>
      </c>
      <c r="H138" s="47" t="s">
        <v>438</v>
      </c>
      <c r="I138" s="47" t="s">
        <v>55</v>
      </c>
      <c r="J138" s="47" t="s">
        <v>56</v>
      </c>
      <c r="K138" s="47" t="s">
        <v>439</v>
      </c>
      <c r="L138" s="47"/>
      <c r="M138" s="47"/>
      <c r="N138" s="47"/>
      <c r="O138" s="125" t="s">
        <v>60</v>
      </c>
      <c r="P138" s="47" t="s">
        <v>551</v>
      </c>
      <c r="Q138" s="64"/>
      <c r="R138" s="64">
        <v>1</v>
      </c>
      <c r="S138" s="73">
        <v>10000000</v>
      </c>
      <c r="T138" s="64" t="s">
        <v>505</v>
      </c>
      <c r="U138" s="47" t="s">
        <v>505</v>
      </c>
      <c r="V138" s="223">
        <v>43221</v>
      </c>
      <c r="W138" s="64"/>
      <c r="X138" s="64" t="s">
        <v>562</v>
      </c>
      <c r="Y138" s="60">
        <v>43241</v>
      </c>
      <c r="Z138" s="70">
        <v>10000000</v>
      </c>
      <c r="AA138" s="64"/>
      <c r="AB138" s="50">
        <v>847</v>
      </c>
      <c r="AC138" s="60">
        <v>43242</v>
      </c>
      <c r="AD138" s="52">
        <v>10000000</v>
      </c>
      <c r="AE138" s="64"/>
      <c r="AF138" s="48" t="s">
        <v>563</v>
      </c>
      <c r="AG138" s="48" t="s">
        <v>564</v>
      </c>
      <c r="AH138" s="55">
        <v>3475000</v>
      </c>
      <c r="AI138" s="48" t="s">
        <v>565</v>
      </c>
      <c r="AJ138" s="48" t="s">
        <v>566</v>
      </c>
      <c r="AK138" s="64"/>
      <c r="AL138" s="55">
        <v>3475000</v>
      </c>
      <c r="AM138" s="55">
        <v>3475000</v>
      </c>
      <c r="AN138" s="70">
        <f t="shared" si="7"/>
        <v>0</v>
      </c>
      <c r="AO138" s="64"/>
      <c r="AP138" s="64"/>
      <c r="AQ138" s="64"/>
      <c r="AR138" s="64"/>
      <c r="AS138" s="64"/>
      <c r="AT138" s="64"/>
      <c r="AU138" s="64"/>
      <c r="AV138" s="64"/>
      <c r="AW138" s="220"/>
    </row>
    <row r="139" spans="1:49" s="221" customFormat="1" ht="199.5" x14ac:dyDescent="0.25">
      <c r="A139" s="64">
        <f t="shared" si="5"/>
        <v>135</v>
      </c>
      <c r="B139" s="47" t="s">
        <v>567</v>
      </c>
      <c r="C139" s="123" t="s">
        <v>49</v>
      </c>
      <c r="D139" s="63" t="s">
        <v>50</v>
      </c>
      <c r="E139" s="47" t="s">
        <v>89</v>
      </c>
      <c r="F139" s="63" t="s">
        <v>52</v>
      </c>
      <c r="G139" s="63" t="s">
        <v>53</v>
      </c>
      <c r="H139" s="124" t="s">
        <v>54</v>
      </c>
      <c r="I139" s="63" t="s">
        <v>55</v>
      </c>
      <c r="J139" s="63" t="s">
        <v>56</v>
      </c>
      <c r="K139" s="126">
        <v>801116</v>
      </c>
      <c r="L139" s="126" t="s">
        <v>57</v>
      </c>
      <c r="M139" s="47" t="s">
        <v>58</v>
      </c>
      <c r="N139" s="47" t="s">
        <v>59</v>
      </c>
      <c r="O139" s="125" t="s">
        <v>60</v>
      </c>
      <c r="P139" s="47" t="s">
        <v>568</v>
      </c>
      <c r="Q139" s="64"/>
      <c r="R139" s="64"/>
      <c r="S139" s="73"/>
      <c r="T139" s="64"/>
      <c r="U139" s="47"/>
      <c r="V139" s="64"/>
      <c r="W139" s="64"/>
      <c r="X139" s="64"/>
      <c r="Y139" s="64"/>
      <c r="Z139" s="64"/>
      <c r="AA139" s="64"/>
      <c r="AB139" s="50">
        <v>0</v>
      </c>
      <c r="AC139" s="64"/>
      <c r="AD139" s="52"/>
      <c r="AE139" s="64"/>
      <c r="AF139" s="50">
        <v>0</v>
      </c>
      <c r="AG139" s="50">
        <v>0</v>
      </c>
      <c r="AH139" s="55">
        <v>0</v>
      </c>
      <c r="AI139" s="50">
        <v>0</v>
      </c>
      <c r="AJ139" s="50">
        <v>0</v>
      </c>
      <c r="AK139" s="64"/>
      <c r="AL139" s="55">
        <v>0</v>
      </c>
      <c r="AM139" s="55">
        <v>0</v>
      </c>
      <c r="AN139" s="70">
        <f t="shared" si="7"/>
        <v>0</v>
      </c>
      <c r="AO139" s="64"/>
      <c r="AP139" s="64"/>
      <c r="AQ139" s="64"/>
      <c r="AR139" s="64"/>
      <c r="AS139" s="64"/>
      <c r="AT139" s="64"/>
      <c r="AU139" s="64"/>
      <c r="AV139" s="64"/>
      <c r="AW139" s="220"/>
    </row>
    <row r="140" spans="1:49" s="221" customFormat="1" ht="327.75" x14ac:dyDescent="0.25">
      <c r="A140" s="64">
        <f t="shared" si="5"/>
        <v>136</v>
      </c>
      <c r="B140" s="47" t="s">
        <v>569</v>
      </c>
      <c r="C140" s="47" t="s">
        <v>49</v>
      </c>
      <c r="D140" s="47" t="s">
        <v>50</v>
      </c>
      <c r="E140" s="47" t="s">
        <v>89</v>
      </c>
      <c r="F140" s="47" t="s">
        <v>436</v>
      </c>
      <c r="G140" s="47" t="s">
        <v>437</v>
      </c>
      <c r="H140" s="47" t="s">
        <v>438</v>
      </c>
      <c r="I140" s="47" t="s">
        <v>55</v>
      </c>
      <c r="J140" s="47" t="s">
        <v>56</v>
      </c>
      <c r="K140" s="47" t="s">
        <v>439</v>
      </c>
      <c r="L140" s="47"/>
      <c r="M140" s="47"/>
      <c r="N140" s="47"/>
      <c r="O140" s="125" t="s">
        <v>60</v>
      </c>
      <c r="P140" s="47" t="s">
        <v>570</v>
      </c>
      <c r="Q140" s="64"/>
      <c r="R140" s="64"/>
      <c r="S140" s="64"/>
      <c r="T140" s="64"/>
      <c r="U140" s="47"/>
      <c r="V140" s="64"/>
      <c r="W140" s="64"/>
      <c r="X140" s="64"/>
      <c r="Y140" s="64"/>
      <c r="Z140" s="64"/>
      <c r="AA140" s="64"/>
      <c r="AB140" s="50">
        <v>0</v>
      </c>
      <c r="AC140" s="60">
        <v>0</v>
      </c>
      <c r="AD140" s="50">
        <v>0</v>
      </c>
      <c r="AE140" s="64"/>
      <c r="AF140" s="50">
        <v>0</v>
      </c>
      <c r="AG140" s="50">
        <v>0</v>
      </c>
      <c r="AH140" s="55">
        <v>0</v>
      </c>
      <c r="AI140" s="50">
        <v>0</v>
      </c>
      <c r="AJ140" s="50">
        <v>0</v>
      </c>
      <c r="AK140" s="64"/>
      <c r="AL140" s="55">
        <v>0</v>
      </c>
      <c r="AM140" s="55">
        <v>0</v>
      </c>
      <c r="AN140" s="70">
        <f>AL140-AM140</f>
        <v>0</v>
      </c>
      <c r="AO140" s="64"/>
      <c r="AP140" s="64"/>
      <c r="AQ140" s="64"/>
      <c r="AR140" s="64"/>
      <c r="AS140" s="64"/>
      <c r="AT140" s="64"/>
      <c r="AU140" s="64"/>
      <c r="AV140" s="64"/>
      <c r="AW140" s="220"/>
    </row>
    <row r="141" spans="1:49" s="221" customFormat="1" ht="370.5" x14ac:dyDescent="0.25">
      <c r="A141" s="64">
        <f t="shared" si="5"/>
        <v>137</v>
      </c>
      <c r="B141" s="47" t="s">
        <v>571</v>
      </c>
      <c r="C141" s="123" t="s">
        <v>49</v>
      </c>
      <c r="D141" s="63" t="s">
        <v>50</v>
      </c>
      <c r="E141" s="63" t="s">
        <v>390</v>
      </c>
      <c r="F141" s="63" t="s">
        <v>425</v>
      </c>
      <c r="G141" s="63" t="s">
        <v>485</v>
      </c>
      <c r="H141" s="63" t="s">
        <v>486</v>
      </c>
      <c r="I141" s="63" t="s">
        <v>55</v>
      </c>
      <c r="J141" s="63" t="s">
        <v>56</v>
      </c>
      <c r="K141" s="63">
        <v>84131501</v>
      </c>
      <c r="L141" s="126" t="s">
        <v>57</v>
      </c>
      <c r="M141" s="47" t="s">
        <v>58</v>
      </c>
      <c r="N141" s="47" t="s">
        <v>59</v>
      </c>
      <c r="O141" s="125" t="s">
        <v>60</v>
      </c>
      <c r="P141" s="47" t="s">
        <v>530</v>
      </c>
      <c r="Q141" s="64"/>
      <c r="R141" s="64"/>
      <c r="S141" s="64"/>
      <c r="T141" s="64"/>
      <c r="U141" s="47"/>
      <c r="V141" s="64"/>
      <c r="W141" s="64"/>
      <c r="X141" s="64"/>
      <c r="Y141" s="64"/>
      <c r="Z141" s="64"/>
      <c r="AA141" s="64"/>
      <c r="AB141" s="50">
        <v>0</v>
      </c>
      <c r="AC141" s="60">
        <v>0</v>
      </c>
      <c r="AD141" s="50">
        <v>0</v>
      </c>
      <c r="AE141" s="64"/>
      <c r="AF141" s="50">
        <v>0</v>
      </c>
      <c r="AG141" s="50">
        <v>0</v>
      </c>
      <c r="AH141" s="55">
        <v>0</v>
      </c>
      <c r="AI141" s="50">
        <v>0</v>
      </c>
      <c r="AJ141" s="50">
        <v>0</v>
      </c>
      <c r="AK141" s="64"/>
      <c r="AL141" s="55">
        <v>0</v>
      </c>
      <c r="AM141" s="55">
        <v>0</v>
      </c>
      <c r="AN141" s="70">
        <f>AL141-AM141</f>
        <v>0</v>
      </c>
      <c r="AO141" s="64"/>
      <c r="AP141" s="64"/>
      <c r="AQ141" s="64"/>
      <c r="AR141" s="64"/>
      <c r="AS141" s="64"/>
      <c r="AT141" s="64"/>
      <c r="AU141" s="64"/>
      <c r="AV141" s="64"/>
      <c r="AW141" s="220"/>
    </row>
    <row r="142" spans="1:49" s="221" customFormat="1" ht="299.25" x14ac:dyDescent="0.25">
      <c r="A142" s="64">
        <f t="shared" si="5"/>
        <v>138</v>
      </c>
      <c r="B142" s="47" t="s">
        <v>572</v>
      </c>
      <c r="C142" s="123" t="s">
        <v>49</v>
      </c>
      <c r="D142" s="63" t="s">
        <v>50</v>
      </c>
      <c r="E142" s="47" t="s">
        <v>51</v>
      </c>
      <c r="F142" s="63" t="s">
        <v>52</v>
      </c>
      <c r="G142" s="63" t="s">
        <v>53</v>
      </c>
      <c r="H142" s="124" t="s">
        <v>54</v>
      </c>
      <c r="I142" s="63" t="s">
        <v>55</v>
      </c>
      <c r="J142" s="63" t="s">
        <v>56</v>
      </c>
      <c r="K142" s="126">
        <v>801116</v>
      </c>
      <c r="L142" s="126" t="s">
        <v>57</v>
      </c>
      <c r="M142" s="47" t="s">
        <v>58</v>
      </c>
      <c r="N142" s="47" t="s">
        <v>59</v>
      </c>
      <c r="O142" s="125" t="s">
        <v>60</v>
      </c>
      <c r="P142" s="47" t="s">
        <v>509</v>
      </c>
      <c r="Q142" s="64"/>
      <c r="R142" s="64"/>
      <c r="S142" s="64"/>
      <c r="T142" s="64"/>
      <c r="U142" s="47"/>
      <c r="V142" s="64"/>
      <c r="W142" s="64"/>
      <c r="X142" s="64"/>
      <c r="Y142" s="64"/>
      <c r="Z142" s="64"/>
      <c r="AA142" s="64"/>
      <c r="AB142" s="50">
        <v>0</v>
      </c>
      <c r="AC142" s="64"/>
      <c r="AD142" s="52">
        <v>0</v>
      </c>
      <c r="AE142" s="64"/>
      <c r="AF142" s="50">
        <v>0</v>
      </c>
      <c r="AG142" s="50">
        <v>0</v>
      </c>
      <c r="AH142" s="55">
        <v>0</v>
      </c>
      <c r="AI142" s="50">
        <v>0</v>
      </c>
      <c r="AJ142" s="50">
        <v>0</v>
      </c>
      <c r="AK142" s="64"/>
      <c r="AL142" s="55">
        <v>0</v>
      </c>
      <c r="AM142" s="55">
        <v>0</v>
      </c>
      <c r="AN142" s="65">
        <f t="shared" ref="AN142:AN144" si="8">AL142-AM142</f>
        <v>0</v>
      </c>
      <c r="AO142" s="64"/>
      <c r="AP142" s="64"/>
      <c r="AQ142" s="64"/>
      <c r="AR142" s="64"/>
      <c r="AS142" s="64"/>
      <c r="AT142" s="64"/>
      <c r="AU142" s="64"/>
      <c r="AV142" s="64"/>
      <c r="AW142" s="220"/>
    </row>
    <row r="143" spans="1:49" s="221" customFormat="1" ht="171" x14ac:dyDescent="0.25">
      <c r="A143" s="64">
        <f t="shared" si="5"/>
        <v>139</v>
      </c>
      <c r="B143" s="47" t="s">
        <v>573</v>
      </c>
      <c r="C143" s="123" t="s">
        <v>49</v>
      </c>
      <c r="D143" s="63" t="s">
        <v>50</v>
      </c>
      <c r="E143" s="47" t="s">
        <v>89</v>
      </c>
      <c r="F143" s="63" t="s">
        <v>52</v>
      </c>
      <c r="G143" s="63" t="s">
        <v>53</v>
      </c>
      <c r="H143" s="124" t="s">
        <v>54</v>
      </c>
      <c r="I143" s="63" t="s">
        <v>55</v>
      </c>
      <c r="J143" s="63" t="s">
        <v>56</v>
      </c>
      <c r="K143" s="126">
        <v>801116</v>
      </c>
      <c r="L143" s="126" t="s">
        <v>57</v>
      </c>
      <c r="M143" s="47" t="s">
        <v>58</v>
      </c>
      <c r="N143" s="47" t="s">
        <v>59</v>
      </c>
      <c r="O143" s="125" t="s">
        <v>60</v>
      </c>
      <c r="P143" s="48" t="s">
        <v>574</v>
      </c>
      <c r="Q143" s="64"/>
      <c r="R143" s="64"/>
      <c r="S143" s="64"/>
      <c r="T143" s="64"/>
      <c r="U143" s="47"/>
      <c r="V143" s="64"/>
      <c r="W143" s="64"/>
      <c r="X143" s="64"/>
      <c r="Y143" s="64"/>
      <c r="Z143" s="64"/>
      <c r="AA143" s="64"/>
      <c r="AB143" s="50">
        <v>0</v>
      </c>
      <c r="AC143" s="64"/>
      <c r="AD143" s="52"/>
      <c r="AE143" s="64"/>
      <c r="AF143" s="50">
        <v>0</v>
      </c>
      <c r="AG143" s="50">
        <v>0</v>
      </c>
      <c r="AH143" s="55">
        <v>0</v>
      </c>
      <c r="AI143" s="50">
        <v>0</v>
      </c>
      <c r="AJ143" s="50">
        <v>0</v>
      </c>
      <c r="AK143" s="64"/>
      <c r="AL143" s="55">
        <v>0</v>
      </c>
      <c r="AM143" s="55">
        <v>0</v>
      </c>
      <c r="AN143" s="65">
        <f t="shared" si="8"/>
        <v>0</v>
      </c>
      <c r="AO143" s="64"/>
      <c r="AP143" s="64"/>
      <c r="AQ143" s="64"/>
      <c r="AR143" s="64"/>
      <c r="AS143" s="64"/>
      <c r="AT143" s="64"/>
      <c r="AU143" s="64"/>
      <c r="AV143" s="64"/>
      <c r="AW143" s="220"/>
    </row>
    <row r="144" spans="1:49" s="221" customFormat="1" ht="171" x14ac:dyDescent="0.25">
      <c r="A144" s="64">
        <f t="shared" si="5"/>
        <v>140</v>
      </c>
      <c r="B144" s="47" t="s">
        <v>575</v>
      </c>
      <c r="C144" s="123" t="s">
        <v>49</v>
      </c>
      <c r="D144" s="63" t="s">
        <v>50</v>
      </c>
      <c r="E144" s="47" t="s">
        <v>51</v>
      </c>
      <c r="F144" s="63" t="s">
        <v>52</v>
      </c>
      <c r="G144" s="63" t="s">
        <v>53</v>
      </c>
      <c r="H144" s="124" t="s">
        <v>54</v>
      </c>
      <c r="I144" s="63" t="s">
        <v>55</v>
      </c>
      <c r="J144" s="63" t="s">
        <v>56</v>
      </c>
      <c r="K144" s="126">
        <v>801117</v>
      </c>
      <c r="L144" s="126" t="s">
        <v>57</v>
      </c>
      <c r="M144" s="47" t="s">
        <v>449</v>
      </c>
      <c r="N144" s="47" t="s">
        <v>450</v>
      </c>
      <c r="O144" s="125" t="s">
        <v>451</v>
      </c>
      <c r="P144" s="47" t="s">
        <v>574</v>
      </c>
      <c r="Q144" s="64"/>
      <c r="R144" s="64"/>
      <c r="S144" s="64"/>
      <c r="T144" s="64"/>
      <c r="U144" s="47"/>
      <c r="V144" s="64"/>
      <c r="W144" s="64"/>
      <c r="X144" s="64"/>
      <c r="Y144" s="64"/>
      <c r="Z144" s="64"/>
      <c r="AA144" s="64"/>
      <c r="AB144" s="50">
        <v>0</v>
      </c>
      <c r="AC144" s="64"/>
      <c r="AD144" s="52"/>
      <c r="AE144" s="64"/>
      <c r="AF144" s="50">
        <v>0</v>
      </c>
      <c r="AG144" s="50">
        <v>0</v>
      </c>
      <c r="AH144" s="55">
        <v>0</v>
      </c>
      <c r="AI144" s="50">
        <v>0</v>
      </c>
      <c r="AJ144" s="50">
        <v>0</v>
      </c>
      <c r="AK144" s="64"/>
      <c r="AL144" s="55">
        <v>0</v>
      </c>
      <c r="AM144" s="55">
        <v>0</v>
      </c>
      <c r="AN144" s="65">
        <f t="shared" si="8"/>
        <v>0</v>
      </c>
      <c r="AO144" s="64"/>
      <c r="AP144" s="64"/>
      <c r="AQ144" s="64"/>
      <c r="AR144" s="64"/>
      <c r="AS144" s="64"/>
      <c r="AT144" s="64"/>
      <c r="AU144" s="64"/>
      <c r="AV144" s="64"/>
      <c r="AW144" s="220"/>
    </row>
    <row r="145" spans="1:49" s="221" customFormat="1" ht="409.5" x14ac:dyDescent="0.25">
      <c r="A145" s="64">
        <f t="shared" si="5"/>
        <v>141</v>
      </c>
      <c r="B145" s="47" t="s">
        <v>576</v>
      </c>
      <c r="C145" s="123" t="s">
        <v>49</v>
      </c>
      <c r="D145" s="63" t="s">
        <v>50</v>
      </c>
      <c r="E145" s="47" t="s">
        <v>51</v>
      </c>
      <c r="F145" s="63" t="s">
        <v>577</v>
      </c>
      <c r="G145" s="63" t="s">
        <v>578</v>
      </c>
      <c r="H145" s="63" t="s">
        <v>579</v>
      </c>
      <c r="I145" s="63" t="s">
        <v>55</v>
      </c>
      <c r="J145" s="63" t="s">
        <v>56</v>
      </c>
      <c r="K145" s="63">
        <v>84131501</v>
      </c>
      <c r="L145" s="126" t="s">
        <v>57</v>
      </c>
      <c r="M145" s="47" t="s">
        <v>58</v>
      </c>
      <c r="N145" s="47" t="s">
        <v>59</v>
      </c>
      <c r="O145" s="125" t="s">
        <v>60</v>
      </c>
      <c r="P145" s="47" t="s">
        <v>580</v>
      </c>
      <c r="Q145" s="64"/>
      <c r="R145" s="64">
        <v>1</v>
      </c>
      <c r="S145" s="70">
        <v>1859356</v>
      </c>
      <c r="T145" s="64" t="s">
        <v>505</v>
      </c>
      <c r="U145" s="47" t="s">
        <v>505</v>
      </c>
      <c r="V145" s="60">
        <v>43250</v>
      </c>
      <c r="W145" s="64"/>
      <c r="X145" s="64" t="s">
        <v>581</v>
      </c>
      <c r="Y145" s="60">
        <v>43264</v>
      </c>
      <c r="Z145" s="70">
        <v>1859356</v>
      </c>
      <c r="AA145" s="64" t="s">
        <v>484</v>
      </c>
      <c r="AB145" s="50">
        <v>889</v>
      </c>
      <c r="AC145" s="60">
        <v>43264</v>
      </c>
      <c r="AD145" s="52">
        <v>1859356</v>
      </c>
      <c r="AE145" s="64"/>
      <c r="AF145" s="50">
        <v>2015</v>
      </c>
      <c r="AG145" s="50">
        <v>43266</v>
      </c>
      <c r="AH145" s="55">
        <v>1859356</v>
      </c>
      <c r="AI145" s="50" t="s">
        <v>582</v>
      </c>
      <c r="AJ145" s="50">
        <v>2258</v>
      </c>
      <c r="AK145" s="64"/>
      <c r="AL145" s="55">
        <v>1859356</v>
      </c>
      <c r="AM145" s="69">
        <v>1859356</v>
      </c>
      <c r="AN145" s="69">
        <v>0</v>
      </c>
      <c r="AO145" s="64"/>
      <c r="AP145" s="64"/>
      <c r="AQ145" s="64"/>
      <c r="AR145" s="64"/>
      <c r="AS145" s="64"/>
      <c r="AT145" s="64"/>
      <c r="AU145" s="64"/>
      <c r="AV145" s="64"/>
      <c r="AW145" s="220"/>
    </row>
    <row r="146" spans="1:49" s="221" customFormat="1" ht="256.5" x14ac:dyDescent="0.25">
      <c r="A146" s="64">
        <f t="shared" si="5"/>
        <v>142</v>
      </c>
      <c r="B146" s="47" t="s">
        <v>583</v>
      </c>
      <c r="C146" s="123" t="s">
        <v>49</v>
      </c>
      <c r="D146" s="63" t="s">
        <v>50</v>
      </c>
      <c r="E146" s="63" t="s">
        <v>390</v>
      </c>
      <c r="F146" s="63" t="s">
        <v>425</v>
      </c>
      <c r="G146" s="63" t="s">
        <v>485</v>
      </c>
      <c r="H146" s="63" t="s">
        <v>486</v>
      </c>
      <c r="I146" s="63" t="s">
        <v>55</v>
      </c>
      <c r="J146" s="63" t="s">
        <v>56</v>
      </c>
      <c r="K146" s="63">
        <v>84131501</v>
      </c>
      <c r="L146" s="126" t="s">
        <v>57</v>
      </c>
      <c r="M146" s="47" t="s">
        <v>58</v>
      </c>
      <c r="N146" s="47" t="s">
        <v>59</v>
      </c>
      <c r="O146" s="125" t="s">
        <v>60</v>
      </c>
      <c r="P146" s="47" t="s">
        <v>584</v>
      </c>
      <c r="Q146" s="64"/>
      <c r="R146" s="64">
        <v>1</v>
      </c>
      <c r="S146" s="69">
        <v>600000</v>
      </c>
      <c r="T146" s="64" t="s">
        <v>505</v>
      </c>
      <c r="U146" s="64" t="s">
        <v>505</v>
      </c>
      <c r="V146" s="60">
        <v>43273</v>
      </c>
      <c r="W146" s="64"/>
      <c r="X146" s="64" t="s">
        <v>585</v>
      </c>
      <c r="Y146" s="60">
        <v>43273</v>
      </c>
      <c r="Z146" s="70">
        <v>600000</v>
      </c>
      <c r="AA146" s="64" t="s">
        <v>488</v>
      </c>
      <c r="AB146" s="50" t="e">
        <v>#N/A</v>
      </c>
      <c r="AC146" s="60">
        <v>43276</v>
      </c>
      <c r="AD146" s="52">
        <v>600000</v>
      </c>
      <c r="AE146" s="64"/>
      <c r="AF146" s="50">
        <v>0</v>
      </c>
      <c r="AG146" s="50">
        <v>0</v>
      </c>
      <c r="AH146" s="55">
        <v>0</v>
      </c>
      <c r="AI146" s="50">
        <v>0</v>
      </c>
      <c r="AJ146" s="50">
        <v>0</v>
      </c>
      <c r="AK146" s="64"/>
      <c r="AL146" s="55">
        <v>0</v>
      </c>
      <c r="AM146" s="55">
        <v>0</v>
      </c>
      <c r="AN146" s="64"/>
      <c r="AO146" s="64"/>
      <c r="AP146" s="64"/>
      <c r="AQ146" s="64"/>
      <c r="AR146" s="64"/>
      <c r="AS146" s="64"/>
      <c r="AT146" s="64"/>
      <c r="AU146" s="64"/>
      <c r="AV146" s="64"/>
      <c r="AW146" s="220"/>
    </row>
    <row r="147" spans="1:49" s="221" customFormat="1" ht="342" x14ac:dyDescent="0.25">
      <c r="A147" s="64">
        <f t="shared" si="5"/>
        <v>143</v>
      </c>
      <c r="B147" s="47" t="s">
        <v>586</v>
      </c>
      <c r="C147" s="123" t="s">
        <v>49</v>
      </c>
      <c r="D147" s="63" t="s">
        <v>50</v>
      </c>
      <c r="E147" s="47" t="s">
        <v>51</v>
      </c>
      <c r="F147" s="63" t="s">
        <v>52</v>
      </c>
      <c r="G147" s="63" t="s">
        <v>53</v>
      </c>
      <c r="H147" s="124" t="s">
        <v>54</v>
      </c>
      <c r="I147" s="63" t="s">
        <v>55</v>
      </c>
      <c r="J147" s="63" t="s">
        <v>56</v>
      </c>
      <c r="K147" s="126">
        <v>801116</v>
      </c>
      <c r="L147" s="126" t="s">
        <v>57</v>
      </c>
      <c r="M147" s="47" t="s">
        <v>58</v>
      </c>
      <c r="N147" s="47" t="s">
        <v>59</v>
      </c>
      <c r="O147" s="125" t="s">
        <v>60</v>
      </c>
      <c r="P147" s="47" t="s">
        <v>587</v>
      </c>
      <c r="Q147" s="64"/>
      <c r="R147" s="64">
        <v>1</v>
      </c>
      <c r="S147" s="73">
        <f>19961400-1108967</f>
        <v>18852433</v>
      </c>
      <c r="T147" s="47" t="s">
        <v>445</v>
      </c>
      <c r="U147" s="47" t="s">
        <v>444</v>
      </c>
      <c r="V147" s="60">
        <v>43282</v>
      </c>
      <c r="W147" s="64">
        <v>6</v>
      </c>
      <c r="X147" s="64" t="s">
        <v>588</v>
      </c>
      <c r="Y147" s="60">
        <v>43277</v>
      </c>
      <c r="Z147" s="70">
        <v>19961400</v>
      </c>
      <c r="AA147" s="64" t="s">
        <v>412</v>
      </c>
      <c r="AB147" s="50">
        <v>926</v>
      </c>
      <c r="AC147" s="60">
        <v>43278</v>
      </c>
      <c r="AD147" s="52">
        <v>19961400</v>
      </c>
      <c r="AE147" s="224">
        <v>0</v>
      </c>
      <c r="AF147" s="50">
        <v>2461</v>
      </c>
      <c r="AG147" s="50">
        <v>43291</v>
      </c>
      <c r="AH147" s="55">
        <v>18852433</v>
      </c>
      <c r="AI147" s="50" t="s">
        <v>355</v>
      </c>
      <c r="AJ147" s="50">
        <v>442</v>
      </c>
      <c r="AK147" s="64"/>
      <c r="AL147" s="55">
        <v>18852433</v>
      </c>
      <c r="AM147" s="69">
        <v>5544833</v>
      </c>
      <c r="AN147" s="69">
        <v>13307600</v>
      </c>
      <c r="AO147" s="64"/>
      <c r="AP147" s="64"/>
      <c r="AQ147" s="58" t="s">
        <v>68</v>
      </c>
      <c r="AR147" s="60">
        <v>43339</v>
      </c>
      <c r="AS147" s="58" t="s">
        <v>69</v>
      </c>
      <c r="AT147" s="64"/>
      <c r="AU147" s="64"/>
      <c r="AV147" s="64"/>
      <c r="AW147" s="220"/>
    </row>
    <row r="148" spans="1:49" s="221" customFormat="1" ht="242.25" x14ac:dyDescent="0.25">
      <c r="A148" s="64">
        <f t="shared" si="5"/>
        <v>144</v>
      </c>
      <c r="B148" s="47" t="s">
        <v>589</v>
      </c>
      <c r="C148" s="123" t="s">
        <v>49</v>
      </c>
      <c r="D148" s="63" t="s">
        <v>50</v>
      </c>
      <c r="E148" s="47" t="s">
        <v>51</v>
      </c>
      <c r="F148" s="63" t="s">
        <v>52</v>
      </c>
      <c r="G148" s="63" t="s">
        <v>53</v>
      </c>
      <c r="H148" s="124" t="s">
        <v>54</v>
      </c>
      <c r="I148" s="63" t="s">
        <v>55</v>
      </c>
      <c r="J148" s="63" t="s">
        <v>56</v>
      </c>
      <c r="K148" s="126">
        <v>801116</v>
      </c>
      <c r="L148" s="126" t="s">
        <v>57</v>
      </c>
      <c r="M148" s="47" t="s">
        <v>58</v>
      </c>
      <c r="N148" s="47" t="s">
        <v>59</v>
      </c>
      <c r="O148" s="125" t="s">
        <v>60</v>
      </c>
      <c r="P148" s="47" t="s">
        <v>590</v>
      </c>
      <c r="Q148" s="64"/>
      <c r="R148" s="64">
        <v>1</v>
      </c>
      <c r="S148" s="70">
        <v>60000000</v>
      </c>
      <c r="T148" s="64" t="s">
        <v>445</v>
      </c>
      <c r="U148" s="47" t="s">
        <v>444</v>
      </c>
      <c r="V148" s="60">
        <v>43282</v>
      </c>
      <c r="W148" s="64">
        <v>6</v>
      </c>
      <c r="X148" s="64" t="s">
        <v>591</v>
      </c>
      <c r="Y148" s="60">
        <v>43277</v>
      </c>
      <c r="Z148" s="70">
        <v>60000000</v>
      </c>
      <c r="AA148" s="64" t="s">
        <v>412</v>
      </c>
      <c r="AB148" s="50">
        <v>925</v>
      </c>
      <c r="AC148" s="60">
        <v>43278</v>
      </c>
      <c r="AD148" s="52">
        <v>60000000</v>
      </c>
      <c r="AE148" s="64"/>
      <c r="AF148" s="50">
        <v>2487</v>
      </c>
      <c r="AG148" s="50">
        <v>43292</v>
      </c>
      <c r="AH148" s="55">
        <v>60000000</v>
      </c>
      <c r="AI148" s="50" t="s">
        <v>592</v>
      </c>
      <c r="AJ148" s="50">
        <v>443</v>
      </c>
      <c r="AK148" s="64"/>
      <c r="AL148" s="55">
        <v>60000000</v>
      </c>
      <c r="AM148" s="69">
        <v>16666667</v>
      </c>
      <c r="AN148" s="69">
        <v>43333333</v>
      </c>
      <c r="AO148" s="64"/>
      <c r="AP148" s="64"/>
      <c r="AQ148" s="64"/>
      <c r="AR148" s="64"/>
      <c r="AS148" s="64"/>
      <c r="AT148" s="64"/>
      <c r="AU148" s="64"/>
      <c r="AV148" s="64"/>
      <c r="AW148" s="220"/>
    </row>
    <row r="149" spans="1:49" s="221" customFormat="1" ht="171" x14ac:dyDescent="0.25">
      <c r="A149" s="64">
        <f t="shared" si="5"/>
        <v>145</v>
      </c>
      <c r="B149" s="47" t="s">
        <v>593</v>
      </c>
      <c r="C149" s="123" t="s">
        <v>49</v>
      </c>
      <c r="D149" s="63" t="s">
        <v>50</v>
      </c>
      <c r="E149" s="47" t="s">
        <v>89</v>
      </c>
      <c r="F149" s="63" t="s">
        <v>52</v>
      </c>
      <c r="G149" s="63" t="s">
        <v>53</v>
      </c>
      <c r="H149" s="124" t="s">
        <v>54</v>
      </c>
      <c r="I149" s="63" t="s">
        <v>55</v>
      </c>
      <c r="J149" s="63" t="s">
        <v>56</v>
      </c>
      <c r="K149" s="126">
        <v>801116</v>
      </c>
      <c r="L149" s="126" t="s">
        <v>57</v>
      </c>
      <c r="M149" s="47" t="s">
        <v>58</v>
      </c>
      <c r="N149" s="47" t="s">
        <v>59</v>
      </c>
      <c r="O149" s="125" t="s">
        <v>60</v>
      </c>
      <c r="P149" s="47" t="s">
        <v>594</v>
      </c>
      <c r="Q149" s="64"/>
      <c r="R149" s="64"/>
      <c r="S149" s="64"/>
      <c r="T149" s="64"/>
      <c r="U149" s="47"/>
      <c r="V149" s="64"/>
      <c r="W149" s="64"/>
      <c r="X149" s="64"/>
      <c r="Y149" s="64"/>
      <c r="Z149" s="64"/>
      <c r="AA149" s="64"/>
      <c r="AB149" s="50">
        <v>0</v>
      </c>
      <c r="AC149" s="64"/>
      <c r="AD149" s="52"/>
      <c r="AE149" s="64"/>
      <c r="AF149" s="50">
        <v>0</v>
      </c>
      <c r="AG149" s="50">
        <v>0</v>
      </c>
      <c r="AH149" s="55">
        <v>0</v>
      </c>
      <c r="AI149" s="50">
        <v>0</v>
      </c>
      <c r="AJ149" s="50">
        <v>0</v>
      </c>
      <c r="AK149" s="64"/>
      <c r="AL149" s="55">
        <v>0</v>
      </c>
      <c r="AM149" s="55">
        <v>0</v>
      </c>
      <c r="AN149" s="70">
        <f>AL149-AM149</f>
        <v>0</v>
      </c>
      <c r="AO149" s="64"/>
      <c r="AP149" s="64"/>
      <c r="AQ149" s="64"/>
      <c r="AR149" s="64"/>
      <c r="AS149" s="64"/>
      <c r="AT149" s="64"/>
      <c r="AU149" s="64"/>
      <c r="AV149" s="64"/>
      <c r="AW149" s="220"/>
    </row>
    <row r="150" spans="1:49" s="221" customFormat="1" ht="171" x14ac:dyDescent="0.25">
      <c r="A150" s="64">
        <f t="shared" si="5"/>
        <v>146</v>
      </c>
      <c r="B150" s="47" t="s">
        <v>595</v>
      </c>
      <c r="C150" s="123" t="s">
        <v>49</v>
      </c>
      <c r="D150" s="63" t="s">
        <v>50</v>
      </c>
      <c r="E150" s="47" t="s">
        <v>51</v>
      </c>
      <c r="F150" s="63" t="s">
        <v>52</v>
      </c>
      <c r="G150" s="63" t="s">
        <v>53</v>
      </c>
      <c r="H150" s="124" t="s">
        <v>54</v>
      </c>
      <c r="I150" s="63" t="s">
        <v>55</v>
      </c>
      <c r="J150" s="63" t="s">
        <v>56</v>
      </c>
      <c r="K150" s="126">
        <v>801117</v>
      </c>
      <c r="L150" s="126" t="s">
        <v>57</v>
      </c>
      <c r="M150" s="47" t="s">
        <v>449</v>
      </c>
      <c r="N150" s="47" t="s">
        <v>450</v>
      </c>
      <c r="O150" s="125" t="s">
        <v>451</v>
      </c>
      <c r="P150" s="47" t="s">
        <v>594</v>
      </c>
      <c r="Q150" s="64"/>
      <c r="R150" s="64"/>
      <c r="S150" s="64"/>
      <c r="T150" s="64"/>
      <c r="U150" s="47"/>
      <c r="V150" s="64"/>
      <c r="W150" s="64"/>
      <c r="X150" s="64"/>
      <c r="Y150" s="64"/>
      <c r="Z150" s="64"/>
      <c r="AA150" s="64"/>
      <c r="AB150" s="50">
        <v>0</v>
      </c>
      <c r="AC150" s="64"/>
      <c r="AD150" s="52"/>
      <c r="AE150" s="64"/>
      <c r="AF150" s="50">
        <v>0</v>
      </c>
      <c r="AG150" s="50">
        <v>0</v>
      </c>
      <c r="AH150" s="55">
        <v>0</v>
      </c>
      <c r="AI150" s="50">
        <v>0</v>
      </c>
      <c r="AJ150" s="50">
        <v>0</v>
      </c>
      <c r="AK150" s="64"/>
      <c r="AL150" s="55">
        <v>0</v>
      </c>
      <c r="AM150" s="55">
        <v>0</v>
      </c>
      <c r="AN150" s="70">
        <f>AL150-AM150</f>
        <v>0</v>
      </c>
      <c r="AO150" s="64"/>
      <c r="AP150" s="64"/>
      <c r="AQ150" s="64"/>
      <c r="AR150" s="64"/>
      <c r="AS150" s="64"/>
      <c r="AT150" s="64"/>
      <c r="AU150" s="64"/>
      <c r="AV150" s="64"/>
      <c r="AW150" s="220"/>
    </row>
    <row r="151" spans="1:49" s="221" customFormat="1" ht="213.75" x14ac:dyDescent="0.25">
      <c r="A151" s="64">
        <f t="shared" si="5"/>
        <v>147</v>
      </c>
      <c r="B151" s="47" t="s">
        <v>596</v>
      </c>
      <c r="C151" s="123" t="s">
        <v>49</v>
      </c>
      <c r="D151" s="63" t="s">
        <v>50</v>
      </c>
      <c r="E151" s="47" t="s">
        <v>89</v>
      </c>
      <c r="F151" s="63" t="s">
        <v>52</v>
      </c>
      <c r="G151" s="63" t="s">
        <v>53</v>
      </c>
      <c r="H151" s="124" t="s">
        <v>54</v>
      </c>
      <c r="I151" s="63" t="s">
        <v>55</v>
      </c>
      <c r="J151" s="63" t="s">
        <v>56</v>
      </c>
      <c r="K151" s="126">
        <v>801116</v>
      </c>
      <c r="L151" s="126" t="s">
        <v>57</v>
      </c>
      <c r="M151" s="47" t="s">
        <v>58</v>
      </c>
      <c r="N151" s="47" t="s">
        <v>59</v>
      </c>
      <c r="O151" s="125" t="s">
        <v>60</v>
      </c>
      <c r="P151" s="47" t="s">
        <v>597</v>
      </c>
      <c r="Q151" s="64"/>
      <c r="R151" s="64"/>
      <c r="S151" s="64"/>
      <c r="T151" s="64"/>
      <c r="U151" s="47"/>
      <c r="V151" s="64"/>
      <c r="W151" s="64"/>
      <c r="X151" s="64"/>
      <c r="Y151" s="64"/>
      <c r="Z151" s="64"/>
      <c r="AA151" s="64"/>
      <c r="AB151" s="50">
        <v>0</v>
      </c>
      <c r="AC151" s="64"/>
      <c r="AD151" s="52"/>
      <c r="AE151" s="64"/>
      <c r="AF151" s="50">
        <v>0</v>
      </c>
      <c r="AG151" s="50">
        <v>0</v>
      </c>
      <c r="AH151" s="55">
        <v>0</v>
      </c>
      <c r="AI151" s="50">
        <v>0</v>
      </c>
      <c r="AJ151" s="50">
        <v>0</v>
      </c>
      <c r="AK151" s="64"/>
      <c r="AL151" s="55">
        <v>0</v>
      </c>
      <c r="AM151" s="55">
        <v>0</v>
      </c>
      <c r="AN151" s="70">
        <f>AL151-AM151</f>
        <v>0</v>
      </c>
      <c r="AO151" s="64"/>
      <c r="AP151" s="64"/>
      <c r="AQ151" s="64"/>
      <c r="AR151" s="64"/>
      <c r="AS151" s="64"/>
      <c r="AT151" s="64"/>
      <c r="AU151" s="64"/>
      <c r="AV151" s="64"/>
      <c r="AW151" s="220"/>
    </row>
    <row r="152" spans="1:49" s="221" customFormat="1" ht="185.25" x14ac:dyDescent="0.25">
      <c r="A152" s="64">
        <f t="shared" si="5"/>
        <v>148</v>
      </c>
      <c r="B152" s="47" t="s">
        <v>598</v>
      </c>
      <c r="C152" s="123" t="s">
        <v>49</v>
      </c>
      <c r="D152" s="63" t="s">
        <v>50</v>
      </c>
      <c r="E152" s="47" t="s">
        <v>89</v>
      </c>
      <c r="F152" s="63" t="s">
        <v>52</v>
      </c>
      <c r="G152" s="63" t="s">
        <v>53</v>
      </c>
      <c r="H152" s="124" t="s">
        <v>54</v>
      </c>
      <c r="I152" s="63" t="s">
        <v>55</v>
      </c>
      <c r="J152" s="63" t="s">
        <v>56</v>
      </c>
      <c r="K152" s="126">
        <v>801116</v>
      </c>
      <c r="L152" s="126" t="s">
        <v>57</v>
      </c>
      <c r="M152" s="47" t="s">
        <v>58</v>
      </c>
      <c r="N152" s="47" t="s">
        <v>59</v>
      </c>
      <c r="O152" s="125" t="s">
        <v>60</v>
      </c>
      <c r="P152" s="48" t="s">
        <v>599</v>
      </c>
      <c r="Q152" s="64"/>
      <c r="R152" s="64"/>
      <c r="S152" s="64"/>
      <c r="T152" s="64"/>
      <c r="U152" s="47"/>
      <c r="V152" s="64"/>
      <c r="W152" s="64"/>
      <c r="X152" s="64"/>
      <c r="Y152" s="64"/>
      <c r="Z152" s="64"/>
      <c r="AA152" s="64"/>
      <c r="AB152" s="50">
        <v>0</v>
      </c>
      <c r="AC152" s="64"/>
      <c r="AD152" s="52"/>
      <c r="AE152" s="64"/>
      <c r="AF152" s="50">
        <v>0</v>
      </c>
      <c r="AG152" s="50">
        <v>0</v>
      </c>
      <c r="AH152" s="55">
        <v>0</v>
      </c>
      <c r="AI152" s="50">
        <v>0</v>
      </c>
      <c r="AJ152" s="50">
        <v>0</v>
      </c>
      <c r="AK152" s="64"/>
      <c r="AL152" s="55">
        <v>0</v>
      </c>
      <c r="AM152" s="55">
        <v>0</v>
      </c>
      <c r="AN152" s="70">
        <f t="shared" ref="AN152:AN156" si="9">AL152-AM152</f>
        <v>0</v>
      </c>
      <c r="AO152" s="64"/>
      <c r="AP152" s="64"/>
      <c r="AQ152" s="64"/>
      <c r="AR152" s="64"/>
      <c r="AS152" s="64"/>
      <c r="AT152" s="64"/>
      <c r="AU152" s="64"/>
      <c r="AV152" s="64"/>
      <c r="AW152" s="220"/>
    </row>
    <row r="153" spans="1:49" s="221" customFormat="1" ht="185.25" x14ac:dyDescent="0.25">
      <c r="A153" s="64">
        <f t="shared" si="5"/>
        <v>149</v>
      </c>
      <c r="B153" s="47" t="s">
        <v>600</v>
      </c>
      <c r="C153" s="123" t="s">
        <v>49</v>
      </c>
      <c r="D153" s="63" t="s">
        <v>50</v>
      </c>
      <c r="E153" s="47" t="s">
        <v>51</v>
      </c>
      <c r="F153" s="63" t="s">
        <v>52</v>
      </c>
      <c r="G153" s="63" t="s">
        <v>53</v>
      </c>
      <c r="H153" s="124" t="s">
        <v>54</v>
      </c>
      <c r="I153" s="63" t="s">
        <v>55</v>
      </c>
      <c r="J153" s="63" t="s">
        <v>56</v>
      </c>
      <c r="K153" s="126">
        <v>801117</v>
      </c>
      <c r="L153" s="126" t="s">
        <v>57</v>
      </c>
      <c r="M153" s="47" t="s">
        <v>601</v>
      </c>
      <c r="N153" s="47" t="s">
        <v>450</v>
      </c>
      <c r="O153" s="125" t="s">
        <v>451</v>
      </c>
      <c r="P153" s="48" t="s">
        <v>602</v>
      </c>
      <c r="Q153" s="64"/>
      <c r="R153" s="64"/>
      <c r="S153" s="64"/>
      <c r="T153" s="64"/>
      <c r="U153" s="47"/>
      <c r="V153" s="64"/>
      <c r="W153" s="64"/>
      <c r="X153" s="64"/>
      <c r="Y153" s="64"/>
      <c r="Z153" s="64"/>
      <c r="AA153" s="64"/>
      <c r="AB153" s="50">
        <v>0</v>
      </c>
      <c r="AC153" s="64"/>
      <c r="AD153" s="52"/>
      <c r="AE153" s="64"/>
      <c r="AF153" s="50">
        <v>0</v>
      </c>
      <c r="AG153" s="50">
        <v>0</v>
      </c>
      <c r="AH153" s="55">
        <v>0</v>
      </c>
      <c r="AI153" s="50">
        <v>0</v>
      </c>
      <c r="AJ153" s="50">
        <v>0</v>
      </c>
      <c r="AK153" s="64"/>
      <c r="AL153" s="55">
        <v>0</v>
      </c>
      <c r="AM153" s="55">
        <v>0</v>
      </c>
      <c r="AN153" s="70">
        <f t="shared" si="9"/>
        <v>0</v>
      </c>
      <c r="AO153" s="64"/>
      <c r="AP153" s="64"/>
      <c r="AQ153" s="64"/>
      <c r="AR153" s="64"/>
      <c r="AS153" s="64"/>
      <c r="AT153" s="64"/>
      <c r="AU153" s="64"/>
      <c r="AV153" s="64"/>
      <c r="AW153" s="220"/>
    </row>
    <row r="154" spans="1:49" s="221" customFormat="1" ht="299.25" x14ac:dyDescent="0.25">
      <c r="A154" s="64">
        <f t="shared" si="5"/>
        <v>150</v>
      </c>
      <c r="B154" s="47" t="s">
        <v>603</v>
      </c>
      <c r="C154" s="123" t="s">
        <v>49</v>
      </c>
      <c r="D154" s="63" t="s">
        <v>50</v>
      </c>
      <c r="E154" s="47" t="s">
        <v>51</v>
      </c>
      <c r="F154" s="63" t="s">
        <v>52</v>
      </c>
      <c r="G154" s="63" t="s">
        <v>53</v>
      </c>
      <c r="H154" s="124" t="s">
        <v>54</v>
      </c>
      <c r="I154" s="63" t="s">
        <v>55</v>
      </c>
      <c r="J154" s="63" t="s">
        <v>56</v>
      </c>
      <c r="K154" s="126">
        <v>801116</v>
      </c>
      <c r="L154" s="126" t="s">
        <v>57</v>
      </c>
      <c r="M154" s="47" t="s">
        <v>58</v>
      </c>
      <c r="N154" s="47" t="s">
        <v>59</v>
      </c>
      <c r="O154" s="125" t="s">
        <v>60</v>
      </c>
      <c r="P154" s="47" t="s">
        <v>509</v>
      </c>
      <c r="Q154" s="64"/>
      <c r="R154" s="64"/>
      <c r="S154" s="64"/>
      <c r="T154" s="64"/>
      <c r="U154" s="47"/>
      <c r="V154" s="64"/>
      <c r="W154" s="64"/>
      <c r="X154" s="64"/>
      <c r="Y154" s="64"/>
      <c r="Z154" s="64"/>
      <c r="AA154" s="64"/>
      <c r="AB154" s="50">
        <v>0</v>
      </c>
      <c r="AC154" s="64"/>
      <c r="AD154" s="52">
        <v>0</v>
      </c>
      <c r="AE154" s="64"/>
      <c r="AF154" s="50">
        <v>0</v>
      </c>
      <c r="AG154" s="50">
        <v>0</v>
      </c>
      <c r="AH154" s="55">
        <v>0</v>
      </c>
      <c r="AI154" s="50">
        <v>0</v>
      </c>
      <c r="AJ154" s="50">
        <v>0</v>
      </c>
      <c r="AK154" s="64"/>
      <c r="AL154" s="55">
        <v>0</v>
      </c>
      <c r="AM154" s="55">
        <v>0</v>
      </c>
      <c r="AN154" s="70">
        <f t="shared" si="9"/>
        <v>0</v>
      </c>
      <c r="AO154" s="64"/>
      <c r="AP154" s="64"/>
      <c r="AQ154" s="64"/>
      <c r="AR154" s="64"/>
      <c r="AS154" s="64"/>
      <c r="AT154" s="64"/>
      <c r="AU154" s="64"/>
      <c r="AV154" s="64"/>
      <c r="AW154" s="220"/>
    </row>
    <row r="155" spans="1:49" s="221" customFormat="1" ht="327.75" x14ac:dyDescent="0.25">
      <c r="A155" s="64">
        <f t="shared" si="5"/>
        <v>151</v>
      </c>
      <c r="B155" s="47" t="s">
        <v>604</v>
      </c>
      <c r="C155" s="47" t="s">
        <v>49</v>
      </c>
      <c r="D155" s="47" t="s">
        <v>50</v>
      </c>
      <c r="E155" s="47" t="s">
        <v>89</v>
      </c>
      <c r="F155" s="47" t="s">
        <v>436</v>
      </c>
      <c r="G155" s="47" t="s">
        <v>437</v>
      </c>
      <c r="H155" s="47" t="s">
        <v>438</v>
      </c>
      <c r="I155" s="47" t="s">
        <v>55</v>
      </c>
      <c r="J155" s="47" t="s">
        <v>56</v>
      </c>
      <c r="K155" s="47" t="s">
        <v>439</v>
      </c>
      <c r="L155" s="47"/>
      <c r="M155" s="47"/>
      <c r="N155" s="47"/>
      <c r="O155" s="125" t="s">
        <v>60</v>
      </c>
      <c r="P155" s="47" t="s">
        <v>570</v>
      </c>
      <c r="Q155" s="64"/>
      <c r="R155" s="64"/>
      <c r="S155" s="64"/>
      <c r="T155" s="64"/>
      <c r="U155" s="47"/>
      <c r="V155" s="64"/>
      <c r="W155" s="64"/>
      <c r="X155" s="64"/>
      <c r="Y155" s="64"/>
      <c r="Z155" s="64"/>
      <c r="AA155" s="64"/>
      <c r="AB155" s="50">
        <v>0</v>
      </c>
      <c r="AC155" s="64">
        <v>0</v>
      </c>
      <c r="AD155" s="52">
        <v>0</v>
      </c>
      <c r="AE155" s="64"/>
      <c r="AF155" s="50">
        <v>0</v>
      </c>
      <c r="AG155" s="50">
        <v>0</v>
      </c>
      <c r="AH155" s="55">
        <v>0</v>
      </c>
      <c r="AI155" s="50">
        <v>0</v>
      </c>
      <c r="AJ155" s="50">
        <v>0</v>
      </c>
      <c r="AK155" s="64"/>
      <c r="AL155" s="55">
        <v>0</v>
      </c>
      <c r="AM155" s="55">
        <v>0</v>
      </c>
      <c r="AN155" s="70">
        <f t="shared" si="9"/>
        <v>0</v>
      </c>
      <c r="AO155" s="64"/>
      <c r="AP155" s="64"/>
      <c r="AQ155" s="64"/>
      <c r="AR155" s="64"/>
      <c r="AS155" s="64"/>
      <c r="AT155" s="64"/>
      <c r="AU155" s="64"/>
      <c r="AV155" s="64"/>
      <c r="AW155" s="220"/>
    </row>
    <row r="156" spans="1:49" s="221" customFormat="1" ht="327.75" x14ac:dyDescent="0.25">
      <c r="A156" s="64">
        <f t="shared" si="5"/>
        <v>152</v>
      </c>
      <c r="B156" s="47" t="s">
        <v>605</v>
      </c>
      <c r="C156" s="47" t="s">
        <v>49</v>
      </c>
      <c r="D156" s="47" t="s">
        <v>50</v>
      </c>
      <c r="E156" s="47" t="s">
        <v>89</v>
      </c>
      <c r="F156" s="47" t="s">
        <v>436</v>
      </c>
      <c r="G156" s="47" t="s">
        <v>606</v>
      </c>
      <c r="H156" s="47" t="s">
        <v>438</v>
      </c>
      <c r="I156" s="47" t="s">
        <v>55</v>
      </c>
      <c r="J156" s="47" t="s">
        <v>56</v>
      </c>
      <c r="K156" s="47" t="s">
        <v>439</v>
      </c>
      <c r="L156" s="47"/>
      <c r="M156" s="47"/>
      <c r="N156" s="47"/>
      <c r="O156" s="125" t="s">
        <v>451</v>
      </c>
      <c r="P156" s="47" t="s">
        <v>570</v>
      </c>
      <c r="Q156" s="64"/>
      <c r="R156" s="64"/>
      <c r="S156" s="64"/>
      <c r="T156" s="64"/>
      <c r="U156" s="47"/>
      <c r="V156" s="64"/>
      <c r="W156" s="64"/>
      <c r="X156" s="64"/>
      <c r="Y156" s="64"/>
      <c r="Z156" s="64"/>
      <c r="AA156" s="64"/>
      <c r="AB156" s="50">
        <v>0</v>
      </c>
      <c r="AC156" s="64">
        <v>0</v>
      </c>
      <c r="AD156" s="52">
        <v>0</v>
      </c>
      <c r="AE156" s="64"/>
      <c r="AF156" s="50">
        <v>0</v>
      </c>
      <c r="AG156" s="50">
        <v>0</v>
      </c>
      <c r="AH156" s="55">
        <v>0</v>
      </c>
      <c r="AI156" s="50">
        <v>0</v>
      </c>
      <c r="AJ156" s="50">
        <v>0</v>
      </c>
      <c r="AK156" s="64"/>
      <c r="AL156" s="55">
        <v>0</v>
      </c>
      <c r="AM156" s="55">
        <v>0</v>
      </c>
      <c r="AN156" s="70">
        <f t="shared" si="9"/>
        <v>0</v>
      </c>
      <c r="AO156" s="64"/>
      <c r="AP156" s="64"/>
      <c r="AQ156" s="64"/>
      <c r="AR156" s="64"/>
      <c r="AS156" s="64"/>
      <c r="AT156" s="64"/>
      <c r="AU156" s="64"/>
      <c r="AV156" s="64"/>
      <c r="AW156" s="220"/>
    </row>
    <row r="157" spans="1:49" s="221" customFormat="1" ht="313.5" x14ac:dyDescent="0.25">
      <c r="A157" s="64">
        <f t="shared" si="5"/>
        <v>153</v>
      </c>
      <c r="B157" s="47" t="s">
        <v>607</v>
      </c>
      <c r="C157" s="123" t="s">
        <v>49</v>
      </c>
      <c r="D157" s="63" t="s">
        <v>50</v>
      </c>
      <c r="E157" s="47" t="s">
        <v>51</v>
      </c>
      <c r="F157" s="47" t="s">
        <v>577</v>
      </c>
      <c r="G157" s="47" t="s">
        <v>608</v>
      </c>
      <c r="H157" s="47" t="s">
        <v>609</v>
      </c>
      <c r="I157" s="47" t="s">
        <v>55</v>
      </c>
      <c r="J157" s="47" t="s">
        <v>56</v>
      </c>
      <c r="K157" s="47">
        <v>72101507</v>
      </c>
      <c r="L157" s="127">
        <v>2103010503010190</v>
      </c>
      <c r="M157" s="47" t="s">
        <v>610</v>
      </c>
      <c r="N157" s="47" t="s">
        <v>59</v>
      </c>
      <c r="O157" s="125" t="s">
        <v>611</v>
      </c>
      <c r="P157" s="47" t="s">
        <v>612</v>
      </c>
      <c r="Q157" s="64"/>
      <c r="R157" s="64"/>
      <c r="S157" s="70">
        <v>24457140</v>
      </c>
      <c r="T157" s="47" t="s">
        <v>613</v>
      </c>
      <c r="U157" s="47" t="s">
        <v>614</v>
      </c>
      <c r="V157" s="64" t="s">
        <v>492</v>
      </c>
      <c r="W157" s="64"/>
      <c r="X157" s="64" t="s">
        <v>615</v>
      </c>
      <c r="Y157" s="60">
        <v>43294</v>
      </c>
      <c r="Z157" s="70">
        <v>24457140</v>
      </c>
      <c r="AA157" s="64" t="s">
        <v>409</v>
      </c>
      <c r="AB157" s="50">
        <v>974</v>
      </c>
      <c r="AC157" s="60">
        <v>43294</v>
      </c>
      <c r="AD157" s="52">
        <v>24457140</v>
      </c>
      <c r="AE157" s="64"/>
      <c r="AF157" s="50">
        <v>2488</v>
      </c>
      <c r="AG157" s="50">
        <v>43294</v>
      </c>
      <c r="AH157" s="55">
        <v>24457140</v>
      </c>
      <c r="AI157" s="50" t="s">
        <v>616</v>
      </c>
      <c r="AJ157" s="50">
        <v>694</v>
      </c>
      <c r="AK157" s="64"/>
      <c r="AL157" s="55">
        <v>24457140</v>
      </c>
      <c r="AM157" s="69">
        <v>0</v>
      </c>
      <c r="AN157" s="69">
        <v>24457140</v>
      </c>
      <c r="AO157" s="64"/>
      <c r="AP157" s="64"/>
      <c r="AQ157" s="64"/>
      <c r="AR157" s="64"/>
      <c r="AS157" s="64"/>
      <c r="AT157" s="64"/>
      <c r="AU157" s="64"/>
      <c r="AV157" s="64"/>
      <c r="AW157" s="220"/>
    </row>
    <row r="158" spans="1:49" s="221" customFormat="1" ht="327.75" x14ac:dyDescent="0.25">
      <c r="A158" s="64">
        <f t="shared" si="5"/>
        <v>154</v>
      </c>
      <c r="B158" s="47" t="s">
        <v>617</v>
      </c>
      <c r="C158" s="123" t="s">
        <v>49</v>
      </c>
      <c r="D158" s="63" t="s">
        <v>50</v>
      </c>
      <c r="E158" s="47" t="s">
        <v>51</v>
      </c>
      <c r="F158" s="47" t="s">
        <v>577</v>
      </c>
      <c r="G158" s="47" t="s">
        <v>608</v>
      </c>
      <c r="H158" s="47" t="s">
        <v>609</v>
      </c>
      <c r="I158" s="47" t="s">
        <v>55</v>
      </c>
      <c r="J158" s="47" t="s">
        <v>56</v>
      </c>
      <c r="K158" s="47">
        <v>93121705</v>
      </c>
      <c r="L158" s="127">
        <v>2103010503010190</v>
      </c>
      <c r="M158" s="47" t="s">
        <v>610</v>
      </c>
      <c r="N158" s="47" t="s">
        <v>450</v>
      </c>
      <c r="O158" s="125" t="s">
        <v>618</v>
      </c>
      <c r="P158" s="47" t="s">
        <v>619</v>
      </c>
      <c r="Q158" s="64"/>
      <c r="R158" s="64"/>
      <c r="S158" s="70">
        <v>14280000</v>
      </c>
      <c r="T158" s="47" t="s">
        <v>613</v>
      </c>
      <c r="U158" s="47" t="s">
        <v>614</v>
      </c>
      <c r="V158" s="64" t="s">
        <v>492</v>
      </c>
      <c r="W158" s="64"/>
      <c r="X158" s="64" t="s">
        <v>620</v>
      </c>
      <c r="Y158" s="60">
        <v>43294</v>
      </c>
      <c r="Z158" s="70">
        <v>14280000</v>
      </c>
      <c r="AA158" s="64" t="s">
        <v>409</v>
      </c>
      <c r="AB158" s="50">
        <v>976</v>
      </c>
      <c r="AC158" s="60">
        <v>43294</v>
      </c>
      <c r="AD158" s="52">
        <v>14280000</v>
      </c>
      <c r="AE158" s="64"/>
      <c r="AF158" s="50">
        <v>2529</v>
      </c>
      <c r="AG158" s="50">
        <v>43305</v>
      </c>
      <c r="AH158" s="55">
        <v>14280000</v>
      </c>
      <c r="AI158" s="50" t="s">
        <v>621</v>
      </c>
      <c r="AJ158" s="50">
        <v>1</v>
      </c>
      <c r="AK158" s="64"/>
      <c r="AL158" s="55">
        <v>14280000</v>
      </c>
      <c r="AM158" s="69">
        <v>0</v>
      </c>
      <c r="AN158" s="69">
        <v>14280000</v>
      </c>
      <c r="AO158" s="64"/>
      <c r="AP158" s="64"/>
      <c r="AQ158" s="64"/>
      <c r="AR158" s="64"/>
      <c r="AS158" s="64"/>
      <c r="AT158" s="64"/>
      <c r="AU158" s="64"/>
      <c r="AV158" s="64"/>
      <c r="AW158" s="220"/>
    </row>
    <row r="159" spans="1:49" s="221" customFormat="1" ht="342" x14ac:dyDescent="0.25">
      <c r="A159" s="64">
        <f t="shared" si="5"/>
        <v>155</v>
      </c>
      <c r="B159" s="47" t="s">
        <v>622</v>
      </c>
      <c r="C159" s="123" t="s">
        <v>49</v>
      </c>
      <c r="D159" s="63" t="s">
        <v>50</v>
      </c>
      <c r="E159" s="47" t="s">
        <v>51</v>
      </c>
      <c r="F159" s="63" t="s">
        <v>52</v>
      </c>
      <c r="G159" s="63" t="s">
        <v>53</v>
      </c>
      <c r="H159" s="124" t="s">
        <v>54</v>
      </c>
      <c r="I159" s="63" t="s">
        <v>55</v>
      </c>
      <c r="J159" s="63" t="s">
        <v>56</v>
      </c>
      <c r="K159" s="126">
        <v>801116</v>
      </c>
      <c r="L159" s="126" t="s">
        <v>57</v>
      </c>
      <c r="M159" s="47" t="s">
        <v>58</v>
      </c>
      <c r="N159" s="47" t="s">
        <v>59</v>
      </c>
      <c r="O159" s="125" t="s">
        <v>60</v>
      </c>
      <c r="P159" s="47" t="s">
        <v>623</v>
      </c>
      <c r="Q159" s="64">
        <v>11000000</v>
      </c>
      <c r="R159" s="64">
        <v>1</v>
      </c>
      <c r="S159" s="70"/>
      <c r="T159" s="47" t="s">
        <v>445</v>
      </c>
      <c r="U159" s="47" t="s">
        <v>444</v>
      </c>
      <c r="V159" s="60">
        <v>43299</v>
      </c>
      <c r="W159" s="64">
        <v>5</v>
      </c>
      <c r="X159" s="64" t="s">
        <v>624</v>
      </c>
      <c r="Y159" s="60">
        <v>43299</v>
      </c>
      <c r="Z159" s="70">
        <v>55000000</v>
      </c>
      <c r="AA159" s="64" t="s">
        <v>409</v>
      </c>
      <c r="AB159" s="50" t="e">
        <v>#N/A</v>
      </c>
      <c r="AC159" s="64" t="s">
        <v>625</v>
      </c>
      <c r="AD159" s="52" t="s">
        <v>625</v>
      </c>
      <c r="AE159" s="64" t="s">
        <v>625</v>
      </c>
      <c r="AF159" s="50">
        <v>0</v>
      </c>
      <c r="AG159" s="50">
        <v>0</v>
      </c>
      <c r="AH159" s="55">
        <v>0</v>
      </c>
      <c r="AI159" s="50">
        <v>0</v>
      </c>
      <c r="AJ159" s="50">
        <v>0</v>
      </c>
      <c r="AK159" s="64" t="s">
        <v>625</v>
      </c>
      <c r="AL159" s="55">
        <v>0</v>
      </c>
      <c r="AM159" s="55">
        <v>0</v>
      </c>
      <c r="AN159" s="70" t="s">
        <v>625</v>
      </c>
      <c r="AO159" s="64" t="s">
        <v>625</v>
      </c>
      <c r="AP159" s="64" t="s">
        <v>625</v>
      </c>
      <c r="AQ159" s="225" t="s">
        <v>626</v>
      </c>
      <c r="AR159" s="64"/>
      <c r="AS159" s="64"/>
      <c r="AT159" s="64"/>
      <c r="AU159" s="64"/>
      <c r="AV159" s="64"/>
      <c r="AW159" s="220"/>
    </row>
    <row r="160" spans="1:49" s="221" customFormat="1" ht="399" x14ac:dyDescent="0.25">
      <c r="A160" s="64">
        <f t="shared" si="5"/>
        <v>156</v>
      </c>
      <c r="B160" s="47" t="s">
        <v>627</v>
      </c>
      <c r="C160" s="123" t="s">
        <v>49</v>
      </c>
      <c r="D160" s="63" t="s">
        <v>50</v>
      </c>
      <c r="E160" s="47" t="s">
        <v>89</v>
      </c>
      <c r="F160" s="63" t="s">
        <v>52</v>
      </c>
      <c r="G160" s="63" t="s">
        <v>53</v>
      </c>
      <c r="H160" s="124" t="s">
        <v>54</v>
      </c>
      <c r="I160" s="63" t="s">
        <v>55</v>
      </c>
      <c r="J160" s="63" t="s">
        <v>56</v>
      </c>
      <c r="K160" s="126">
        <v>801116</v>
      </c>
      <c r="L160" s="126" t="s">
        <v>57</v>
      </c>
      <c r="M160" s="47" t="s">
        <v>58</v>
      </c>
      <c r="N160" s="47" t="s">
        <v>59</v>
      </c>
      <c r="O160" s="125" t="s">
        <v>60</v>
      </c>
      <c r="P160" s="47" t="s">
        <v>628</v>
      </c>
      <c r="Q160" s="64">
        <v>5253000</v>
      </c>
      <c r="R160" s="64">
        <v>1</v>
      </c>
      <c r="S160" s="70">
        <v>26265000</v>
      </c>
      <c r="T160" s="47" t="s">
        <v>445</v>
      </c>
      <c r="U160" s="47" t="s">
        <v>444</v>
      </c>
      <c r="V160" s="60">
        <v>43299</v>
      </c>
      <c r="W160" s="64">
        <v>5</v>
      </c>
      <c r="X160" s="64" t="s">
        <v>629</v>
      </c>
      <c r="Y160" s="60">
        <v>43299</v>
      </c>
      <c r="Z160" s="70">
        <v>26265000</v>
      </c>
      <c r="AA160" s="64" t="s">
        <v>409</v>
      </c>
      <c r="AB160" s="50">
        <v>992</v>
      </c>
      <c r="AC160" s="64"/>
      <c r="AD160" s="52"/>
      <c r="AE160" s="64"/>
      <c r="AF160" s="50">
        <v>2600</v>
      </c>
      <c r="AG160" s="50">
        <v>43315</v>
      </c>
      <c r="AH160" s="55">
        <v>26265000</v>
      </c>
      <c r="AI160" s="50" t="s">
        <v>630</v>
      </c>
      <c r="AJ160" s="50">
        <v>485</v>
      </c>
      <c r="AK160" s="64"/>
      <c r="AL160" s="55">
        <v>26265000</v>
      </c>
      <c r="AM160" s="69">
        <v>5077900</v>
      </c>
      <c r="AN160" s="69">
        <v>21187100</v>
      </c>
      <c r="AO160" s="64"/>
      <c r="AP160" s="64"/>
      <c r="AQ160" s="64"/>
      <c r="AR160" s="64"/>
      <c r="AS160" s="64"/>
      <c r="AT160" s="64"/>
      <c r="AU160" s="64"/>
      <c r="AV160" s="64"/>
      <c r="AW160" s="220"/>
    </row>
    <row r="161" spans="1:49" s="221" customFormat="1" ht="342" x14ac:dyDescent="0.25">
      <c r="A161" s="64">
        <f t="shared" si="5"/>
        <v>157</v>
      </c>
      <c r="B161" s="47" t="s">
        <v>631</v>
      </c>
      <c r="C161" s="123" t="s">
        <v>49</v>
      </c>
      <c r="D161" s="63" t="s">
        <v>50</v>
      </c>
      <c r="E161" s="47" t="s">
        <v>51</v>
      </c>
      <c r="F161" s="63" t="s">
        <v>52</v>
      </c>
      <c r="G161" s="63" t="s">
        <v>53</v>
      </c>
      <c r="H161" s="124" t="s">
        <v>54</v>
      </c>
      <c r="I161" s="63" t="s">
        <v>55</v>
      </c>
      <c r="J161" s="63" t="s">
        <v>56</v>
      </c>
      <c r="K161" s="126">
        <v>801116</v>
      </c>
      <c r="L161" s="126" t="s">
        <v>57</v>
      </c>
      <c r="M161" s="47" t="s">
        <v>58</v>
      </c>
      <c r="N161" s="47" t="s">
        <v>59</v>
      </c>
      <c r="O161" s="125" t="s">
        <v>60</v>
      </c>
      <c r="P161" s="47" t="s">
        <v>632</v>
      </c>
      <c r="Q161" s="64">
        <v>11000000</v>
      </c>
      <c r="R161" s="64">
        <v>1</v>
      </c>
      <c r="S161" s="70">
        <v>55000000</v>
      </c>
      <c r="T161" s="47" t="s">
        <v>445</v>
      </c>
      <c r="U161" s="47" t="s">
        <v>444</v>
      </c>
      <c r="V161" s="60">
        <v>43313</v>
      </c>
      <c r="W161" s="64">
        <v>5</v>
      </c>
      <c r="X161" s="64" t="s">
        <v>633</v>
      </c>
      <c r="Y161" s="60">
        <v>43313</v>
      </c>
      <c r="Z161" s="70">
        <v>55000000</v>
      </c>
      <c r="AA161" s="64"/>
      <c r="AB161" s="50">
        <v>1021</v>
      </c>
      <c r="AC161" s="64"/>
      <c r="AD161" s="52"/>
      <c r="AE161" s="64"/>
      <c r="AF161" s="50">
        <v>2589</v>
      </c>
      <c r="AG161" s="50">
        <v>43315</v>
      </c>
      <c r="AH161" s="55">
        <v>54266667</v>
      </c>
      <c r="AI161" s="50" t="s">
        <v>634</v>
      </c>
      <c r="AJ161" s="50">
        <v>483</v>
      </c>
      <c r="AK161" s="64"/>
      <c r="AL161" s="55">
        <v>54266667</v>
      </c>
      <c r="AM161" s="69">
        <v>10266667</v>
      </c>
      <c r="AN161" s="69">
        <v>44000000</v>
      </c>
      <c r="AO161" s="64"/>
      <c r="AP161" s="64"/>
      <c r="AQ161" s="64"/>
      <c r="AR161" s="64"/>
      <c r="AS161" s="64"/>
      <c r="AT161" s="64"/>
      <c r="AU161" s="64"/>
      <c r="AV161" s="64"/>
      <c r="AW161" s="220"/>
    </row>
    <row r="162" spans="1:49" s="221" customFormat="1" ht="256.5" x14ac:dyDescent="0.25">
      <c r="A162" s="64">
        <f>A161+1</f>
        <v>158</v>
      </c>
      <c r="B162" s="47" t="s">
        <v>635</v>
      </c>
      <c r="C162" s="123" t="s">
        <v>49</v>
      </c>
      <c r="D162" s="63" t="s">
        <v>50</v>
      </c>
      <c r="E162" s="47" t="s">
        <v>51</v>
      </c>
      <c r="F162" s="63" t="s">
        <v>52</v>
      </c>
      <c r="G162" s="63" t="s">
        <v>53</v>
      </c>
      <c r="H162" s="124" t="s">
        <v>54</v>
      </c>
      <c r="I162" s="63" t="s">
        <v>55</v>
      </c>
      <c r="J162" s="63" t="s">
        <v>56</v>
      </c>
      <c r="K162" s="126">
        <v>801116</v>
      </c>
      <c r="L162" s="126" t="s">
        <v>57</v>
      </c>
      <c r="M162" s="47" t="s">
        <v>58</v>
      </c>
      <c r="N162" s="47" t="s">
        <v>59</v>
      </c>
      <c r="O162" s="125" t="s">
        <v>60</v>
      </c>
      <c r="P162" s="47" t="s">
        <v>636</v>
      </c>
      <c r="Q162" s="64">
        <v>7210000</v>
      </c>
      <c r="R162" s="64">
        <v>1</v>
      </c>
      <c r="S162" s="70">
        <v>32445000</v>
      </c>
      <c r="T162" s="47" t="s">
        <v>445</v>
      </c>
      <c r="U162" s="47" t="s">
        <v>444</v>
      </c>
      <c r="V162" s="60">
        <v>43321</v>
      </c>
      <c r="W162" s="64">
        <v>4.5</v>
      </c>
      <c r="X162" s="64" t="s">
        <v>637</v>
      </c>
      <c r="Y162" s="60">
        <v>43322</v>
      </c>
      <c r="Z162" s="70">
        <v>32445000</v>
      </c>
      <c r="AA162" s="64" t="s">
        <v>48</v>
      </c>
      <c r="AB162" s="50">
        <v>1055</v>
      </c>
      <c r="AC162" s="60">
        <v>43325</v>
      </c>
      <c r="AD162" s="52">
        <v>32445000</v>
      </c>
      <c r="AE162" s="64"/>
      <c r="AF162" s="50">
        <v>2895</v>
      </c>
      <c r="AG162" s="51">
        <v>43361</v>
      </c>
      <c r="AH162" s="55">
        <v>28840000</v>
      </c>
      <c r="AI162" s="64" t="s">
        <v>638</v>
      </c>
      <c r="AJ162" s="50">
        <v>0</v>
      </c>
      <c r="AK162" s="64"/>
      <c r="AL162" s="55">
        <v>28840000</v>
      </c>
      <c r="AM162" s="69">
        <v>0</v>
      </c>
      <c r="AN162" s="69">
        <v>28840000</v>
      </c>
      <c r="AO162" s="64"/>
      <c r="AP162" s="64"/>
      <c r="AQ162" s="64"/>
      <c r="AR162" s="64"/>
      <c r="AS162" s="64"/>
      <c r="AT162" s="64"/>
      <c r="AU162" s="64"/>
      <c r="AV162" s="64"/>
      <c r="AW162" s="220"/>
    </row>
    <row r="163" spans="1:49" s="221" customFormat="1" ht="409.5" x14ac:dyDescent="0.25">
      <c r="A163" s="64">
        <f>A162+1</f>
        <v>159</v>
      </c>
      <c r="B163" s="47" t="s">
        <v>639</v>
      </c>
      <c r="C163" s="123" t="s">
        <v>49</v>
      </c>
      <c r="D163" s="63" t="s">
        <v>50</v>
      </c>
      <c r="E163" s="47" t="s">
        <v>51</v>
      </c>
      <c r="F163" s="63" t="s">
        <v>425</v>
      </c>
      <c r="G163" s="63" t="s">
        <v>485</v>
      </c>
      <c r="H163" s="63" t="s">
        <v>486</v>
      </c>
      <c r="I163" s="63" t="s">
        <v>55</v>
      </c>
      <c r="J163" s="63" t="s">
        <v>56</v>
      </c>
      <c r="K163" s="63">
        <v>84131501</v>
      </c>
      <c r="L163" s="126" t="s">
        <v>57</v>
      </c>
      <c r="M163" s="47" t="s">
        <v>58</v>
      </c>
      <c r="N163" s="47" t="s">
        <v>59</v>
      </c>
      <c r="O163" s="125" t="s">
        <v>60</v>
      </c>
      <c r="P163" s="47" t="s">
        <v>640</v>
      </c>
      <c r="Q163" s="64">
        <v>929678</v>
      </c>
      <c r="R163" s="64">
        <v>1</v>
      </c>
      <c r="S163" s="70">
        <v>929678</v>
      </c>
      <c r="T163" s="47" t="s">
        <v>417</v>
      </c>
      <c r="U163" s="47" t="s">
        <v>417</v>
      </c>
      <c r="V163" s="60">
        <v>43321</v>
      </c>
      <c r="W163" s="64">
        <v>1</v>
      </c>
      <c r="X163" s="64" t="s">
        <v>641</v>
      </c>
      <c r="Y163" s="60">
        <v>43322</v>
      </c>
      <c r="Z163" s="70">
        <v>929678</v>
      </c>
      <c r="AA163" s="64" t="s">
        <v>484</v>
      </c>
      <c r="AB163" s="50">
        <v>1056</v>
      </c>
      <c r="AC163" s="60">
        <v>43325</v>
      </c>
      <c r="AD163" s="52">
        <v>929678</v>
      </c>
      <c r="AE163" s="64"/>
      <c r="AF163" s="50">
        <v>2703</v>
      </c>
      <c r="AG163" s="51">
        <v>43334</v>
      </c>
      <c r="AH163" s="69">
        <v>929678</v>
      </c>
      <c r="AI163" s="50" t="s">
        <v>582</v>
      </c>
      <c r="AJ163" s="50">
        <v>3164</v>
      </c>
      <c r="AK163" s="64"/>
      <c r="AL163" s="55">
        <v>929678</v>
      </c>
      <c r="AM163" s="69">
        <v>929678</v>
      </c>
      <c r="AN163" s="69">
        <v>0</v>
      </c>
      <c r="AO163" s="64"/>
      <c r="AP163" s="64"/>
      <c r="AQ163" s="64"/>
      <c r="AR163" s="64"/>
      <c r="AS163" s="64"/>
      <c r="AT163" s="64"/>
      <c r="AU163" s="64"/>
      <c r="AV163" s="64"/>
      <c r="AW163" s="220"/>
    </row>
    <row r="164" spans="1:49" s="221" customFormat="1" ht="142.5" x14ac:dyDescent="0.25">
      <c r="A164" s="64">
        <f t="shared" ref="A164:A186" si="10">A163+1</f>
        <v>160</v>
      </c>
      <c r="B164" s="47" t="s">
        <v>642</v>
      </c>
      <c r="C164" s="123" t="s">
        <v>49</v>
      </c>
      <c r="D164" s="123" t="s">
        <v>50</v>
      </c>
      <c r="E164" s="123" t="s">
        <v>89</v>
      </c>
      <c r="F164" s="123" t="s">
        <v>52</v>
      </c>
      <c r="G164" s="123" t="s">
        <v>53</v>
      </c>
      <c r="H164" s="123" t="s">
        <v>54</v>
      </c>
      <c r="I164" s="123" t="s">
        <v>55</v>
      </c>
      <c r="J164" s="123" t="s">
        <v>56</v>
      </c>
      <c r="K164" s="123">
        <v>801116</v>
      </c>
      <c r="L164" s="123" t="s">
        <v>57</v>
      </c>
      <c r="M164" s="123" t="s">
        <v>58</v>
      </c>
      <c r="N164" s="123" t="s">
        <v>59</v>
      </c>
      <c r="O164" s="123" t="s">
        <v>60</v>
      </c>
      <c r="P164" s="47" t="s">
        <v>643</v>
      </c>
      <c r="Q164" s="64"/>
      <c r="R164" s="64"/>
      <c r="S164" s="64"/>
      <c r="T164" s="64"/>
      <c r="U164" s="47"/>
      <c r="V164" s="64"/>
      <c r="W164" s="64"/>
      <c r="X164" s="64"/>
      <c r="Y164" s="64"/>
      <c r="Z164" s="64"/>
      <c r="AA164" s="64"/>
      <c r="AB164" s="50">
        <v>0</v>
      </c>
      <c r="AC164" s="64"/>
      <c r="AD164" s="52"/>
      <c r="AE164" s="64"/>
      <c r="AF164" s="50">
        <v>0</v>
      </c>
      <c r="AG164" s="50">
        <v>0</v>
      </c>
      <c r="AH164" s="55">
        <v>0</v>
      </c>
      <c r="AI164" s="50">
        <v>0</v>
      </c>
      <c r="AJ164" s="50">
        <v>0</v>
      </c>
      <c r="AK164" s="64"/>
      <c r="AL164" s="55">
        <v>0</v>
      </c>
      <c r="AM164" s="55">
        <v>0</v>
      </c>
      <c r="AN164" s="65">
        <f>AL164-AM164</f>
        <v>0</v>
      </c>
      <c r="AO164" s="58" t="s">
        <v>67</v>
      </c>
      <c r="AP164" s="64"/>
      <c r="AQ164" s="64"/>
      <c r="AR164" s="64"/>
      <c r="AS164" s="64"/>
      <c r="AT164" s="64"/>
      <c r="AU164" s="64"/>
      <c r="AV164" s="64"/>
      <c r="AW164" s="220"/>
    </row>
    <row r="165" spans="1:49" s="221" customFormat="1" ht="171" x14ac:dyDescent="0.25">
      <c r="A165" s="64">
        <f t="shared" si="10"/>
        <v>161</v>
      </c>
      <c r="B165" s="47" t="s">
        <v>644</v>
      </c>
      <c r="C165" s="123" t="s">
        <v>49</v>
      </c>
      <c r="D165" s="63" t="s">
        <v>50</v>
      </c>
      <c r="E165" s="47" t="s">
        <v>89</v>
      </c>
      <c r="F165" s="63" t="s">
        <v>52</v>
      </c>
      <c r="G165" s="63" t="s">
        <v>53</v>
      </c>
      <c r="H165" s="124" t="s">
        <v>54</v>
      </c>
      <c r="I165" s="63" t="s">
        <v>55</v>
      </c>
      <c r="J165" s="63" t="s">
        <v>56</v>
      </c>
      <c r="K165" s="126">
        <v>801116</v>
      </c>
      <c r="L165" s="126" t="s">
        <v>57</v>
      </c>
      <c r="M165" s="47" t="s">
        <v>58</v>
      </c>
      <c r="N165" s="47" t="s">
        <v>59</v>
      </c>
      <c r="O165" s="125" t="s">
        <v>60</v>
      </c>
      <c r="P165" s="47" t="s">
        <v>645</v>
      </c>
      <c r="Q165" s="64"/>
      <c r="R165" s="64"/>
      <c r="S165" s="64"/>
      <c r="T165" s="64"/>
      <c r="U165" s="47"/>
      <c r="V165" s="64"/>
      <c r="W165" s="64"/>
      <c r="X165" s="64"/>
      <c r="Y165" s="64"/>
      <c r="Z165" s="64"/>
      <c r="AA165" s="64"/>
      <c r="AB165" s="50">
        <v>0</v>
      </c>
      <c r="AC165" s="64"/>
      <c r="AD165" s="52"/>
      <c r="AE165" s="64"/>
      <c r="AF165" s="50">
        <v>0</v>
      </c>
      <c r="AG165" s="50">
        <v>0</v>
      </c>
      <c r="AH165" s="55">
        <v>0</v>
      </c>
      <c r="AI165" s="50">
        <v>0</v>
      </c>
      <c r="AJ165" s="50">
        <v>0</v>
      </c>
      <c r="AK165" s="64"/>
      <c r="AL165" s="55">
        <v>0</v>
      </c>
      <c r="AM165" s="55">
        <v>0</v>
      </c>
      <c r="AN165" s="65">
        <f t="shared" ref="AN165:AN169" si="11">AL165-AM165</f>
        <v>0</v>
      </c>
      <c r="AO165" s="64"/>
      <c r="AP165" s="64"/>
      <c r="AQ165" s="64"/>
      <c r="AR165" s="64"/>
      <c r="AS165" s="64"/>
      <c r="AT165" s="64"/>
      <c r="AU165" s="64"/>
      <c r="AV165" s="64"/>
      <c r="AW165" s="220"/>
    </row>
    <row r="166" spans="1:49" s="221" customFormat="1" ht="171" x14ac:dyDescent="0.25">
      <c r="A166" s="64">
        <f t="shared" si="10"/>
        <v>162</v>
      </c>
      <c r="B166" s="47" t="s">
        <v>646</v>
      </c>
      <c r="C166" s="123" t="s">
        <v>49</v>
      </c>
      <c r="D166" s="63" t="s">
        <v>50</v>
      </c>
      <c r="E166" s="47" t="s">
        <v>51</v>
      </c>
      <c r="F166" s="63" t="s">
        <v>52</v>
      </c>
      <c r="G166" s="63" t="s">
        <v>53</v>
      </c>
      <c r="H166" s="124" t="s">
        <v>54</v>
      </c>
      <c r="I166" s="63" t="s">
        <v>55</v>
      </c>
      <c r="J166" s="63" t="s">
        <v>56</v>
      </c>
      <c r="K166" s="126">
        <v>801116</v>
      </c>
      <c r="L166" s="126" t="s">
        <v>57</v>
      </c>
      <c r="M166" s="47" t="s">
        <v>58</v>
      </c>
      <c r="N166" s="47" t="s">
        <v>59</v>
      </c>
      <c r="O166" s="125" t="s">
        <v>60</v>
      </c>
      <c r="P166" s="47" t="s">
        <v>645</v>
      </c>
      <c r="Q166" s="64"/>
      <c r="R166" s="64"/>
      <c r="S166" s="64"/>
      <c r="T166" s="64"/>
      <c r="U166" s="47"/>
      <c r="V166" s="64"/>
      <c r="W166" s="64"/>
      <c r="X166" s="64"/>
      <c r="Y166" s="64"/>
      <c r="Z166" s="64"/>
      <c r="AA166" s="64"/>
      <c r="AB166" s="50">
        <v>0</v>
      </c>
      <c r="AC166" s="64"/>
      <c r="AD166" s="52"/>
      <c r="AE166" s="64"/>
      <c r="AF166" s="50">
        <v>0</v>
      </c>
      <c r="AG166" s="50">
        <v>0</v>
      </c>
      <c r="AH166" s="55">
        <v>0</v>
      </c>
      <c r="AI166" s="50">
        <v>0</v>
      </c>
      <c r="AJ166" s="50">
        <v>0</v>
      </c>
      <c r="AK166" s="64"/>
      <c r="AL166" s="55">
        <v>0</v>
      </c>
      <c r="AM166" s="55">
        <v>0</v>
      </c>
      <c r="AN166" s="65">
        <f t="shared" si="11"/>
        <v>0</v>
      </c>
      <c r="AO166" s="64"/>
      <c r="AP166" s="64"/>
      <c r="AQ166" s="64"/>
      <c r="AR166" s="64"/>
      <c r="AS166" s="64"/>
      <c r="AT166" s="64"/>
      <c r="AU166" s="64"/>
      <c r="AV166" s="64"/>
      <c r="AW166" s="220"/>
    </row>
    <row r="167" spans="1:49" s="221" customFormat="1" ht="399" x14ac:dyDescent="0.25">
      <c r="A167" s="64">
        <f t="shared" si="10"/>
        <v>163</v>
      </c>
      <c r="B167" s="47" t="s">
        <v>647</v>
      </c>
      <c r="C167" s="123" t="s">
        <v>49</v>
      </c>
      <c r="D167" s="63" t="s">
        <v>50</v>
      </c>
      <c r="E167" s="47" t="s">
        <v>51</v>
      </c>
      <c r="F167" s="63" t="s">
        <v>52</v>
      </c>
      <c r="G167" s="63" t="s">
        <v>53</v>
      </c>
      <c r="H167" s="124" t="s">
        <v>54</v>
      </c>
      <c r="I167" s="63" t="s">
        <v>55</v>
      </c>
      <c r="J167" s="63" t="s">
        <v>56</v>
      </c>
      <c r="K167" s="126">
        <v>801116</v>
      </c>
      <c r="L167" s="126" t="s">
        <v>57</v>
      </c>
      <c r="M167" s="47" t="s">
        <v>58</v>
      </c>
      <c r="N167" s="47" t="s">
        <v>59</v>
      </c>
      <c r="O167" s="125" t="s">
        <v>60</v>
      </c>
      <c r="P167" s="47" t="s">
        <v>648</v>
      </c>
      <c r="Q167" s="64"/>
      <c r="R167" s="64"/>
      <c r="S167" s="64"/>
      <c r="T167" s="64"/>
      <c r="U167" s="47"/>
      <c r="V167" s="64"/>
      <c r="W167" s="64"/>
      <c r="X167" s="64"/>
      <c r="Y167" s="64"/>
      <c r="Z167" s="64"/>
      <c r="AA167" s="64"/>
      <c r="AB167" s="50">
        <v>0</v>
      </c>
      <c r="AC167" s="64"/>
      <c r="AD167" s="52">
        <v>0</v>
      </c>
      <c r="AE167" s="64"/>
      <c r="AF167" s="50">
        <v>0</v>
      </c>
      <c r="AG167" s="50">
        <v>0</v>
      </c>
      <c r="AH167" s="55">
        <v>0</v>
      </c>
      <c r="AI167" s="50">
        <v>0</v>
      </c>
      <c r="AJ167" s="50">
        <v>0</v>
      </c>
      <c r="AK167" s="64"/>
      <c r="AL167" s="55">
        <v>0</v>
      </c>
      <c r="AM167" s="55">
        <v>0</v>
      </c>
      <c r="AN167" s="65">
        <f t="shared" si="11"/>
        <v>0</v>
      </c>
      <c r="AO167" s="64"/>
      <c r="AP167" s="64"/>
      <c r="AQ167" s="64"/>
      <c r="AR167" s="64"/>
      <c r="AS167" s="64"/>
      <c r="AT167" s="64"/>
      <c r="AU167" s="64"/>
      <c r="AV167" s="64"/>
      <c r="AW167" s="220"/>
    </row>
    <row r="168" spans="1:49" s="221" customFormat="1" ht="327.75" x14ac:dyDescent="0.25">
      <c r="A168" s="64">
        <f t="shared" si="10"/>
        <v>164</v>
      </c>
      <c r="B168" s="47" t="s">
        <v>649</v>
      </c>
      <c r="C168" s="47" t="s">
        <v>49</v>
      </c>
      <c r="D168" s="47" t="s">
        <v>50</v>
      </c>
      <c r="E168" s="47" t="s">
        <v>89</v>
      </c>
      <c r="F168" s="47" t="s">
        <v>436</v>
      </c>
      <c r="G168" s="47" t="s">
        <v>437</v>
      </c>
      <c r="H168" s="47" t="s">
        <v>438</v>
      </c>
      <c r="I168" s="47" t="s">
        <v>55</v>
      </c>
      <c r="J168" s="47" t="s">
        <v>56</v>
      </c>
      <c r="K168" s="47" t="s">
        <v>439</v>
      </c>
      <c r="L168" s="47"/>
      <c r="M168" s="47"/>
      <c r="N168" s="47"/>
      <c r="O168" s="125" t="s">
        <v>60</v>
      </c>
      <c r="P168" s="47" t="s">
        <v>570</v>
      </c>
      <c r="Q168" s="64"/>
      <c r="R168" s="64"/>
      <c r="S168" s="64"/>
      <c r="T168" s="64"/>
      <c r="U168" s="47"/>
      <c r="V168" s="64"/>
      <c r="W168" s="64"/>
      <c r="X168" s="64"/>
      <c r="Y168" s="64"/>
      <c r="Z168" s="64"/>
      <c r="AA168" s="64"/>
      <c r="AB168" s="50">
        <v>0</v>
      </c>
      <c r="AC168" s="64"/>
      <c r="AD168" s="52">
        <v>0</v>
      </c>
      <c r="AE168" s="64"/>
      <c r="AF168" s="50">
        <v>0</v>
      </c>
      <c r="AG168" s="50">
        <v>0</v>
      </c>
      <c r="AH168" s="55">
        <v>0</v>
      </c>
      <c r="AI168" s="50">
        <v>0</v>
      </c>
      <c r="AJ168" s="50">
        <v>0</v>
      </c>
      <c r="AK168" s="64"/>
      <c r="AL168" s="55">
        <v>0</v>
      </c>
      <c r="AM168" s="55">
        <v>0</v>
      </c>
      <c r="AN168" s="65">
        <f t="shared" si="11"/>
        <v>0</v>
      </c>
      <c r="AO168" s="64"/>
      <c r="AP168" s="64"/>
      <c r="AQ168" s="64"/>
      <c r="AR168" s="64"/>
      <c r="AS168" s="64"/>
      <c r="AT168" s="64"/>
      <c r="AU168" s="64"/>
      <c r="AV168" s="64"/>
      <c r="AW168" s="220"/>
    </row>
    <row r="169" spans="1:49" s="221" customFormat="1" ht="370.5" x14ac:dyDescent="0.25">
      <c r="A169" s="64">
        <f t="shared" si="10"/>
        <v>165</v>
      </c>
      <c r="B169" s="47" t="s">
        <v>650</v>
      </c>
      <c r="C169" s="47" t="s">
        <v>49</v>
      </c>
      <c r="D169" s="47" t="s">
        <v>50</v>
      </c>
      <c r="E169" s="63" t="s">
        <v>390</v>
      </c>
      <c r="F169" s="47" t="s">
        <v>436</v>
      </c>
      <c r="G169" s="47" t="s">
        <v>437</v>
      </c>
      <c r="H169" s="47" t="s">
        <v>438</v>
      </c>
      <c r="I169" s="47" t="s">
        <v>55</v>
      </c>
      <c r="J169" s="47" t="s">
        <v>56</v>
      </c>
      <c r="K169" s="47" t="s">
        <v>439</v>
      </c>
      <c r="L169" s="47"/>
      <c r="M169" s="47"/>
      <c r="N169" s="47"/>
      <c r="O169" s="125" t="s">
        <v>60</v>
      </c>
      <c r="P169" s="47" t="s">
        <v>651</v>
      </c>
      <c r="Q169" s="64"/>
      <c r="R169" s="64"/>
      <c r="S169" s="64"/>
      <c r="T169" s="64"/>
      <c r="U169" s="47"/>
      <c r="V169" s="64"/>
      <c r="W169" s="64"/>
      <c r="X169" s="64"/>
      <c r="Y169" s="64"/>
      <c r="Z169" s="64"/>
      <c r="AA169" s="64"/>
      <c r="AB169" s="50">
        <v>0</v>
      </c>
      <c r="AC169" s="64"/>
      <c r="AD169" s="50">
        <v>0</v>
      </c>
      <c r="AE169" s="64"/>
      <c r="AF169" s="50">
        <v>0</v>
      </c>
      <c r="AG169" s="50">
        <v>0</v>
      </c>
      <c r="AH169" s="55">
        <v>0</v>
      </c>
      <c r="AI169" s="50">
        <v>0</v>
      </c>
      <c r="AJ169" s="50">
        <v>0</v>
      </c>
      <c r="AK169" s="64"/>
      <c r="AL169" s="55">
        <v>0</v>
      </c>
      <c r="AM169" s="55">
        <v>0</v>
      </c>
      <c r="AN169" s="65">
        <f t="shared" si="11"/>
        <v>0</v>
      </c>
      <c r="AO169" s="64"/>
      <c r="AP169" s="64"/>
      <c r="AQ169" s="64"/>
      <c r="AR169" s="64"/>
      <c r="AS169" s="64"/>
      <c r="AT169" s="64"/>
      <c r="AU169" s="64"/>
      <c r="AV169" s="64"/>
      <c r="AW169" s="220"/>
    </row>
    <row r="170" spans="1:49" s="221" customFormat="1" ht="342" x14ac:dyDescent="0.25">
      <c r="A170" s="64">
        <f t="shared" si="10"/>
        <v>166</v>
      </c>
      <c r="B170" s="47" t="s">
        <v>652</v>
      </c>
      <c r="C170" s="47" t="s">
        <v>49</v>
      </c>
      <c r="D170" s="47" t="s">
        <v>50</v>
      </c>
      <c r="E170" s="47" t="s">
        <v>51</v>
      </c>
      <c r="F170" s="47" t="s">
        <v>425</v>
      </c>
      <c r="G170" s="47" t="s">
        <v>426</v>
      </c>
      <c r="H170" s="47" t="s">
        <v>427</v>
      </c>
      <c r="I170" s="47" t="s">
        <v>55</v>
      </c>
      <c r="J170" s="47" t="s">
        <v>56</v>
      </c>
      <c r="K170" s="63">
        <v>82101600</v>
      </c>
      <c r="L170" s="63" t="s">
        <v>57</v>
      </c>
      <c r="M170" s="63" t="s">
        <v>58</v>
      </c>
      <c r="N170" s="63" t="s">
        <v>59</v>
      </c>
      <c r="O170" s="125" t="s">
        <v>60</v>
      </c>
      <c r="P170" s="47" t="s">
        <v>653</v>
      </c>
      <c r="Q170" s="69">
        <v>81250000</v>
      </c>
      <c r="R170" s="64"/>
      <c r="S170" s="73">
        <f>40625000+40625000</f>
        <v>81250000</v>
      </c>
      <c r="T170" s="64" t="s">
        <v>654</v>
      </c>
      <c r="U170" s="47" t="s">
        <v>654</v>
      </c>
      <c r="V170" s="60">
        <v>43328</v>
      </c>
      <c r="W170" s="64">
        <v>3.5</v>
      </c>
      <c r="X170" s="64" t="s">
        <v>655</v>
      </c>
      <c r="Y170" s="60">
        <v>43329</v>
      </c>
      <c r="Z170" s="69">
        <v>81250000</v>
      </c>
      <c r="AA170" s="47" t="s">
        <v>656</v>
      </c>
      <c r="AB170" s="50">
        <v>1074</v>
      </c>
      <c r="AC170" s="60">
        <v>43329</v>
      </c>
      <c r="AD170" s="52">
        <v>81250000</v>
      </c>
      <c r="AE170" s="64"/>
      <c r="AF170" s="50">
        <v>0</v>
      </c>
      <c r="AG170" s="50">
        <v>0</v>
      </c>
      <c r="AH170" s="55">
        <v>0</v>
      </c>
      <c r="AI170" s="50">
        <v>0</v>
      </c>
      <c r="AJ170" s="50">
        <v>0</v>
      </c>
      <c r="AK170" s="64"/>
      <c r="AL170" s="55">
        <v>0</v>
      </c>
      <c r="AM170" s="55">
        <v>0</v>
      </c>
      <c r="AN170" s="70"/>
      <c r="AO170" s="64"/>
      <c r="AP170" s="64"/>
      <c r="AQ170" s="64"/>
      <c r="AR170" s="64"/>
      <c r="AS170" s="64"/>
      <c r="AT170" s="64"/>
      <c r="AU170" s="64"/>
      <c r="AV170" s="64"/>
      <c r="AW170" s="220"/>
    </row>
    <row r="171" spans="1:49" s="221" customFormat="1" ht="342" x14ac:dyDescent="0.25">
      <c r="A171" s="64">
        <f t="shared" si="10"/>
        <v>167</v>
      </c>
      <c r="B171" s="47" t="s">
        <v>657</v>
      </c>
      <c r="C171" s="47" t="s">
        <v>49</v>
      </c>
      <c r="D171" s="47" t="s">
        <v>50</v>
      </c>
      <c r="E171" s="47" t="s">
        <v>89</v>
      </c>
      <c r="F171" s="47" t="s">
        <v>425</v>
      </c>
      <c r="G171" s="47" t="s">
        <v>426</v>
      </c>
      <c r="H171" s="47" t="s">
        <v>427</v>
      </c>
      <c r="I171" s="47" t="s">
        <v>55</v>
      </c>
      <c r="J171" s="47" t="s">
        <v>56</v>
      </c>
      <c r="K171" s="63">
        <v>82101601</v>
      </c>
      <c r="L171" s="63" t="s">
        <v>57</v>
      </c>
      <c r="M171" s="63" t="s">
        <v>449</v>
      </c>
      <c r="N171" s="63" t="s">
        <v>450</v>
      </c>
      <c r="O171" s="125" t="s">
        <v>451</v>
      </c>
      <c r="P171" s="47" t="s">
        <v>653</v>
      </c>
      <c r="Q171" s="69">
        <v>81250001</v>
      </c>
      <c r="R171" s="64"/>
      <c r="S171" s="73">
        <f>40625000+40625000</f>
        <v>81250000</v>
      </c>
      <c r="T171" s="64" t="s">
        <v>654</v>
      </c>
      <c r="U171" s="47" t="s">
        <v>654</v>
      </c>
      <c r="V171" s="60">
        <v>43329</v>
      </c>
      <c r="W171" s="64">
        <v>3.5</v>
      </c>
      <c r="X171" s="64" t="s">
        <v>658</v>
      </c>
      <c r="Y171" s="60">
        <v>43329</v>
      </c>
      <c r="Z171" s="69">
        <v>81250000</v>
      </c>
      <c r="AA171" s="47" t="s">
        <v>659</v>
      </c>
      <c r="AB171" s="50">
        <v>1074</v>
      </c>
      <c r="AC171" s="60">
        <v>43329</v>
      </c>
      <c r="AD171" s="52">
        <v>81250000</v>
      </c>
      <c r="AE171" s="64"/>
      <c r="AF171" s="50">
        <v>0</v>
      </c>
      <c r="AG171" s="50">
        <v>0</v>
      </c>
      <c r="AH171" s="55">
        <v>0</v>
      </c>
      <c r="AI171" s="50">
        <v>0</v>
      </c>
      <c r="AJ171" s="50">
        <v>0</v>
      </c>
      <c r="AK171" s="64"/>
      <c r="AL171" s="55">
        <v>0</v>
      </c>
      <c r="AM171" s="55">
        <v>0</v>
      </c>
      <c r="AN171" s="64"/>
      <c r="AO171" s="64"/>
      <c r="AP171" s="64"/>
      <c r="AQ171" s="64"/>
      <c r="AR171" s="64"/>
      <c r="AS171" s="64"/>
      <c r="AT171" s="64"/>
      <c r="AU171" s="64"/>
      <c r="AV171" s="64"/>
      <c r="AW171" s="220"/>
    </row>
    <row r="172" spans="1:49" s="221" customFormat="1" ht="128.25" x14ac:dyDescent="0.25">
      <c r="A172" s="64">
        <f t="shared" si="10"/>
        <v>168</v>
      </c>
      <c r="B172" s="47" t="s">
        <v>660</v>
      </c>
      <c r="C172" s="123" t="s">
        <v>49</v>
      </c>
      <c r="D172" s="123" t="s">
        <v>50</v>
      </c>
      <c r="E172" s="123" t="s">
        <v>89</v>
      </c>
      <c r="F172" s="123" t="s">
        <v>52</v>
      </c>
      <c r="G172" s="123" t="s">
        <v>53</v>
      </c>
      <c r="H172" s="123" t="s">
        <v>54</v>
      </c>
      <c r="I172" s="123" t="s">
        <v>55</v>
      </c>
      <c r="J172" s="123" t="s">
        <v>56</v>
      </c>
      <c r="K172" s="123">
        <v>801116</v>
      </c>
      <c r="L172" s="123" t="s">
        <v>57</v>
      </c>
      <c r="M172" s="123" t="s">
        <v>58</v>
      </c>
      <c r="N172" s="123" t="s">
        <v>59</v>
      </c>
      <c r="O172" s="123" t="s">
        <v>60</v>
      </c>
      <c r="P172" s="47" t="s">
        <v>661</v>
      </c>
      <c r="Q172" s="64"/>
      <c r="R172" s="64"/>
      <c r="S172" s="73">
        <f>224607070-S173-S174-S175-S176-S177-S178-S179-S180-S181-S182-S183-S184</f>
        <v>2406887</v>
      </c>
      <c r="T172" s="64"/>
      <c r="U172" s="47"/>
      <c r="V172" s="64"/>
      <c r="W172" s="64"/>
      <c r="X172" s="64"/>
      <c r="Y172" s="64"/>
      <c r="Z172" s="64"/>
      <c r="AA172" s="64"/>
      <c r="AB172" s="50">
        <v>0</v>
      </c>
      <c r="AC172" s="64"/>
      <c r="AD172" s="52">
        <v>0</v>
      </c>
      <c r="AE172" s="64"/>
      <c r="AF172" s="50">
        <v>0</v>
      </c>
      <c r="AG172" s="50">
        <v>0</v>
      </c>
      <c r="AH172" s="55">
        <v>0</v>
      </c>
      <c r="AI172" s="50">
        <v>0</v>
      </c>
      <c r="AJ172" s="50">
        <v>0</v>
      </c>
      <c r="AK172" s="64"/>
      <c r="AL172" s="55">
        <v>0</v>
      </c>
      <c r="AM172" s="55">
        <v>0</v>
      </c>
      <c r="AN172" s="65"/>
      <c r="AO172" s="64"/>
      <c r="AP172" s="64"/>
      <c r="AQ172" s="64"/>
      <c r="AR172" s="64"/>
      <c r="AS172" s="64"/>
      <c r="AT172" s="64"/>
      <c r="AU172" s="64"/>
      <c r="AV172" s="64"/>
      <c r="AW172" s="220"/>
    </row>
    <row r="173" spans="1:49" s="221" customFormat="1" ht="228" x14ac:dyDescent="0.25">
      <c r="A173" s="64">
        <f t="shared" si="10"/>
        <v>169</v>
      </c>
      <c r="B173" s="47" t="s">
        <v>662</v>
      </c>
      <c r="C173" s="123" t="s">
        <v>49</v>
      </c>
      <c r="D173" s="123" t="s">
        <v>50</v>
      </c>
      <c r="E173" s="123" t="s">
        <v>89</v>
      </c>
      <c r="F173" s="123" t="s">
        <v>52</v>
      </c>
      <c r="G173" s="123" t="s">
        <v>53</v>
      </c>
      <c r="H173" s="123" t="s">
        <v>54</v>
      </c>
      <c r="I173" s="123" t="s">
        <v>55</v>
      </c>
      <c r="J173" s="123" t="s">
        <v>56</v>
      </c>
      <c r="K173" s="123">
        <v>80121606</v>
      </c>
      <c r="L173" s="123" t="s">
        <v>57</v>
      </c>
      <c r="M173" s="123" t="s">
        <v>58</v>
      </c>
      <c r="N173" s="123" t="s">
        <v>59</v>
      </c>
      <c r="O173" s="123" t="s">
        <v>60</v>
      </c>
      <c r="P173" s="58" t="s">
        <v>663</v>
      </c>
      <c r="Q173" s="69">
        <v>3399000</v>
      </c>
      <c r="R173" s="64">
        <v>1</v>
      </c>
      <c r="S173" s="73">
        <v>13029500</v>
      </c>
      <c r="T173" s="64" t="s">
        <v>63</v>
      </c>
      <c r="U173" s="47" t="s">
        <v>664</v>
      </c>
      <c r="V173" s="60">
        <v>43344</v>
      </c>
      <c r="W173" s="64">
        <v>3.5</v>
      </c>
      <c r="X173" s="64" t="s">
        <v>665</v>
      </c>
      <c r="Y173" s="60">
        <v>43340</v>
      </c>
      <c r="Z173" s="73">
        <v>13029500</v>
      </c>
      <c r="AA173" s="64" t="s">
        <v>660</v>
      </c>
      <c r="AB173" s="50">
        <v>1114</v>
      </c>
      <c r="AC173" s="60">
        <v>43341</v>
      </c>
      <c r="AD173" s="52">
        <v>13029500</v>
      </c>
      <c r="AE173" s="64"/>
      <c r="AF173" s="50">
        <v>2862</v>
      </c>
      <c r="AG173" s="51">
        <v>43356</v>
      </c>
      <c r="AH173" s="69">
        <v>13029500</v>
      </c>
      <c r="AI173" s="64" t="s">
        <v>666</v>
      </c>
      <c r="AJ173" s="50">
        <v>0</v>
      </c>
      <c r="AK173" s="64"/>
      <c r="AL173" s="55">
        <v>13029500</v>
      </c>
      <c r="AM173" s="69">
        <v>0</v>
      </c>
      <c r="AN173" s="69">
        <v>13029500</v>
      </c>
      <c r="AO173" s="64"/>
      <c r="AP173" s="64"/>
      <c r="AQ173" s="64"/>
      <c r="AR173" s="64"/>
      <c r="AS173" s="64"/>
      <c r="AT173" s="64"/>
      <c r="AU173" s="64"/>
      <c r="AV173" s="64"/>
      <c r="AW173" s="220"/>
    </row>
    <row r="174" spans="1:49" s="221" customFormat="1" ht="228" x14ac:dyDescent="0.25">
      <c r="A174" s="64">
        <f t="shared" si="10"/>
        <v>170</v>
      </c>
      <c r="B174" s="47" t="s">
        <v>667</v>
      </c>
      <c r="C174" s="123" t="s">
        <v>49</v>
      </c>
      <c r="D174" s="123" t="s">
        <v>50</v>
      </c>
      <c r="E174" s="123" t="s">
        <v>89</v>
      </c>
      <c r="F174" s="123" t="s">
        <v>52</v>
      </c>
      <c r="G174" s="123" t="s">
        <v>53</v>
      </c>
      <c r="H174" s="123" t="s">
        <v>54</v>
      </c>
      <c r="I174" s="123" t="s">
        <v>55</v>
      </c>
      <c r="J174" s="123" t="s">
        <v>56</v>
      </c>
      <c r="K174" s="123">
        <v>80121606</v>
      </c>
      <c r="L174" s="123" t="s">
        <v>57</v>
      </c>
      <c r="M174" s="123" t="s">
        <v>58</v>
      </c>
      <c r="N174" s="123" t="s">
        <v>59</v>
      </c>
      <c r="O174" s="123" t="s">
        <v>60</v>
      </c>
      <c r="P174" s="58" t="s">
        <v>663</v>
      </c>
      <c r="Q174" s="69">
        <v>4120000</v>
      </c>
      <c r="R174" s="64">
        <v>1</v>
      </c>
      <c r="S174" s="70">
        <v>15793333</v>
      </c>
      <c r="T174" s="64" t="s">
        <v>63</v>
      </c>
      <c r="U174" s="47" t="s">
        <v>664</v>
      </c>
      <c r="V174" s="60">
        <v>43344</v>
      </c>
      <c r="W174" s="64">
        <v>3.5</v>
      </c>
      <c r="X174" s="64" t="s">
        <v>668</v>
      </c>
      <c r="Y174" s="60">
        <v>43340</v>
      </c>
      <c r="Z174" s="70">
        <v>15793333</v>
      </c>
      <c r="AA174" s="64" t="s">
        <v>660</v>
      </c>
      <c r="AB174" s="50">
        <v>1115</v>
      </c>
      <c r="AC174" s="60">
        <v>43341</v>
      </c>
      <c r="AD174" s="52">
        <v>15793333</v>
      </c>
      <c r="AE174" s="64"/>
      <c r="AF174" s="50">
        <v>2870</v>
      </c>
      <c r="AG174" s="51">
        <v>43357</v>
      </c>
      <c r="AH174" s="69">
        <v>15793333</v>
      </c>
      <c r="AI174" s="64" t="s">
        <v>669</v>
      </c>
      <c r="AJ174" s="50">
        <v>0</v>
      </c>
      <c r="AK174" s="64"/>
      <c r="AL174" s="55">
        <v>15793333</v>
      </c>
      <c r="AM174" s="69">
        <v>0</v>
      </c>
      <c r="AN174" s="69">
        <v>15793333</v>
      </c>
      <c r="AO174" s="64"/>
      <c r="AP174" s="64"/>
      <c r="AQ174" s="64"/>
      <c r="AR174" s="64"/>
      <c r="AS174" s="64"/>
      <c r="AT174" s="64"/>
      <c r="AU174" s="64"/>
      <c r="AV174" s="64"/>
      <c r="AW174" s="220"/>
    </row>
    <row r="175" spans="1:49" s="221" customFormat="1" ht="228" x14ac:dyDescent="0.25">
      <c r="A175" s="64">
        <f t="shared" si="10"/>
        <v>171</v>
      </c>
      <c r="B175" s="47" t="s">
        <v>670</v>
      </c>
      <c r="C175" s="123" t="s">
        <v>49</v>
      </c>
      <c r="D175" s="123" t="s">
        <v>50</v>
      </c>
      <c r="E175" s="123" t="s">
        <v>89</v>
      </c>
      <c r="F175" s="123" t="s">
        <v>52</v>
      </c>
      <c r="G175" s="123" t="s">
        <v>53</v>
      </c>
      <c r="H175" s="123" t="s">
        <v>54</v>
      </c>
      <c r="I175" s="123" t="s">
        <v>55</v>
      </c>
      <c r="J175" s="123" t="s">
        <v>56</v>
      </c>
      <c r="K175" s="123">
        <v>80121606</v>
      </c>
      <c r="L175" s="123" t="s">
        <v>57</v>
      </c>
      <c r="M175" s="123" t="s">
        <v>58</v>
      </c>
      <c r="N175" s="123" t="s">
        <v>59</v>
      </c>
      <c r="O175" s="123" t="s">
        <v>60</v>
      </c>
      <c r="P175" s="58" t="s">
        <v>663</v>
      </c>
      <c r="Q175" s="69">
        <v>3553500</v>
      </c>
      <c r="R175" s="64">
        <v>1</v>
      </c>
      <c r="S175" s="70">
        <v>13621750</v>
      </c>
      <c r="T175" s="64" t="s">
        <v>63</v>
      </c>
      <c r="U175" s="47" t="s">
        <v>664</v>
      </c>
      <c r="V175" s="60">
        <v>43344</v>
      </c>
      <c r="W175" s="64">
        <v>3.5</v>
      </c>
      <c r="X175" s="64" t="s">
        <v>671</v>
      </c>
      <c r="Y175" s="60">
        <v>43340</v>
      </c>
      <c r="Z175" s="70">
        <v>13621750</v>
      </c>
      <c r="AA175" s="64" t="s">
        <v>660</v>
      </c>
      <c r="AB175" s="50">
        <v>1116</v>
      </c>
      <c r="AC175" s="60">
        <v>43341</v>
      </c>
      <c r="AD175" s="52">
        <v>13621750</v>
      </c>
      <c r="AE175" s="64"/>
      <c r="AF175" s="50">
        <v>2838</v>
      </c>
      <c r="AG175" s="51">
        <v>43353</v>
      </c>
      <c r="AH175" s="69">
        <v>13621750</v>
      </c>
      <c r="AI175" s="64" t="s">
        <v>672</v>
      </c>
      <c r="AJ175" s="50">
        <v>0</v>
      </c>
      <c r="AK175" s="64"/>
      <c r="AL175" s="55">
        <v>13621750</v>
      </c>
      <c r="AM175" s="69">
        <v>0</v>
      </c>
      <c r="AN175" s="69">
        <v>13621750</v>
      </c>
      <c r="AO175" s="64"/>
      <c r="AP175" s="64"/>
      <c r="AQ175" s="64"/>
      <c r="AR175" s="64"/>
      <c r="AS175" s="64"/>
      <c r="AT175" s="64"/>
      <c r="AU175" s="64"/>
      <c r="AV175" s="64"/>
      <c r="AW175" s="220"/>
    </row>
    <row r="176" spans="1:49" s="221" customFormat="1" ht="228" x14ac:dyDescent="0.25">
      <c r="A176" s="64">
        <f t="shared" si="10"/>
        <v>172</v>
      </c>
      <c r="B176" s="47" t="s">
        <v>673</v>
      </c>
      <c r="C176" s="123" t="s">
        <v>49</v>
      </c>
      <c r="D176" s="123" t="s">
        <v>50</v>
      </c>
      <c r="E176" s="123" t="s">
        <v>89</v>
      </c>
      <c r="F176" s="123" t="s">
        <v>52</v>
      </c>
      <c r="G176" s="123" t="s">
        <v>53</v>
      </c>
      <c r="H176" s="123" t="s">
        <v>54</v>
      </c>
      <c r="I176" s="123" t="s">
        <v>55</v>
      </c>
      <c r="J176" s="123" t="s">
        <v>56</v>
      </c>
      <c r="K176" s="123">
        <v>80121606</v>
      </c>
      <c r="L176" s="123" t="s">
        <v>57</v>
      </c>
      <c r="M176" s="123" t="s">
        <v>58</v>
      </c>
      <c r="N176" s="123" t="s">
        <v>59</v>
      </c>
      <c r="O176" s="123" t="s">
        <v>60</v>
      </c>
      <c r="P176" s="58" t="s">
        <v>663</v>
      </c>
      <c r="Q176" s="69">
        <v>4120000</v>
      </c>
      <c r="R176" s="64">
        <v>1</v>
      </c>
      <c r="S176" s="73">
        <v>15793333</v>
      </c>
      <c r="T176" s="64" t="s">
        <v>63</v>
      </c>
      <c r="U176" s="47" t="s">
        <v>664</v>
      </c>
      <c r="V176" s="60">
        <v>43344</v>
      </c>
      <c r="W176" s="64">
        <v>3.5</v>
      </c>
      <c r="X176" s="64" t="s">
        <v>674</v>
      </c>
      <c r="Y176" s="60">
        <v>43340</v>
      </c>
      <c r="Z176" s="70">
        <v>15793333</v>
      </c>
      <c r="AA176" s="64" t="s">
        <v>660</v>
      </c>
      <c r="AB176" s="50">
        <v>1119</v>
      </c>
      <c r="AC176" s="60">
        <v>43341</v>
      </c>
      <c r="AD176" s="52">
        <v>15793333</v>
      </c>
      <c r="AE176" s="64"/>
      <c r="AF176" s="50">
        <v>0</v>
      </c>
      <c r="AG176" s="50">
        <v>0</v>
      </c>
      <c r="AH176" s="55">
        <v>0</v>
      </c>
      <c r="AI176" s="50">
        <v>0</v>
      </c>
      <c r="AJ176" s="50">
        <v>0</v>
      </c>
      <c r="AK176" s="64"/>
      <c r="AL176" s="55">
        <v>0</v>
      </c>
      <c r="AM176" s="55">
        <v>0</v>
      </c>
      <c r="AN176" s="64"/>
      <c r="AO176" s="64"/>
      <c r="AP176" s="64"/>
      <c r="AQ176" s="64"/>
      <c r="AR176" s="64"/>
      <c r="AS176" s="64"/>
      <c r="AT176" s="64"/>
      <c r="AU176" s="64"/>
      <c r="AV176" s="64"/>
      <c r="AW176" s="220"/>
    </row>
    <row r="177" spans="1:49" s="221" customFormat="1" ht="228" x14ac:dyDescent="0.25">
      <c r="A177" s="64">
        <f t="shared" si="10"/>
        <v>173</v>
      </c>
      <c r="B177" s="47" t="s">
        <v>675</v>
      </c>
      <c r="C177" s="123" t="s">
        <v>49</v>
      </c>
      <c r="D177" s="123" t="s">
        <v>50</v>
      </c>
      <c r="E177" s="123" t="s">
        <v>89</v>
      </c>
      <c r="F177" s="123" t="s">
        <v>52</v>
      </c>
      <c r="G177" s="123" t="s">
        <v>53</v>
      </c>
      <c r="H177" s="123" t="s">
        <v>54</v>
      </c>
      <c r="I177" s="123" t="s">
        <v>55</v>
      </c>
      <c r="J177" s="123" t="s">
        <v>56</v>
      </c>
      <c r="K177" s="123">
        <v>80121606</v>
      </c>
      <c r="L177" s="123" t="s">
        <v>57</v>
      </c>
      <c r="M177" s="123" t="s">
        <v>58</v>
      </c>
      <c r="N177" s="123" t="s">
        <v>59</v>
      </c>
      <c r="O177" s="123" t="s">
        <v>60</v>
      </c>
      <c r="P177" s="58" t="s">
        <v>663</v>
      </c>
      <c r="Q177" s="69">
        <v>4120000</v>
      </c>
      <c r="R177" s="64">
        <v>1</v>
      </c>
      <c r="S177" s="70">
        <v>15793333</v>
      </c>
      <c r="T177" s="64" t="s">
        <v>63</v>
      </c>
      <c r="U177" s="47" t="s">
        <v>664</v>
      </c>
      <c r="V177" s="60">
        <v>43344</v>
      </c>
      <c r="W177" s="64">
        <v>3.5</v>
      </c>
      <c r="X177" s="64" t="s">
        <v>676</v>
      </c>
      <c r="Y177" s="60">
        <v>43340</v>
      </c>
      <c r="Z177" s="70">
        <v>15793333</v>
      </c>
      <c r="AA177" s="64" t="s">
        <v>660</v>
      </c>
      <c r="AB177" s="50">
        <v>1120</v>
      </c>
      <c r="AC177" s="60">
        <v>43341</v>
      </c>
      <c r="AD177" s="52">
        <v>15793333</v>
      </c>
      <c r="AE177" s="64"/>
      <c r="AF177" s="50">
        <v>0</v>
      </c>
      <c r="AG177" s="50">
        <v>0</v>
      </c>
      <c r="AH177" s="55">
        <v>0</v>
      </c>
      <c r="AI177" s="50">
        <v>0</v>
      </c>
      <c r="AJ177" s="50">
        <v>0</v>
      </c>
      <c r="AK177" s="64"/>
      <c r="AL177" s="55">
        <v>0</v>
      </c>
      <c r="AM177" s="55">
        <v>0</v>
      </c>
      <c r="AN177" s="64"/>
      <c r="AO177" s="64"/>
      <c r="AP177" s="64"/>
      <c r="AQ177" s="64"/>
      <c r="AR177" s="64"/>
      <c r="AS177" s="64"/>
      <c r="AT177" s="64"/>
      <c r="AU177" s="64"/>
      <c r="AV177" s="64"/>
      <c r="AW177" s="220"/>
    </row>
    <row r="178" spans="1:49" s="221" customFormat="1" ht="228" x14ac:dyDescent="0.25">
      <c r="A178" s="64">
        <f t="shared" si="10"/>
        <v>174</v>
      </c>
      <c r="B178" s="47" t="s">
        <v>677</v>
      </c>
      <c r="C178" s="123" t="s">
        <v>49</v>
      </c>
      <c r="D178" s="123" t="s">
        <v>50</v>
      </c>
      <c r="E178" s="123" t="s">
        <v>89</v>
      </c>
      <c r="F178" s="123" t="s">
        <v>52</v>
      </c>
      <c r="G178" s="123" t="s">
        <v>53</v>
      </c>
      <c r="H178" s="123" t="s">
        <v>54</v>
      </c>
      <c r="I178" s="123" t="s">
        <v>55</v>
      </c>
      <c r="J178" s="123" t="s">
        <v>56</v>
      </c>
      <c r="K178" s="123">
        <v>80121606</v>
      </c>
      <c r="L178" s="123" t="s">
        <v>57</v>
      </c>
      <c r="M178" s="123" t="s">
        <v>58</v>
      </c>
      <c r="N178" s="123" t="s">
        <v>59</v>
      </c>
      <c r="O178" s="123" t="s">
        <v>60</v>
      </c>
      <c r="P178" s="58" t="s">
        <v>663</v>
      </c>
      <c r="Q178" s="69">
        <v>4120000</v>
      </c>
      <c r="R178" s="64">
        <v>1</v>
      </c>
      <c r="S178" s="70">
        <v>15793333</v>
      </c>
      <c r="T178" s="64" t="s">
        <v>63</v>
      </c>
      <c r="U178" s="47" t="s">
        <v>664</v>
      </c>
      <c r="V178" s="60">
        <v>43344</v>
      </c>
      <c r="W178" s="64">
        <v>3.5</v>
      </c>
      <c r="X178" s="64" t="s">
        <v>678</v>
      </c>
      <c r="Y178" s="60">
        <v>43340</v>
      </c>
      <c r="Z178" s="70">
        <v>15793333</v>
      </c>
      <c r="AA178" s="64" t="s">
        <v>660</v>
      </c>
      <c r="AB178" s="50">
        <v>1118</v>
      </c>
      <c r="AC178" s="60">
        <v>43341</v>
      </c>
      <c r="AD178" s="52">
        <v>15793333</v>
      </c>
      <c r="AE178" s="64"/>
      <c r="AF178" s="50">
        <v>0</v>
      </c>
      <c r="AG178" s="50">
        <v>0</v>
      </c>
      <c r="AH178" s="55">
        <v>0</v>
      </c>
      <c r="AI178" s="50">
        <v>0</v>
      </c>
      <c r="AJ178" s="50">
        <v>0</v>
      </c>
      <c r="AK178" s="64"/>
      <c r="AL178" s="55">
        <v>0</v>
      </c>
      <c r="AM178" s="55">
        <v>0</v>
      </c>
      <c r="AN178" s="64"/>
      <c r="AO178" s="64"/>
      <c r="AP178" s="64"/>
      <c r="AQ178" s="64"/>
      <c r="AR178" s="64"/>
      <c r="AS178" s="64"/>
      <c r="AT178" s="64"/>
      <c r="AU178" s="64"/>
      <c r="AV178" s="64"/>
      <c r="AW178" s="220"/>
    </row>
    <row r="179" spans="1:49" s="221" customFormat="1" ht="228" x14ac:dyDescent="0.25">
      <c r="A179" s="64">
        <f t="shared" si="10"/>
        <v>175</v>
      </c>
      <c r="B179" s="47" t="s">
        <v>679</v>
      </c>
      <c r="C179" s="123" t="s">
        <v>49</v>
      </c>
      <c r="D179" s="123" t="s">
        <v>50</v>
      </c>
      <c r="E179" s="123" t="s">
        <v>89</v>
      </c>
      <c r="F179" s="123" t="s">
        <v>52</v>
      </c>
      <c r="G179" s="123" t="s">
        <v>53</v>
      </c>
      <c r="H179" s="123" t="s">
        <v>54</v>
      </c>
      <c r="I179" s="123" t="s">
        <v>55</v>
      </c>
      <c r="J179" s="123" t="s">
        <v>56</v>
      </c>
      <c r="K179" s="123">
        <v>80121606</v>
      </c>
      <c r="L179" s="123" t="s">
        <v>57</v>
      </c>
      <c r="M179" s="123" t="s">
        <v>58</v>
      </c>
      <c r="N179" s="123" t="s">
        <v>59</v>
      </c>
      <c r="O179" s="123" t="s">
        <v>60</v>
      </c>
      <c r="P179" s="58" t="s">
        <v>663</v>
      </c>
      <c r="Q179" s="69">
        <v>4120000</v>
      </c>
      <c r="R179" s="64">
        <v>1</v>
      </c>
      <c r="S179" s="70">
        <v>15793333</v>
      </c>
      <c r="T179" s="64" t="s">
        <v>63</v>
      </c>
      <c r="U179" s="47" t="s">
        <v>664</v>
      </c>
      <c r="V179" s="60">
        <v>43344</v>
      </c>
      <c r="W179" s="64">
        <v>3.5</v>
      </c>
      <c r="X179" s="64" t="s">
        <v>680</v>
      </c>
      <c r="Y179" s="60">
        <v>43340</v>
      </c>
      <c r="Z179" s="70">
        <v>15793333</v>
      </c>
      <c r="AA179" s="64" t="s">
        <v>660</v>
      </c>
      <c r="AB179" s="50">
        <v>1117</v>
      </c>
      <c r="AC179" s="60">
        <v>43341</v>
      </c>
      <c r="AD179" s="52">
        <v>15793333</v>
      </c>
      <c r="AE179" s="64"/>
      <c r="AF179" s="50">
        <v>0</v>
      </c>
      <c r="AG179" s="50">
        <v>0</v>
      </c>
      <c r="AH179" s="55">
        <v>0</v>
      </c>
      <c r="AI179" s="50">
        <v>0</v>
      </c>
      <c r="AJ179" s="50">
        <v>0</v>
      </c>
      <c r="AK179" s="64"/>
      <c r="AL179" s="55">
        <v>0</v>
      </c>
      <c r="AM179" s="55">
        <v>0</v>
      </c>
      <c r="AN179" s="64"/>
      <c r="AO179" s="64"/>
      <c r="AP179" s="64"/>
      <c r="AQ179" s="64"/>
      <c r="AR179" s="64"/>
      <c r="AS179" s="64"/>
      <c r="AT179" s="64"/>
      <c r="AU179" s="64"/>
      <c r="AV179" s="64"/>
      <c r="AW179" s="220"/>
    </row>
    <row r="180" spans="1:49" s="221" customFormat="1" ht="228" x14ac:dyDescent="0.25">
      <c r="A180" s="64">
        <f t="shared" si="10"/>
        <v>176</v>
      </c>
      <c r="B180" s="47" t="s">
        <v>681</v>
      </c>
      <c r="C180" s="123" t="s">
        <v>49</v>
      </c>
      <c r="D180" s="123" t="s">
        <v>50</v>
      </c>
      <c r="E180" s="123" t="s">
        <v>89</v>
      </c>
      <c r="F180" s="123" t="s">
        <v>52</v>
      </c>
      <c r="G180" s="123" t="s">
        <v>53</v>
      </c>
      <c r="H180" s="123" t="s">
        <v>54</v>
      </c>
      <c r="I180" s="123" t="s">
        <v>55</v>
      </c>
      <c r="J180" s="123" t="s">
        <v>56</v>
      </c>
      <c r="K180" s="123">
        <v>80121606</v>
      </c>
      <c r="L180" s="123" t="s">
        <v>57</v>
      </c>
      <c r="M180" s="123" t="s">
        <v>58</v>
      </c>
      <c r="N180" s="123" t="s">
        <v>59</v>
      </c>
      <c r="O180" s="123" t="s">
        <v>60</v>
      </c>
      <c r="P180" s="58" t="s">
        <v>682</v>
      </c>
      <c r="Q180" s="69">
        <v>5036700</v>
      </c>
      <c r="R180" s="64">
        <v>1</v>
      </c>
      <c r="S180" s="70">
        <v>15110100</v>
      </c>
      <c r="T180" s="64" t="s">
        <v>63</v>
      </c>
      <c r="U180" s="47" t="s">
        <v>664</v>
      </c>
      <c r="V180" s="60">
        <v>43344</v>
      </c>
      <c r="W180" s="64">
        <v>3.5</v>
      </c>
      <c r="X180" s="58" t="s">
        <v>683</v>
      </c>
      <c r="Y180" s="60">
        <v>43340</v>
      </c>
      <c r="Z180" s="70">
        <v>15110100</v>
      </c>
      <c r="AA180" s="64" t="s">
        <v>684</v>
      </c>
      <c r="AB180" s="50">
        <v>1159</v>
      </c>
      <c r="AC180" s="60">
        <v>43360</v>
      </c>
      <c r="AD180" s="52">
        <v>15110100</v>
      </c>
      <c r="AE180" s="64"/>
      <c r="AF180" s="50">
        <v>2931</v>
      </c>
      <c r="AG180" s="51">
        <v>43369</v>
      </c>
      <c r="AH180" s="69">
        <v>15110100</v>
      </c>
      <c r="AI180" s="64" t="s">
        <v>685</v>
      </c>
      <c r="AJ180" s="50">
        <v>0</v>
      </c>
      <c r="AK180" s="64"/>
      <c r="AL180" s="55">
        <v>15110100</v>
      </c>
      <c r="AM180" s="69">
        <v>0</v>
      </c>
      <c r="AN180" s="69">
        <v>15110100</v>
      </c>
      <c r="AO180" s="64"/>
      <c r="AP180" s="64"/>
      <c r="AQ180" s="64"/>
      <c r="AR180" s="64"/>
      <c r="AS180" s="64"/>
      <c r="AT180" s="64"/>
      <c r="AU180" s="64"/>
      <c r="AV180" s="64"/>
      <c r="AW180" s="220"/>
    </row>
    <row r="181" spans="1:49" s="221" customFormat="1" ht="285" x14ac:dyDescent="0.25">
      <c r="A181" s="64">
        <f t="shared" si="10"/>
        <v>177</v>
      </c>
      <c r="B181" s="47" t="s">
        <v>686</v>
      </c>
      <c r="C181" s="123" t="s">
        <v>49</v>
      </c>
      <c r="D181" s="123" t="s">
        <v>50</v>
      </c>
      <c r="E181" s="123" t="s">
        <v>89</v>
      </c>
      <c r="F181" s="123" t="s">
        <v>52</v>
      </c>
      <c r="G181" s="123" t="s">
        <v>53</v>
      </c>
      <c r="H181" s="123" t="s">
        <v>54</v>
      </c>
      <c r="I181" s="123" t="s">
        <v>55</v>
      </c>
      <c r="J181" s="123" t="s">
        <v>56</v>
      </c>
      <c r="K181" s="123">
        <v>80101603</v>
      </c>
      <c r="L181" s="123" t="s">
        <v>57</v>
      </c>
      <c r="M181" s="123" t="s">
        <v>449</v>
      </c>
      <c r="N181" s="123" t="s">
        <v>450</v>
      </c>
      <c r="O181" s="123" t="s">
        <v>451</v>
      </c>
      <c r="P181" s="58" t="s">
        <v>687</v>
      </c>
      <c r="Q181" s="69">
        <v>8240000</v>
      </c>
      <c r="R181" s="64">
        <v>1</v>
      </c>
      <c r="S181" s="70">
        <v>31586667</v>
      </c>
      <c r="T181" s="64" t="s">
        <v>63</v>
      </c>
      <c r="U181" s="47" t="s">
        <v>664</v>
      </c>
      <c r="V181" s="60">
        <v>43344</v>
      </c>
      <c r="W181" s="64">
        <v>3.5</v>
      </c>
      <c r="X181" s="64" t="s">
        <v>688</v>
      </c>
      <c r="Y181" s="60">
        <v>43340</v>
      </c>
      <c r="Z181" s="70">
        <v>31586667</v>
      </c>
      <c r="AA181" s="64" t="s">
        <v>660</v>
      </c>
      <c r="AB181" s="50">
        <v>1112</v>
      </c>
      <c r="AC181" s="60">
        <v>43341</v>
      </c>
      <c r="AD181" s="52">
        <v>31586667</v>
      </c>
      <c r="AE181" s="64"/>
      <c r="AF181" s="50">
        <v>0</v>
      </c>
      <c r="AG181" s="50">
        <v>0</v>
      </c>
      <c r="AH181" s="55">
        <v>0</v>
      </c>
      <c r="AI181" s="50">
        <v>0</v>
      </c>
      <c r="AJ181" s="50">
        <v>0</v>
      </c>
      <c r="AK181" s="64"/>
      <c r="AL181" s="55">
        <v>0</v>
      </c>
      <c r="AM181" s="55">
        <v>0</v>
      </c>
      <c r="AN181" s="64"/>
      <c r="AO181" s="64"/>
      <c r="AP181" s="64"/>
      <c r="AQ181" s="64"/>
      <c r="AR181" s="64"/>
      <c r="AS181" s="64"/>
      <c r="AT181" s="64"/>
      <c r="AU181" s="64"/>
      <c r="AV181" s="64"/>
      <c r="AW181" s="220"/>
    </row>
    <row r="182" spans="1:49" s="221" customFormat="1" ht="342" x14ac:dyDescent="0.25">
      <c r="A182" s="64">
        <f t="shared" si="10"/>
        <v>178</v>
      </c>
      <c r="B182" s="47" t="s">
        <v>689</v>
      </c>
      <c r="C182" s="123" t="s">
        <v>49</v>
      </c>
      <c r="D182" s="123" t="s">
        <v>50</v>
      </c>
      <c r="E182" s="123" t="s">
        <v>89</v>
      </c>
      <c r="F182" s="123" t="s">
        <v>52</v>
      </c>
      <c r="G182" s="123" t="s">
        <v>53</v>
      </c>
      <c r="H182" s="123" t="s">
        <v>54</v>
      </c>
      <c r="I182" s="123" t="s">
        <v>55</v>
      </c>
      <c r="J182" s="123" t="s">
        <v>56</v>
      </c>
      <c r="K182" s="123">
        <v>80121606</v>
      </c>
      <c r="L182" s="123" t="s">
        <v>57</v>
      </c>
      <c r="M182" s="123" t="s">
        <v>690</v>
      </c>
      <c r="N182" s="123" t="s">
        <v>691</v>
      </c>
      <c r="O182" s="123" t="s">
        <v>692</v>
      </c>
      <c r="P182" s="58" t="s">
        <v>693</v>
      </c>
      <c r="Q182" s="69">
        <v>8240000</v>
      </c>
      <c r="R182" s="64">
        <v>1</v>
      </c>
      <c r="S182" s="70">
        <v>31586667</v>
      </c>
      <c r="T182" s="64" t="s">
        <v>63</v>
      </c>
      <c r="U182" s="47" t="s">
        <v>664</v>
      </c>
      <c r="V182" s="60">
        <v>43344</v>
      </c>
      <c r="W182" s="64">
        <v>3.5</v>
      </c>
      <c r="X182" s="64" t="s">
        <v>694</v>
      </c>
      <c r="Y182" s="60">
        <v>43340</v>
      </c>
      <c r="Z182" s="70">
        <v>31586667</v>
      </c>
      <c r="AA182" s="64" t="s">
        <v>660</v>
      </c>
      <c r="AB182" s="50">
        <v>1111</v>
      </c>
      <c r="AC182" s="60">
        <v>43341</v>
      </c>
      <c r="AD182" s="52">
        <v>31586667</v>
      </c>
      <c r="AE182" s="64"/>
      <c r="AF182" s="50">
        <v>0</v>
      </c>
      <c r="AG182" s="50">
        <v>0</v>
      </c>
      <c r="AH182" s="55">
        <v>0</v>
      </c>
      <c r="AI182" s="50">
        <v>0</v>
      </c>
      <c r="AJ182" s="50">
        <v>0</v>
      </c>
      <c r="AK182" s="64"/>
      <c r="AL182" s="55">
        <v>0</v>
      </c>
      <c r="AM182" s="55">
        <v>0</v>
      </c>
      <c r="AN182" s="64"/>
      <c r="AO182" s="64"/>
      <c r="AP182" s="64"/>
      <c r="AQ182" s="64"/>
      <c r="AR182" s="64"/>
      <c r="AS182" s="64"/>
      <c r="AT182" s="64"/>
      <c r="AU182" s="64"/>
      <c r="AV182" s="64"/>
      <c r="AW182" s="220"/>
    </row>
    <row r="183" spans="1:49" s="221" customFormat="1" ht="342" x14ac:dyDescent="0.25">
      <c r="A183" s="64">
        <f t="shared" si="10"/>
        <v>179</v>
      </c>
      <c r="B183" s="47" t="s">
        <v>695</v>
      </c>
      <c r="C183" s="123" t="s">
        <v>49</v>
      </c>
      <c r="D183" s="123" t="s">
        <v>50</v>
      </c>
      <c r="E183" s="123" t="s">
        <v>89</v>
      </c>
      <c r="F183" s="123" t="s">
        <v>52</v>
      </c>
      <c r="G183" s="123" t="s">
        <v>53</v>
      </c>
      <c r="H183" s="123" t="s">
        <v>54</v>
      </c>
      <c r="I183" s="123" t="s">
        <v>55</v>
      </c>
      <c r="J183" s="123" t="s">
        <v>56</v>
      </c>
      <c r="K183" s="123">
        <v>80121606</v>
      </c>
      <c r="L183" s="123" t="s">
        <v>57</v>
      </c>
      <c r="M183" s="123" t="s">
        <v>696</v>
      </c>
      <c r="N183" s="123" t="s">
        <v>697</v>
      </c>
      <c r="O183" s="123" t="s">
        <v>698</v>
      </c>
      <c r="P183" s="58" t="s">
        <v>693</v>
      </c>
      <c r="Q183" s="69">
        <v>8240000</v>
      </c>
      <c r="R183" s="64">
        <v>1</v>
      </c>
      <c r="S183" s="70">
        <v>31586667</v>
      </c>
      <c r="T183" s="64" t="s">
        <v>63</v>
      </c>
      <c r="U183" s="47" t="s">
        <v>664</v>
      </c>
      <c r="V183" s="60">
        <v>43344</v>
      </c>
      <c r="W183" s="64">
        <v>3.5</v>
      </c>
      <c r="X183" s="64" t="s">
        <v>699</v>
      </c>
      <c r="Y183" s="60">
        <v>43340</v>
      </c>
      <c r="Z183" s="70">
        <v>31586667</v>
      </c>
      <c r="AA183" s="64" t="s">
        <v>660</v>
      </c>
      <c r="AB183" s="50">
        <v>1113</v>
      </c>
      <c r="AC183" s="60">
        <v>43341</v>
      </c>
      <c r="AD183" s="52">
        <v>31586667</v>
      </c>
      <c r="AE183" s="64"/>
      <c r="AF183" s="50">
        <v>0</v>
      </c>
      <c r="AG183" s="50">
        <v>0</v>
      </c>
      <c r="AH183" s="55">
        <v>0</v>
      </c>
      <c r="AI183" s="50">
        <v>0</v>
      </c>
      <c r="AJ183" s="50">
        <v>0</v>
      </c>
      <c r="AK183" s="64"/>
      <c r="AL183" s="55">
        <v>0</v>
      </c>
      <c r="AM183" s="55">
        <v>0</v>
      </c>
      <c r="AN183" s="64"/>
      <c r="AO183" s="64"/>
      <c r="AP183" s="64"/>
      <c r="AQ183" s="64"/>
      <c r="AR183" s="64"/>
      <c r="AS183" s="64"/>
      <c r="AT183" s="64"/>
      <c r="AU183" s="64"/>
      <c r="AV183" s="64"/>
      <c r="AW183" s="220"/>
    </row>
    <row r="184" spans="1:49" s="221" customFormat="1" ht="313.5" x14ac:dyDescent="0.25">
      <c r="A184" s="64">
        <f t="shared" si="10"/>
        <v>180</v>
      </c>
      <c r="B184" s="47" t="s">
        <v>700</v>
      </c>
      <c r="C184" s="123" t="s">
        <v>49</v>
      </c>
      <c r="D184" s="123" t="s">
        <v>50</v>
      </c>
      <c r="E184" s="123" t="s">
        <v>89</v>
      </c>
      <c r="F184" s="123" t="s">
        <v>52</v>
      </c>
      <c r="G184" s="123" t="s">
        <v>53</v>
      </c>
      <c r="H184" s="123" t="s">
        <v>54</v>
      </c>
      <c r="I184" s="123" t="s">
        <v>55</v>
      </c>
      <c r="J184" s="123" t="s">
        <v>56</v>
      </c>
      <c r="K184" s="123">
        <v>80161506</v>
      </c>
      <c r="L184" s="123" t="s">
        <v>57</v>
      </c>
      <c r="M184" s="123" t="s">
        <v>701</v>
      </c>
      <c r="N184" s="123" t="s">
        <v>702</v>
      </c>
      <c r="O184" s="123" t="s">
        <v>703</v>
      </c>
      <c r="P184" s="58" t="s">
        <v>704</v>
      </c>
      <c r="Q184" s="69">
        <v>1751000</v>
      </c>
      <c r="R184" s="64">
        <v>1</v>
      </c>
      <c r="S184" s="70">
        <v>6712167</v>
      </c>
      <c r="T184" s="64" t="s">
        <v>63</v>
      </c>
      <c r="U184" s="47" t="s">
        <v>664</v>
      </c>
      <c r="V184" s="60">
        <v>43344</v>
      </c>
      <c r="W184" s="64">
        <v>3.5</v>
      </c>
      <c r="X184" s="64" t="s">
        <v>705</v>
      </c>
      <c r="Y184" s="60">
        <v>43340</v>
      </c>
      <c r="Z184" s="70">
        <v>6712167</v>
      </c>
      <c r="AA184" s="64" t="s">
        <v>660</v>
      </c>
      <c r="AB184" s="50">
        <v>1122</v>
      </c>
      <c r="AC184" s="60">
        <v>43341</v>
      </c>
      <c r="AD184" s="52">
        <v>6712167</v>
      </c>
      <c r="AE184" s="64"/>
      <c r="AF184" s="50">
        <v>0</v>
      </c>
      <c r="AG184" s="50">
        <v>0</v>
      </c>
      <c r="AH184" s="55">
        <v>0</v>
      </c>
      <c r="AI184" s="50">
        <v>0</v>
      </c>
      <c r="AJ184" s="50">
        <v>0</v>
      </c>
      <c r="AK184" s="64"/>
      <c r="AL184" s="55">
        <v>0</v>
      </c>
      <c r="AM184" s="55">
        <v>0</v>
      </c>
      <c r="AN184" s="64"/>
      <c r="AO184" s="64"/>
      <c r="AP184" s="64"/>
      <c r="AQ184" s="64"/>
      <c r="AR184" s="64"/>
      <c r="AS184" s="64"/>
      <c r="AT184" s="64"/>
      <c r="AU184" s="64"/>
      <c r="AV184" s="64"/>
      <c r="AW184" s="220"/>
    </row>
    <row r="185" spans="1:49" s="221" customFormat="1" ht="128.25" x14ac:dyDescent="0.25">
      <c r="A185" s="64">
        <f t="shared" si="10"/>
        <v>181</v>
      </c>
      <c r="B185" s="47" t="s">
        <v>706</v>
      </c>
      <c r="C185" s="123" t="s">
        <v>49</v>
      </c>
      <c r="D185" s="63" t="s">
        <v>50</v>
      </c>
      <c r="E185" s="63" t="s">
        <v>390</v>
      </c>
      <c r="F185" s="63" t="s">
        <v>52</v>
      </c>
      <c r="G185" s="63" t="s">
        <v>53</v>
      </c>
      <c r="H185" s="63" t="s">
        <v>54</v>
      </c>
      <c r="I185" s="63" t="s">
        <v>55</v>
      </c>
      <c r="J185" s="63" t="s">
        <v>56</v>
      </c>
      <c r="K185" s="63">
        <v>801116</v>
      </c>
      <c r="L185" s="126" t="s">
        <v>57</v>
      </c>
      <c r="M185" s="47" t="s">
        <v>58</v>
      </c>
      <c r="N185" s="47" t="s">
        <v>59</v>
      </c>
      <c r="O185" s="125" t="s">
        <v>60</v>
      </c>
      <c r="P185" s="47" t="s">
        <v>483</v>
      </c>
      <c r="Q185" s="50">
        <v>0</v>
      </c>
      <c r="R185" s="50">
        <v>0</v>
      </c>
      <c r="S185" s="44">
        <v>8737140</v>
      </c>
      <c r="T185" s="48" t="s">
        <v>63</v>
      </c>
      <c r="U185" s="47" t="s">
        <v>63</v>
      </c>
      <c r="V185" s="60" t="s">
        <v>441</v>
      </c>
      <c r="W185" s="48">
        <v>2</v>
      </c>
      <c r="X185" s="64"/>
      <c r="Y185" s="64"/>
      <c r="Z185" s="64"/>
      <c r="AA185" s="64"/>
      <c r="AB185" s="50">
        <v>0</v>
      </c>
      <c r="AC185" s="64"/>
      <c r="AD185" s="52">
        <v>0</v>
      </c>
      <c r="AE185" s="64"/>
      <c r="AF185" s="50">
        <v>0</v>
      </c>
      <c r="AG185" s="50">
        <v>0</v>
      </c>
      <c r="AH185" s="55">
        <v>0</v>
      </c>
      <c r="AI185" s="50">
        <v>0</v>
      </c>
      <c r="AJ185" s="50">
        <v>0</v>
      </c>
      <c r="AK185" s="64"/>
      <c r="AL185" s="55">
        <v>0</v>
      </c>
      <c r="AM185" s="55">
        <v>0</v>
      </c>
      <c r="AN185" s="64"/>
      <c r="AO185" s="58" t="s">
        <v>67</v>
      </c>
      <c r="AP185" s="64"/>
      <c r="AQ185" s="64"/>
      <c r="AR185" s="64"/>
      <c r="AS185" s="64"/>
      <c r="AT185" s="64"/>
      <c r="AU185" s="64"/>
      <c r="AV185" s="64"/>
      <c r="AW185" s="220"/>
    </row>
    <row r="186" spans="1:49" s="221" customFormat="1" ht="228" x14ac:dyDescent="0.25">
      <c r="A186" s="64">
        <f t="shared" si="10"/>
        <v>182</v>
      </c>
      <c r="B186" s="47" t="s">
        <v>707</v>
      </c>
      <c r="C186" s="123" t="s">
        <v>49</v>
      </c>
      <c r="D186" s="63" t="s">
        <v>50</v>
      </c>
      <c r="E186" s="63" t="s">
        <v>390</v>
      </c>
      <c r="F186" s="123" t="s">
        <v>577</v>
      </c>
      <c r="G186" s="123" t="s">
        <v>708</v>
      </c>
      <c r="H186" s="123" t="s">
        <v>709</v>
      </c>
      <c r="I186" s="123" t="s">
        <v>710</v>
      </c>
      <c r="J186" s="123" t="s">
        <v>711</v>
      </c>
      <c r="K186" s="64"/>
      <c r="L186" s="64"/>
      <c r="M186" s="64"/>
      <c r="N186" s="64"/>
      <c r="O186" s="64"/>
      <c r="P186" s="47" t="s">
        <v>712</v>
      </c>
      <c r="Q186" s="69"/>
      <c r="R186" s="64"/>
      <c r="S186" s="70">
        <v>2900000000</v>
      </c>
      <c r="T186" s="64"/>
      <c r="U186" s="47"/>
      <c r="V186" s="64"/>
      <c r="W186" s="64"/>
      <c r="X186" s="64"/>
      <c r="Y186" s="64"/>
      <c r="Z186" s="70"/>
      <c r="AA186" s="64"/>
      <c r="AB186" s="64"/>
      <c r="AC186" s="64"/>
      <c r="AD186" s="52"/>
      <c r="AE186" s="64"/>
      <c r="AF186" s="64"/>
      <c r="AG186" s="64"/>
      <c r="AH186" s="69"/>
      <c r="AI186" s="64"/>
      <c r="AJ186" s="64"/>
      <c r="AK186" s="64"/>
      <c r="AL186" s="69"/>
      <c r="AM186" s="69"/>
      <c r="AN186" s="64"/>
      <c r="AO186" s="64"/>
      <c r="AP186" s="64"/>
      <c r="AQ186" s="64"/>
      <c r="AR186" s="64"/>
      <c r="AS186" s="64"/>
      <c r="AT186" s="64"/>
      <c r="AU186" s="64"/>
      <c r="AV186" s="64"/>
      <c r="AW186" s="220"/>
    </row>
    <row r="187" spans="1:49" s="221" customFormat="1" x14ac:dyDescent="0.25">
      <c r="A187" s="220"/>
      <c r="B187" s="220"/>
      <c r="C187" s="220"/>
      <c r="D187" s="220"/>
      <c r="E187" s="220"/>
      <c r="F187" s="220"/>
      <c r="G187" s="220"/>
      <c r="H187" s="220"/>
      <c r="I187" s="220"/>
      <c r="J187" s="220"/>
      <c r="K187" s="220"/>
      <c r="L187" s="220"/>
      <c r="M187" s="220"/>
      <c r="N187" s="220"/>
      <c r="O187" s="220"/>
      <c r="P187" s="220"/>
      <c r="Q187" s="220"/>
      <c r="R187" s="220"/>
      <c r="S187" s="220"/>
      <c r="T187" s="220"/>
      <c r="U187" s="220"/>
      <c r="V187" s="220"/>
      <c r="W187" s="220"/>
      <c r="X187" s="220"/>
      <c r="Y187" s="220"/>
      <c r="Z187" s="220"/>
      <c r="AA187" s="220"/>
      <c r="AB187" s="220"/>
      <c r="AC187" s="220"/>
      <c r="AD187" s="220"/>
      <c r="AE187" s="220"/>
      <c r="AF187" s="220"/>
      <c r="AG187" s="220"/>
      <c r="AH187" s="220"/>
      <c r="AI187" s="220"/>
      <c r="AJ187" s="220"/>
      <c r="AK187" s="220"/>
      <c r="AL187" s="220"/>
      <c r="AM187" s="220"/>
      <c r="AN187" s="220"/>
      <c r="AO187" s="220"/>
      <c r="AP187" s="220"/>
      <c r="AQ187" s="220"/>
      <c r="AR187" s="220"/>
      <c r="AS187" s="220"/>
      <c r="AT187" s="220"/>
      <c r="AU187" s="220"/>
      <c r="AV187" s="220"/>
      <c r="AW187" s="220"/>
    </row>
    <row r="188" spans="1:49" s="221" customFormat="1" ht="399" x14ac:dyDescent="0.25">
      <c r="A188" s="63">
        <v>1</v>
      </c>
      <c r="B188" s="128" t="str">
        <f>+CONCATENATE("208-",A188)</f>
        <v>208-1</v>
      </c>
      <c r="C188" s="129" t="s">
        <v>713</v>
      </c>
      <c r="D188" s="130" t="s">
        <v>714</v>
      </c>
      <c r="E188" s="131" t="s">
        <v>715</v>
      </c>
      <c r="F188" s="132" t="s">
        <v>577</v>
      </c>
      <c r="G188" s="131" t="s">
        <v>716</v>
      </c>
      <c r="H188" s="132" t="s">
        <v>717</v>
      </c>
      <c r="I188" s="133" t="s">
        <v>718</v>
      </c>
      <c r="J188" s="111" t="s">
        <v>719</v>
      </c>
      <c r="K188" s="133"/>
      <c r="L188" s="111" t="s">
        <v>720</v>
      </c>
      <c r="M188" s="111" t="s">
        <v>58</v>
      </c>
      <c r="N188" s="111" t="s">
        <v>59</v>
      </c>
      <c r="O188" s="111" t="s">
        <v>721</v>
      </c>
      <c r="P188" s="226" t="s">
        <v>722</v>
      </c>
      <c r="Q188" s="134">
        <f>(S188/W188)/R188</f>
        <v>0</v>
      </c>
      <c r="R188" s="135">
        <v>25</v>
      </c>
      <c r="S188" s="136">
        <f>1718514000-535027112-646972888-536514000</f>
        <v>0</v>
      </c>
      <c r="T188" s="137"/>
      <c r="U188" s="128" t="s">
        <v>723</v>
      </c>
      <c r="V188" s="138" t="s">
        <v>724</v>
      </c>
      <c r="W188" s="139">
        <v>5</v>
      </c>
      <c r="X188" s="133"/>
      <c r="Y188" s="63"/>
      <c r="Z188" s="150"/>
      <c r="AA188" s="140"/>
      <c r="AB188" s="141"/>
      <c r="AC188" s="142"/>
      <c r="AD188" s="143"/>
      <c r="AE188" s="143">
        <f t="shared" ref="AE188:AE251" si="12">S188-AD188</f>
        <v>0</v>
      </c>
      <c r="AF188" s="133"/>
      <c r="AG188" s="85"/>
      <c r="AH188" s="143"/>
      <c r="AI188" s="63"/>
      <c r="AJ188" s="63"/>
      <c r="AK188" s="143">
        <f t="shared" ref="AK188:AK195" si="13">AD188-AH188</f>
        <v>0</v>
      </c>
      <c r="AL188" s="143"/>
      <c r="AM188" s="143">
        <f t="shared" ref="AM188:AM251" si="14">AH188-AL188</f>
        <v>0</v>
      </c>
      <c r="AN188" s="133"/>
      <c r="AO188" s="144">
        <f t="shared" ref="AO188:AO251" si="15">S188-AH188</f>
        <v>0</v>
      </c>
      <c r="AP188" s="133"/>
      <c r="AQ188" s="133"/>
      <c r="AR188" s="133"/>
      <c r="AS188" s="133"/>
      <c r="AT188" s="133"/>
      <c r="AU188" s="220"/>
      <c r="AV188" s="220"/>
      <c r="AW188" s="220"/>
    </row>
    <row r="189" spans="1:49" s="221" customFormat="1" ht="370.5" x14ac:dyDescent="0.25">
      <c r="A189" s="63">
        <f>A188+1</f>
        <v>2</v>
      </c>
      <c r="B189" s="128" t="str">
        <f t="shared" ref="B189:B252" si="16">+CONCATENATE("208-",A189)</f>
        <v>208-2</v>
      </c>
      <c r="C189" s="129" t="s">
        <v>713</v>
      </c>
      <c r="D189" s="130" t="s">
        <v>714</v>
      </c>
      <c r="E189" s="145" t="s">
        <v>725</v>
      </c>
      <c r="F189" s="132" t="s">
        <v>577</v>
      </c>
      <c r="G189" s="131" t="s">
        <v>716</v>
      </c>
      <c r="H189" s="132" t="s">
        <v>717</v>
      </c>
      <c r="I189" s="133" t="s">
        <v>718</v>
      </c>
      <c r="J189" s="111" t="s">
        <v>719</v>
      </c>
      <c r="K189" s="133"/>
      <c r="L189" s="111" t="s">
        <v>720</v>
      </c>
      <c r="M189" s="111" t="s">
        <v>58</v>
      </c>
      <c r="N189" s="111" t="s">
        <v>59</v>
      </c>
      <c r="O189" s="111" t="s">
        <v>721</v>
      </c>
      <c r="P189" s="227" t="s">
        <v>726</v>
      </c>
      <c r="Q189" s="134">
        <f t="shared" ref="Q189:Q252" si="17">(S189/W189)/R189</f>
        <v>0</v>
      </c>
      <c r="R189" s="146">
        <v>18</v>
      </c>
      <c r="S189" s="136">
        <f>5209867000-19967239-1248396593-1509603406-331596631-90752820-1+536514000-1349744175-1006623485-189696650</f>
        <v>0</v>
      </c>
      <c r="T189" s="137"/>
      <c r="U189" s="128" t="s">
        <v>723</v>
      </c>
      <c r="V189" s="138" t="s">
        <v>724</v>
      </c>
      <c r="W189" s="147">
        <v>7</v>
      </c>
      <c r="X189" s="133"/>
      <c r="Y189" s="63"/>
      <c r="Z189" s="150"/>
      <c r="AA189" s="140"/>
      <c r="AB189" s="141"/>
      <c r="AC189" s="142"/>
      <c r="AD189" s="143"/>
      <c r="AE189" s="143">
        <f t="shared" si="12"/>
        <v>0</v>
      </c>
      <c r="AF189" s="133"/>
      <c r="AG189" s="85"/>
      <c r="AH189" s="143"/>
      <c r="AI189" s="63"/>
      <c r="AJ189" s="63"/>
      <c r="AK189" s="143">
        <f t="shared" si="13"/>
        <v>0</v>
      </c>
      <c r="AL189" s="143"/>
      <c r="AM189" s="143">
        <f t="shared" si="14"/>
        <v>0</v>
      </c>
      <c r="AN189" s="133"/>
      <c r="AO189" s="144">
        <f t="shared" si="15"/>
        <v>0</v>
      </c>
      <c r="AP189" s="133"/>
      <c r="AQ189" s="133"/>
      <c r="AR189" s="133"/>
      <c r="AS189" s="133"/>
      <c r="AT189" s="133"/>
      <c r="AU189" s="220"/>
      <c r="AV189" s="220"/>
      <c r="AW189" s="220"/>
    </row>
    <row r="190" spans="1:49" s="221" customFormat="1" ht="399" x14ac:dyDescent="0.25">
      <c r="A190" s="63">
        <f t="shared" ref="A190:A253" si="18">A189+1</f>
        <v>3</v>
      </c>
      <c r="B190" s="128" t="str">
        <f t="shared" si="16"/>
        <v>208-3</v>
      </c>
      <c r="C190" s="129" t="s">
        <v>713</v>
      </c>
      <c r="D190" s="130" t="s">
        <v>714</v>
      </c>
      <c r="E190" s="131" t="s">
        <v>715</v>
      </c>
      <c r="F190" s="111" t="s">
        <v>425</v>
      </c>
      <c r="G190" s="145" t="s">
        <v>727</v>
      </c>
      <c r="H190" s="111" t="s">
        <v>427</v>
      </c>
      <c r="I190" s="111" t="s">
        <v>55</v>
      </c>
      <c r="J190" s="111" t="s">
        <v>56</v>
      </c>
      <c r="K190" s="63">
        <v>801116</v>
      </c>
      <c r="L190" s="111" t="s">
        <v>720</v>
      </c>
      <c r="M190" s="111" t="s">
        <v>58</v>
      </c>
      <c r="N190" s="111" t="s">
        <v>59</v>
      </c>
      <c r="O190" s="111" t="s">
        <v>728</v>
      </c>
      <c r="P190" s="227" t="s">
        <v>729</v>
      </c>
      <c r="Q190" s="134">
        <f t="shared" si="17"/>
        <v>421875</v>
      </c>
      <c r="R190" s="146">
        <v>1</v>
      </c>
      <c r="S190" s="136">
        <f>24375000-21000000</f>
        <v>3375000</v>
      </c>
      <c r="T190" s="137"/>
      <c r="U190" s="148" t="s">
        <v>730</v>
      </c>
      <c r="V190" s="148" t="s">
        <v>411</v>
      </c>
      <c r="W190" s="147">
        <v>8</v>
      </c>
      <c r="X190" s="133"/>
      <c r="Y190" s="81"/>
      <c r="Z190" s="156"/>
      <c r="AA190" s="140"/>
      <c r="AB190" s="141"/>
      <c r="AC190" s="142"/>
      <c r="AD190" s="143"/>
      <c r="AE190" s="143">
        <f t="shared" si="12"/>
        <v>3375000</v>
      </c>
      <c r="AF190" s="133"/>
      <c r="AG190" s="85"/>
      <c r="AH190" s="143"/>
      <c r="AI190" s="63"/>
      <c r="AJ190" s="63"/>
      <c r="AK190" s="143">
        <f t="shared" si="13"/>
        <v>0</v>
      </c>
      <c r="AL190" s="143"/>
      <c r="AM190" s="143">
        <f t="shared" si="14"/>
        <v>0</v>
      </c>
      <c r="AN190" s="133"/>
      <c r="AO190" s="144">
        <f t="shared" si="15"/>
        <v>3375000</v>
      </c>
      <c r="AP190" s="133"/>
      <c r="AQ190" s="133"/>
      <c r="AR190" s="133"/>
      <c r="AS190" s="133"/>
      <c r="AT190" s="133"/>
      <c r="AU190" s="220"/>
      <c r="AV190" s="220"/>
      <c r="AW190" s="220"/>
    </row>
    <row r="191" spans="1:49" s="221" customFormat="1" ht="370.5" x14ac:dyDescent="0.25">
      <c r="A191" s="63">
        <f t="shared" si="18"/>
        <v>4</v>
      </c>
      <c r="B191" s="128" t="str">
        <f t="shared" si="16"/>
        <v>208-4</v>
      </c>
      <c r="C191" s="129" t="s">
        <v>713</v>
      </c>
      <c r="D191" s="130" t="s">
        <v>714</v>
      </c>
      <c r="E191" s="145" t="s">
        <v>725</v>
      </c>
      <c r="F191" s="111" t="s">
        <v>425</v>
      </c>
      <c r="G191" s="145" t="s">
        <v>727</v>
      </c>
      <c r="H191" s="111" t="s">
        <v>427</v>
      </c>
      <c r="I191" s="111" t="s">
        <v>55</v>
      </c>
      <c r="J191" s="111" t="s">
        <v>56</v>
      </c>
      <c r="K191" s="63">
        <v>801116</v>
      </c>
      <c r="L191" s="111" t="s">
        <v>720</v>
      </c>
      <c r="M191" s="111" t="s">
        <v>58</v>
      </c>
      <c r="N191" s="111" t="s">
        <v>59</v>
      </c>
      <c r="O191" s="111" t="s">
        <v>728</v>
      </c>
      <c r="P191" s="227" t="s">
        <v>729</v>
      </c>
      <c r="Q191" s="134">
        <f t="shared" si="17"/>
        <v>984375</v>
      </c>
      <c r="R191" s="146">
        <v>1</v>
      </c>
      <c r="S191" s="136">
        <f>56875000-49000000</f>
        <v>7875000</v>
      </c>
      <c r="T191" s="137"/>
      <c r="U191" s="148" t="s">
        <v>730</v>
      </c>
      <c r="V191" s="148" t="s">
        <v>411</v>
      </c>
      <c r="W191" s="147">
        <v>8</v>
      </c>
      <c r="X191" s="133"/>
      <c r="Y191" s="63"/>
      <c r="Z191" s="150"/>
      <c r="AA191" s="140"/>
      <c r="AB191" s="141"/>
      <c r="AC191" s="142"/>
      <c r="AD191" s="143"/>
      <c r="AE191" s="143">
        <f t="shared" si="12"/>
        <v>7875000</v>
      </c>
      <c r="AF191" s="133"/>
      <c r="AG191" s="85"/>
      <c r="AH191" s="143"/>
      <c r="AI191" s="63"/>
      <c r="AJ191" s="63"/>
      <c r="AK191" s="143">
        <f t="shared" si="13"/>
        <v>0</v>
      </c>
      <c r="AL191" s="143"/>
      <c r="AM191" s="143">
        <f t="shared" si="14"/>
        <v>0</v>
      </c>
      <c r="AN191" s="133"/>
      <c r="AO191" s="144">
        <f t="shared" si="15"/>
        <v>7875000</v>
      </c>
      <c r="AP191" s="133"/>
      <c r="AQ191" s="133"/>
      <c r="AR191" s="133"/>
      <c r="AS191" s="133"/>
      <c r="AT191" s="133"/>
      <c r="AU191" s="220"/>
      <c r="AV191" s="220"/>
      <c r="AW191" s="220"/>
    </row>
    <row r="192" spans="1:49" s="221" customFormat="1" ht="399" x14ac:dyDescent="0.25">
      <c r="A192" s="63">
        <f t="shared" si="18"/>
        <v>5</v>
      </c>
      <c r="B192" s="128" t="str">
        <f t="shared" si="16"/>
        <v>208-5</v>
      </c>
      <c r="C192" s="129" t="s">
        <v>713</v>
      </c>
      <c r="D192" s="130" t="s">
        <v>714</v>
      </c>
      <c r="E192" s="131" t="s">
        <v>715</v>
      </c>
      <c r="F192" s="111" t="s">
        <v>425</v>
      </c>
      <c r="G192" s="145" t="s">
        <v>727</v>
      </c>
      <c r="H192" s="111" t="s">
        <v>427</v>
      </c>
      <c r="I192" s="111" t="s">
        <v>55</v>
      </c>
      <c r="J192" s="111" t="s">
        <v>56</v>
      </c>
      <c r="K192" s="63">
        <v>82101600</v>
      </c>
      <c r="L192" s="111" t="s">
        <v>720</v>
      </c>
      <c r="M192" s="111" t="s">
        <v>58</v>
      </c>
      <c r="N192" s="111" t="s">
        <v>59</v>
      </c>
      <c r="O192" s="111" t="s">
        <v>731</v>
      </c>
      <c r="P192" s="227" t="s">
        <v>732</v>
      </c>
      <c r="Q192" s="134">
        <f t="shared" si="17"/>
        <v>6093750</v>
      </c>
      <c r="R192" s="146">
        <v>1</v>
      </c>
      <c r="S192" s="136">
        <v>24375000</v>
      </c>
      <c r="T192" s="137"/>
      <c r="U192" s="148" t="s">
        <v>730</v>
      </c>
      <c r="V192" s="148" t="s">
        <v>431</v>
      </c>
      <c r="W192" s="147">
        <v>4</v>
      </c>
      <c r="X192" s="133"/>
      <c r="Y192" s="63"/>
      <c r="Z192" s="150"/>
      <c r="AA192" s="140"/>
      <c r="AB192" s="141"/>
      <c r="AC192" s="142"/>
      <c r="AD192" s="143"/>
      <c r="AE192" s="143">
        <f t="shared" si="12"/>
        <v>24375000</v>
      </c>
      <c r="AF192" s="133"/>
      <c r="AG192" s="85"/>
      <c r="AH192" s="143"/>
      <c r="AI192" s="63"/>
      <c r="AJ192" s="63"/>
      <c r="AK192" s="143">
        <f t="shared" si="13"/>
        <v>0</v>
      </c>
      <c r="AL192" s="143"/>
      <c r="AM192" s="143">
        <f t="shared" si="14"/>
        <v>0</v>
      </c>
      <c r="AN192" s="133"/>
      <c r="AO192" s="144">
        <f t="shared" si="15"/>
        <v>24375000</v>
      </c>
      <c r="AP192" s="133"/>
      <c r="AQ192" s="133"/>
      <c r="AR192" s="133"/>
      <c r="AS192" s="133"/>
      <c r="AT192" s="133"/>
      <c r="AU192" s="220"/>
      <c r="AV192" s="220"/>
      <c r="AW192" s="220"/>
    </row>
    <row r="193" spans="1:49" s="221" customFormat="1" ht="370.5" x14ac:dyDescent="0.25">
      <c r="A193" s="63">
        <f t="shared" si="18"/>
        <v>6</v>
      </c>
      <c r="B193" s="128" t="str">
        <f t="shared" si="16"/>
        <v>208-6</v>
      </c>
      <c r="C193" s="129" t="s">
        <v>713</v>
      </c>
      <c r="D193" s="130" t="s">
        <v>714</v>
      </c>
      <c r="E193" s="145" t="s">
        <v>725</v>
      </c>
      <c r="F193" s="111" t="s">
        <v>425</v>
      </c>
      <c r="G193" s="145" t="s">
        <v>727</v>
      </c>
      <c r="H193" s="111" t="s">
        <v>427</v>
      </c>
      <c r="I193" s="111" t="s">
        <v>55</v>
      </c>
      <c r="J193" s="111" t="s">
        <v>56</v>
      </c>
      <c r="K193" s="63">
        <v>82101600</v>
      </c>
      <c r="L193" s="111" t="s">
        <v>720</v>
      </c>
      <c r="M193" s="111" t="s">
        <v>58</v>
      </c>
      <c r="N193" s="111" t="s">
        <v>59</v>
      </c>
      <c r="O193" s="111" t="s">
        <v>731</v>
      </c>
      <c r="P193" s="227" t="s">
        <v>732</v>
      </c>
      <c r="Q193" s="134">
        <f t="shared" si="17"/>
        <v>14218750</v>
      </c>
      <c r="R193" s="146">
        <v>1</v>
      </c>
      <c r="S193" s="136">
        <v>56875000</v>
      </c>
      <c r="T193" s="137"/>
      <c r="U193" s="148" t="s">
        <v>730</v>
      </c>
      <c r="V193" s="148" t="s">
        <v>431</v>
      </c>
      <c r="W193" s="147">
        <v>4</v>
      </c>
      <c r="X193" s="133"/>
      <c r="Y193" s="63"/>
      <c r="Z193" s="150"/>
      <c r="AA193" s="140"/>
      <c r="AB193" s="141"/>
      <c r="AC193" s="142"/>
      <c r="AD193" s="143"/>
      <c r="AE193" s="143">
        <f t="shared" si="12"/>
        <v>56875000</v>
      </c>
      <c r="AF193" s="133"/>
      <c r="AG193" s="85"/>
      <c r="AH193" s="143"/>
      <c r="AI193" s="63"/>
      <c r="AJ193" s="63"/>
      <c r="AK193" s="143">
        <f t="shared" si="13"/>
        <v>0</v>
      </c>
      <c r="AL193" s="143"/>
      <c r="AM193" s="143">
        <f t="shared" si="14"/>
        <v>0</v>
      </c>
      <c r="AN193" s="133"/>
      <c r="AO193" s="144">
        <f t="shared" si="15"/>
        <v>56875000</v>
      </c>
      <c r="AP193" s="133"/>
      <c r="AQ193" s="133"/>
      <c r="AR193" s="133"/>
      <c r="AS193" s="133"/>
      <c r="AT193" s="133"/>
      <c r="AU193" s="220"/>
      <c r="AV193" s="220"/>
      <c r="AW193" s="220"/>
    </row>
    <row r="194" spans="1:49" s="221" customFormat="1" ht="399" x14ac:dyDescent="0.25">
      <c r="A194" s="63">
        <f t="shared" si="18"/>
        <v>7</v>
      </c>
      <c r="B194" s="128" t="str">
        <f t="shared" si="16"/>
        <v>208-7</v>
      </c>
      <c r="C194" s="129" t="s">
        <v>713</v>
      </c>
      <c r="D194" s="130" t="s">
        <v>714</v>
      </c>
      <c r="E194" s="131" t="s">
        <v>715</v>
      </c>
      <c r="F194" s="111" t="s">
        <v>52</v>
      </c>
      <c r="G194" s="145" t="s">
        <v>53</v>
      </c>
      <c r="H194" s="111" t="s">
        <v>733</v>
      </c>
      <c r="I194" s="111" t="s">
        <v>55</v>
      </c>
      <c r="J194" s="111" t="s">
        <v>56</v>
      </c>
      <c r="K194" s="149">
        <v>801116</v>
      </c>
      <c r="L194" s="111" t="s">
        <v>720</v>
      </c>
      <c r="M194" s="111" t="s">
        <v>58</v>
      </c>
      <c r="N194" s="111" t="s">
        <v>59</v>
      </c>
      <c r="O194" s="111" t="s">
        <v>728</v>
      </c>
      <c r="P194" s="227" t="s">
        <v>734</v>
      </c>
      <c r="Q194" s="134">
        <f t="shared" si="17"/>
        <v>3513416.25</v>
      </c>
      <c r="R194" s="146">
        <v>1</v>
      </c>
      <c r="S194" s="136">
        <v>42160995</v>
      </c>
      <c r="T194" s="137" t="s">
        <v>735</v>
      </c>
      <c r="U194" s="148" t="s">
        <v>445</v>
      </c>
      <c r="V194" s="148" t="s">
        <v>64</v>
      </c>
      <c r="W194" s="147">
        <v>12</v>
      </c>
      <c r="X194" s="133">
        <v>103</v>
      </c>
      <c r="Y194" s="81">
        <v>43102</v>
      </c>
      <c r="Z194" s="136">
        <v>42160995</v>
      </c>
      <c r="AA194" s="140"/>
      <c r="AB194" s="141">
        <v>50</v>
      </c>
      <c r="AC194" s="150">
        <v>43103</v>
      </c>
      <c r="AD194" s="151">
        <v>42160995</v>
      </c>
      <c r="AE194" s="143">
        <f t="shared" si="12"/>
        <v>0</v>
      </c>
      <c r="AF194" s="133" t="s">
        <v>736</v>
      </c>
      <c r="AG194" s="81">
        <v>43180</v>
      </c>
      <c r="AH194" s="143">
        <v>42160995</v>
      </c>
      <c r="AI194" s="63" t="s">
        <v>737</v>
      </c>
      <c r="AJ194" s="63" t="s">
        <v>738</v>
      </c>
      <c r="AK194" s="143">
        <f t="shared" si="13"/>
        <v>0</v>
      </c>
      <c r="AL194" s="143">
        <v>42160995</v>
      </c>
      <c r="AM194" s="143">
        <f t="shared" si="14"/>
        <v>0</v>
      </c>
      <c r="AN194" s="133"/>
      <c r="AO194" s="144">
        <f t="shared" si="15"/>
        <v>0</v>
      </c>
      <c r="AP194" s="133"/>
      <c r="AQ194" s="150">
        <v>43102</v>
      </c>
      <c r="AR194" s="133" t="s">
        <v>739</v>
      </c>
      <c r="AS194" s="150">
        <v>43102</v>
      </c>
      <c r="AT194" s="133" t="s">
        <v>740</v>
      </c>
      <c r="AU194" s="220"/>
      <c r="AV194" s="220"/>
      <c r="AW194" s="220"/>
    </row>
    <row r="195" spans="1:49" s="221" customFormat="1" ht="370.5" x14ac:dyDescent="0.25">
      <c r="A195" s="63">
        <f t="shared" si="18"/>
        <v>8</v>
      </c>
      <c r="B195" s="128" t="str">
        <f t="shared" si="16"/>
        <v>208-8</v>
      </c>
      <c r="C195" s="129" t="s">
        <v>713</v>
      </c>
      <c r="D195" s="130" t="s">
        <v>714</v>
      </c>
      <c r="E195" s="145" t="s">
        <v>725</v>
      </c>
      <c r="F195" s="111" t="s">
        <v>52</v>
      </c>
      <c r="G195" s="145" t="s">
        <v>53</v>
      </c>
      <c r="H195" s="111" t="s">
        <v>733</v>
      </c>
      <c r="I195" s="111" t="s">
        <v>55</v>
      </c>
      <c r="J195" s="111" t="s">
        <v>56</v>
      </c>
      <c r="K195" s="149">
        <v>801116</v>
      </c>
      <c r="L195" s="111" t="s">
        <v>720</v>
      </c>
      <c r="M195" s="111" t="s">
        <v>58</v>
      </c>
      <c r="N195" s="111" t="s">
        <v>59</v>
      </c>
      <c r="O195" s="111" t="s">
        <v>728</v>
      </c>
      <c r="P195" s="227" t="s">
        <v>734</v>
      </c>
      <c r="Q195" s="134">
        <f t="shared" si="17"/>
        <v>8197971.25</v>
      </c>
      <c r="R195" s="146">
        <v>1</v>
      </c>
      <c r="S195" s="136">
        <v>98375655</v>
      </c>
      <c r="T195" s="137" t="s">
        <v>735</v>
      </c>
      <c r="U195" s="148" t="s">
        <v>445</v>
      </c>
      <c r="V195" s="148" t="s">
        <v>64</v>
      </c>
      <c r="W195" s="147">
        <v>12</v>
      </c>
      <c r="X195" s="133">
        <v>104</v>
      </c>
      <c r="Y195" s="81">
        <v>43102</v>
      </c>
      <c r="Z195" s="136">
        <v>98375655</v>
      </c>
      <c r="AA195" s="140"/>
      <c r="AB195" s="141">
        <v>50</v>
      </c>
      <c r="AC195" s="150">
        <v>43103</v>
      </c>
      <c r="AD195" s="151">
        <v>98375655</v>
      </c>
      <c r="AE195" s="143">
        <f t="shared" si="12"/>
        <v>0</v>
      </c>
      <c r="AF195" s="133" t="s">
        <v>736</v>
      </c>
      <c r="AG195" s="81">
        <v>43180</v>
      </c>
      <c r="AH195" s="143">
        <v>98375655</v>
      </c>
      <c r="AI195" s="63" t="s">
        <v>737</v>
      </c>
      <c r="AJ195" s="63" t="s">
        <v>738</v>
      </c>
      <c r="AK195" s="143">
        <f t="shared" si="13"/>
        <v>0</v>
      </c>
      <c r="AL195" s="143">
        <v>98375655</v>
      </c>
      <c r="AM195" s="143">
        <f t="shared" si="14"/>
        <v>0</v>
      </c>
      <c r="AN195" s="133"/>
      <c r="AO195" s="144">
        <f t="shared" si="15"/>
        <v>0</v>
      </c>
      <c r="AP195" s="133"/>
      <c r="AQ195" s="150">
        <v>43102</v>
      </c>
      <c r="AR195" s="133" t="s">
        <v>739</v>
      </c>
      <c r="AS195" s="150">
        <v>43102</v>
      </c>
      <c r="AT195" s="133" t="s">
        <v>740</v>
      </c>
      <c r="AU195" s="220"/>
      <c r="AV195" s="220"/>
      <c r="AW195" s="220"/>
    </row>
    <row r="196" spans="1:49" s="221" customFormat="1" ht="399" x14ac:dyDescent="0.25">
      <c r="A196" s="63">
        <f t="shared" si="18"/>
        <v>9</v>
      </c>
      <c r="B196" s="128" t="str">
        <f t="shared" si="16"/>
        <v>208-9</v>
      </c>
      <c r="C196" s="129" t="s">
        <v>713</v>
      </c>
      <c r="D196" s="130" t="s">
        <v>714</v>
      </c>
      <c r="E196" s="131" t="s">
        <v>715</v>
      </c>
      <c r="F196" s="111" t="s">
        <v>52</v>
      </c>
      <c r="G196" s="145" t="s">
        <v>53</v>
      </c>
      <c r="H196" s="111" t="s">
        <v>733</v>
      </c>
      <c r="I196" s="111" t="s">
        <v>55</v>
      </c>
      <c r="J196" s="111" t="s">
        <v>56</v>
      </c>
      <c r="K196" s="149">
        <v>801116</v>
      </c>
      <c r="L196" s="111" t="s">
        <v>720</v>
      </c>
      <c r="M196" s="111" t="s">
        <v>58</v>
      </c>
      <c r="N196" s="111" t="s">
        <v>59</v>
      </c>
      <c r="O196" s="111" t="s">
        <v>728</v>
      </c>
      <c r="P196" s="227" t="s">
        <v>734</v>
      </c>
      <c r="Q196" s="134">
        <f t="shared" si="17"/>
        <v>3472553.75</v>
      </c>
      <c r="R196" s="146">
        <v>1</v>
      </c>
      <c r="S196" s="136">
        <v>41670645</v>
      </c>
      <c r="T196" s="137" t="s">
        <v>735</v>
      </c>
      <c r="U196" s="148" t="s">
        <v>445</v>
      </c>
      <c r="V196" s="148" t="s">
        <v>64</v>
      </c>
      <c r="W196" s="147">
        <v>12</v>
      </c>
      <c r="X196" s="133">
        <v>105</v>
      </c>
      <c r="Y196" s="81">
        <v>43102</v>
      </c>
      <c r="Z196" s="136">
        <v>41670645</v>
      </c>
      <c r="AA196" s="140"/>
      <c r="AB196" s="141">
        <v>50</v>
      </c>
      <c r="AC196" s="150">
        <v>43103</v>
      </c>
      <c r="AD196" s="151">
        <v>41670645</v>
      </c>
      <c r="AE196" s="143">
        <f t="shared" si="12"/>
        <v>0</v>
      </c>
      <c r="AF196" s="133" t="s">
        <v>741</v>
      </c>
      <c r="AG196" s="81">
        <v>43305</v>
      </c>
      <c r="AH196" s="143">
        <v>17257197</v>
      </c>
      <c r="AI196" s="63" t="s">
        <v>737</v>
      </c>
      <c r="AJ196" s="63">
        <v>52</v>
      </c>
      <c r="AK196" s="143">
        <v>17257197</v>
      </c>
      <c r="AL196" s="143">
        <v>17257197</v>
      </c>
      <c r="AM196" s="143">
        <f t="shared" si="14"/>
        <v>0</v>
      </c>
      <c r="AN196" s="133"/>
      <c r="AO196" s="144">
        <f t="shared" si="15"/>
        <v>24413448</v>
      </c>
      <c r="AP196" s="133"/>
      <c r="AQ196" s="150">
        <v>43102</v>
      </c>
      <c r="AR196" s="133" t="s">
        <v>739</v>
      </c>
      <c r="AS196" s="150">
        <v>43102</v>
      </c>
      <c r="AT196" s="133" t="s">
        <v>740</v>
      </c>
      <c r="AU196" s="220"/>
      <c r="AV196" s="220"/>
      <c r="AW196" s="220"/>
    </row>
    <row r="197" spans="1:49" s="221" customFormat="1" ht="370.5" x14ac:dyDescent="0.25">
      <c r="A197" s="63">
        <f t="shared" si="18"/>
        <v>10</v>
      </c>
      <c r="B197" s="128" t="str">
        <f t="shared" si="16"/>
        <v>208-10</v>
      </c>
      <c r="C197" s="129" t="s">
        <v>713</v>
      </c>
      <c r="D197" s="130" t="s">
        <v>714</v>
      </c>
      <c r="E197" s="145" t="s">
        <v>725</v>
      </c>
      <c r="F197" s="111" t="s">
        <v>52</v>
      </c>
      <c r="G197" s="145" t="s">
        <v>53</v>
      </c>
      <c r="H197" s="111" t="s">
        <v>733</v>
      </c>
      <c r="I197" s="111" t="s">
        <v>55</v>
      </c>
      <c r="J197" s="111" t="s">
        <v>56</v>
      </c>
      <c r="K197" s="149">
        <v>801116</v>
      </c>
      <c r="L197" s="111" t="s">
        <v>720</v>
      </c>
      <c r="M197" s="111" t="s">
        <v>58</v>
      </c>
      <c r="N197" s="111" t="s">
        <v>59</v>
      </c>
      <c r="O197" s="111" t="s">
        <v>728</v>
      </c>
      <c r="P197" s="227" t="s">
        <v>734</v>
      </c>
      <c r="Q197" s="134">
        <f t="shared" si="17"/>
        <v>8102625.416666667</v>
      </c>
      <c r="R197" s="146">
        <v>1</v>
      </c>
      <c r="S197" s="136">
        <v>97231505</v>
      </c>
      <c r="T197" s="137" t="s">
        <v>735</v>
      </c>
      <c r="U197" s="148" t="s">
        <v>445</v>
      </c>
      <c r="V197" s="148" t="s">
        <v>64</v>
      </c>
      <c r="W197" s="147">
        <v>12</v>
      </c>
      <c r="X197" s="133">
        <v>106</v>
      </c>
      <c r="Y197" s="81">
        <v>43102</v>
      </c>
      <c r="Z197" s="136">
        <v>97231505</v>
      </c>
      <c r="AA197" s="140"/>
      <c r="AB197" s="141">
        <v>50</v>
      </c>
      <c r="AC197" s="150">
        <v>43103</v>
      </c>
      <c r="AD197" s="151">
        <v>97231505</v>
      </c>
      <c r="AE197" s="143">
        <f t="shared" si="12"/>
        <v>0</v>
      </c>
      <c r="AF197" s="133" t="s">
        <v>741</v>
      </c>
      <c r="AG197" s="81">
        <v>43305</v>
      </c>
      <c r="AH197" s="143">
        <v>40266793</v>
      </c>
      <c r="AI197" s="63" t="s">
        <v>737</v>
      </c>
      <c r="AJ197" s="63">
        <v>52</v>
      </c>
      <c r="AK197" s="143">
        <v>40266793</v>
      </c>
      <c r="AL197" s="143">
        <v>40266793</v>
      </c>
      <c r="AM197" s="143">
        <f t="shared" si="14"/>
        <v>0</v>
      </c>
      <c r="AN197" s="133"/>
      <c r="AO197" s="144">
        <f t="shared" si="15"/>
        <v>56964712</v>
      </c>
      <c r="AP197" s="133"/>
      <c r="AQ197" s="150">
        <v>43102</v>
      </c>
      <c r="AR197" s="133" t="s">
        <v>739</v>
      </c>
      <c r="AS197" s="150">
        <v>43102</v>
      </c>
      <c r="AT197" s="133" t="s">
        <v>740</v>
      </c>
      <c r="AU197" s="220"/>
      <c r="AV197" s="220"/>
      <c r="AW197" s="220"/>
    </row>
    <row r="198" spans="1:49" s="221" customFormat="1" ht="399" x14ac:dyDescent="0.25">
      <c r="A198" s="63">
        <f t="shared" si="18"/>
        <v>11</v>
      </c>
      <c r="B198" s="128" t="str">
        <f t="shared" si="16"/>
        <v>208-11</v>
      </c>
      <c r="C198" s="129" t="s">
        <v>713</v>
      </c>
      <c r="D198" s="130" t="s">
        <v>714</v>
      </c>
      <c r="E198" s="131" t="s">
        <v>715</v>
      </c>
      <c r="F198" s="111" t="s">
        <v>52</v>
      </c>
      <c r="G198" s="145" t="s">
        <v>53</v>
      </c>
      <c r="H198" s="111" t="s">
        <v>733</v>
      </c>
      <c r="I198" s="111" t="s">
        <v>55</v>
      </c>
      <c r="J198" s="111" t="s">
        <v>56</v>
      </c>
      <c r="K198" s="149">
        <v>801116</v>
      </c>
      <c r="L198" s="111" t="s">
        <v>720</v>
      </c>
      <c r="M198" s="111" t="s">
        <v>58</v>
      </c>
      <c r="N198" s="111" t="s">
        <v>59</v>
      </c>
      <c r="O198" s="111" t="s">
        <v>728</v>
      </c>
      <c r="P198" s="227" t="s">
        <v>734</v>
      </c>
      <c r="Q198" s="134">
        <f t="shared" si="17"/>
        <v>2432618.75</v>
      </c>
      <c r="R198" s="146">
        <v>1</v>
      </c>
      <c r="S198" s="136">
        <v>29191425</v>
      </c>
      <c r="T198" s="137" t="s">
        <v>735</v>
      </c>
      <c r="U198" s="148" t="s">
        <v>445</v>
      </c>
      <c r="V198" s="148" t="s">
        <v>64</v>
      </c>
      <c r="W198" s="147">
        <v>12</v>
      </c>
      <c r="X198" s="133">
        <v>107</v>
      </c>
      <c r="Y198" s="81">
        <v>43102</v>
      </c>
      <c r="Z198" s="136">
        <v>29191425</v>
      </c>
      <c r="AA198" s="140"/>
      <c r="AB198" s="141">
        <v>50</v>
      </c>
      <c r="AC198" s="150">
        <v>43103</v>
      </c>
      <c r="AD198" s="151">
        <v>29191425</v>
      </c>
      <c r="AE198" s="143">
        <f t="shared" si="12"/>
        <v>0</v>
      </c>
      <c r="AF198" s="133"/>
      <c r="AG198" s="85"/>
      <c r="AH198" s="143"/>
      <c r="AI198" s="152"/>
      <c r="AJ198" s="63"/>
      <c r="AK198" s="143">
        <f t="shared" ref="AK198:AK261" si="19">AD198-AH198</f>
        <v>29191425</v>
      </c>
      <c r="AL198" s="143"/>
      <c r="AM198" s="143">
        <f t="shared" si="14"/>
        <v>0</v>
      </c>
      <c r="AN198" s="133"/>
      <c r="AO198" s="144">
        <f t="shared" si="15"/>
        <v>29191425</v>
      </c>
      <c r="AP198" s="133"/>
      <c r="AQ198" s="150">
        <v>43102</v>
      </c>
      <c r="AR198" s="133" t="s">
        <v>739</v>
      </c>
      <c r="AS198" s="150">
        <v>43102</v>
      </c>
      <c r="AT198" s="133" t="s">
        <v>740</v>
      </c>
      <c r="AU198" s="220"/>
      <c r="AV198" s="220"/>
      <c r="AW198" s="220"/>
    </row>
    <row r="199" spans="1:49" s="221" customFormat="1" ht="370.5" x14ac:dyDescent="0.25">
      <c r="A199" s="63">
        <f t="shared" si="18"/>
        <v>12</v>
      </c>
      <c r="B199" s="128" t="str">
        <f t="shared" si="16"/>
        <v>208-12</v>
      </c>
      <c r="C199" s="129" t="s">
        <v>713</v>
      </c>
      <c r="D199" s="130" t="s">
        <v>714</v>
      </c>
      <c r="E199" s="145" t="s">
        <v>725</v>
      </c>
      <c r="F199" s="111" t="s">
        <v>52</v>
      </c>
      <c r="G199" s="145" t="s">
        <v>53</v>
      </c>
      <c r="H199" s="111" t="s">
        <v>733</v>
      </c>
      <c r="I199" s="111" t="s">
        <v>55</v>
      </c>
      <c r="J199" s="111" t="s">
        <v>56</v>
      </c>
      <c r="K199" s="149">
        <v>801116</v>
      </c>
      <c r="L199" s="111" t="s">
        <v>720</v>
      </c>
      <c r="M199" s="111" t="s">
        <v>58</v>
      </c>
      <c r="N199" s="111" t="s">
        <v>59</v>
      </c>
      <c r="O199" s="111" t="s">
        <v>728</v>
      </c>
      <c r="P199" s="227" t="s">
        <v>734</v>
      </c>
      <c r="Q199" s="134">
        <f t="shared" si="17"/>
        <v>5676110.416666667</v>
      </c>
      <c r="R199" s="146">
        <v>1</v>
      </c>
      <c r="S199" s="136">
        <v>68113325</v>
      </c>
      <c r="T199" s="137" t="s">
        <v>735</v>
      </c>
      <c r="U199" s="148" t="s">
        <v>445</v>
      </c>
      <c r="V199" s="148" t="s">
        <v>64</v>
      </c>
      <c r="W199" s="147">
        <v>12</v>
      </c>
      <c r="X199" s="133">
        <v>108</v>
      </c>
      <c r="Y199" s="81">
        <v>43102</v>
      </c>
      <c r="Z199" s="136">
        <v>68113325</v>
      </c>
      <c r="AA199" s="140"/>
      <c r="AB199" s="141">
        <v>50</v>
      </c>
      <c r="AC199" s="150">
        <v>43103</v>
      </c>
      <c r="AD199" s="151">
        <v>68113325</v>
      </c>
      <c r="AE199" s="143">
        <f t="shared" si="12"/>
        <v>0</v>
      </c>
      <c r="AF199" s="133"/>
      <c r="AG199" s="85"/>
      <c r="AH199" s="143"/>
      <c r="AI199" s="63"/>
      <c r="AJ199" s="63"/>
      <c r="AK199" s="143">
        <f t="shared" si="19"/>
        <v>68113325</v>
      </c>
      <c r="AL199" s="143"/>
      <c r="AM199" s="143">
        <f t="shared" si="14"/>
        <v>0</v>
      </c>
      <c r="AN199" s="133"/>
      <c r="AO199" s="144">
        <f t="shared" si="15"/>
        <v>68113325</v>
      </c>
      <c r="AP199" s="133"/>
      <c r="AQ199" s="150">
        <v>43102</v>
      </c>
      <c r="AR199" s="133" t="s">
        <v>739</v>
      </c>
      <c r="AS199" s="150">
        <v>43102</v>
      </c>
      <c r="AT199" s="133" t="s">
        <v>740</v>
      </c>
      <c r="AU199" s="220"/>
      <c r="AV199" s="220"/>
      <c r="AW199" s="220"/>
    </row>
    <row r="200" spans="1:49" s="221" customFormat="1" ht="399" x14ac:dyDescent="0.25">
      <c r="A200" s="63">
        <f t="shared" si="18"/>
        <v>13</v>
      </c>
      <c r="B200" s="128" t="str">
        <f t="shared" si="16"/>
        <v>208-13</v>
      </c>
      <c r="C200" s="129" t="s">
        <v>713</v>
      </c>
      <c r="D200" s="130" t="s">
        <v>714</v>
      </c>
      <c r="E200" s="131" t="s">
        <v>715</v>
      </c>
      <c r="F200" s="111" t="s">
        <v>52</v>
      </c>
      <c r="G200" s="145" t="s">
        <v>53</v>
      </c>
      <c r="H200" s="111" t="s">
        <v>733</v>
      </c>
      <c r="I200" s="111" t="s">
        <v>55</v>
      </c>
      <c r="J200" s="111" t="s">
        <v>56</v>
      </c>
      <c r="K200" s="149">
        <v>801116</v>
      </c>
      <c r="L200" s="111" t="s">
        <v>720</v>
      </c>
      <c r="M200" s="111" t="s">
        <v>58</v>
      </c>
      <c r="N200" s="111" t="s">
        <v>59</v>
      </c>
      <c r="O200" s="111" t="s">
        <v>728</v>
      </c>
      <c r="P200" s="227" t="s">
        <v>742</v>
      </c>
      <c r="Q200" s="134">
        <f t="shared" si="17"/>
        <v>900000</v>
      </c>
      <c r="R200" s="146">
        <v>1</v>
      </c>
      <c r="S200" s="136">
        <v>10800000</v>
      </c>
      <c r="T200" s="137" t="s">
        <v>735</v>
      </c>
      <c r="U200" s="148" t="s">
        <v>445</v>
      </c>
      <c r="V200" s="148" t="s">
        <v>64</v>
      </c>
      <c r="W200" s="147">
        <v>12</v>
      </c>
      <c r="X200" s="133">
        <v>101</v>
      </c>
      <c r="Y200" s="81">
        <v>43102</v>
      </c>
      <c r="Z200" s="136">
        <v>10800000</v>
      </c>
      <c r="AA200" s="140"/>
      <c r="AB200" s="141">
        <v>52</v>
      </c>
      <c r="AC200" s="150">
        <v>43103</v>
      </c>
      <c r="AD200" s="143">
        <v>10800000</v>
      </c>
      <c r="AE200" s="143">
        <f t="shared" si="12"/>
        <v>0</v>
      </c>
      <c r="AF200" s="133" t="s">
        <v>743</v>
      </c>
      <c r="AG200" s="81">
        <v>43165</v>
      </c>
      <c r="AH200" s="143">
        <v>4242780</v>
      </c>
      <c r="AI200" s="64" t="s">
        <v>513</v>
      </c>
      <c r="AJ200" s="100" t="s">
        <v>744</v>
      </c>
      <c r="AK200" s="143">
        <f t="shared" si="19"/>
        <v>6557220</v>
      </c>
      <c r="AL200" s="143">
        <v>4242780</v>
      </c>
      <c r="AM200" s="143">
        <f t="shared" si="14"/>
        <v>0</v>
      </c>
      <c r="AN200" s="133"/>
      <c r="AO200" s="144">
        <f t="shared" si="15"/>
        <v>6557220</v>
      </c>
      <c r="AP200" s="133"/>
      <c r="AQ200" s="150">
        <v>43102</v>
      </c>
      <c r="AR200" s="133" t="s">
        <v>739</v>
      </c>
      <c r="AS200" s="150">
        <v>43102</v>
      </c>
      <c r="AT200" s="133" t="s">
        <v>745</v>
      </c>
      <c r="AU200" s="220"/>
      <c r="AV200" s="220"/>
      <c r="AW200" s="220"/>
    </row>
    <row r="201" spans="1:49" s="221" customFormat="1" ht="370.5" x14ac:dyDescent="0.25">
      <c r="A201" s="63">
        <f t="shared" si="18"/>
        <v>14</v>
      </c>
      <c r="B201" s="128" t="str">
        <f t="shared" si="16"/>
        <v>208-14</v>
      </c>
      <c r="C201" s="129" t="s">
        <v>713</v>
      </c>
      <c r="D201" s="130" t="s">
        <v>714</v>
      </c>
      <c r="E201" s="145" t="s">
        <v>725</v>
      </c>
      <c r="F201" s="111" t="s">
        <v>52</v>
      </c>
      <c r="G201" s="145" t="s">
        <v>53</v>
      </c>
      <c r="H201" s="111" t="s">
        <v>733</v>
      </c>
      <c r="I201" s="111" t="s">
        <v>55</v>
      </c>
      <c r="J201" s="111" t="s">
        <v>56</v>
      </c>
      <c r="K201" s="149">
        <v>801116</v>
      </c>
      <c r="L201" s="111" t="s">
        <v>720</v>
      </c>
      <c r="M201" s="111" t="s">
        <v>58</v>
      </c>
      <c r="N201" s="111" t="s">
        <v>59</v>
      </c>
      <c r="O201" s="111" t="s">
        <v>728</v>
      </c>
      <c r="P201" s="227" t="s">
        <v>742</v>
      </c>
      <c r="Q201" s="134">
        <f t="shared" si="17"/>
        <v>2100000</v>
      </c>
      <c r="R201" s="146">
        <v>1</v>
      </c>
      <c r="S201" s="136">
        <v>25200000</v>
      </c>
      <c r="T201" s="137" t="s">
        <v>735</v>
      </c>
      <c r="U201" s="148" t="s">
        <v>445</v>
      </c>
      <c r="V201" s="148" t="s">
        <v>64</v>
      </c>
      <c r="W201" s="147">
        <v>12</v>
      </c>
      <c r="X201" s="133">
        <v>102</v>
      </c>
      <c r="Y201" s="81">
        <v>43102</v>
      </c>
      <c r="Z201" s="136">
        <v>25200000</v>
      </c>
      <c r="AA201" s="140"/>
      <c r="AB201" s="141">
        <v>52</v>
      </c>
      <c r="AC201" s="150">
        <v>43103</v>
      </c>
      <c r="AD201" s="143">
        <v>25200000</v>
      </c>
      <c r="AE201" s="143">
        <f t="shared" si="12"/>
        <v>0</v>
      </c>
      <c r="AF201" s="133" t="s">
        <v>743</v>
      </c>
      <c r="AG201" s="81">
        <v>43165</v>
      </c>
      <c r="AH201" s="143">
        <v>9899820</v>
      </c>
      <c r="AI201" s="64" t="s">
        <v>513</v>
      </c>
      <c r="AJ201" s="100" t="s">
        <v>744</v>
      </c>
      <c r="AK201" s="143">
        <f t="shared" si="19"/>
        <v>15300180</v>
      </c>
      <c r="AL201" s="143">
        <v>9899820</v>
      </c>
      <c r="AM201" s="143">
        <f t="shared" si="14"/>
        <v>0</v>
      </c>
      <c r="AN201" s="133"/>
      <c r="AO201" s="144">
        <f t="shared" si="15"/>
        <v>15300180</v>
      </c>
      <c r="AP201" s="133"/>
      <c r="AQ201" s="150">
        <v>43102</v>
      </c>
      <c r="AR201" s="133" t="s">
        <v>739</v>
      </c>
      <c r="AS201" s="150">
        <v>43102</v>
      </c>
      <c r="AT201" s="133" t="s">
        <v>745</v>
      </c>
      <c r="AU201" s="220"/>
      <c r="AV201" s="220"/>
      <c r="AW201" s="220"/>
    </row>
    <row r="202" spans="1:49" s="221" customFormat="1" ht="399" x14ac:dyDescent="0.25">
      <c r="A202" s="63">
        <f t="shared" si="18"/>
        <v>15</v>
      </c>
      <c r="B202" s="128" t="str">
        <f t="shared" si="16"/>
        <v>208-15</v>
      </c>
      <c r="C202" s="129" t="s">
        <v>713</v>
      </c>
      <c r="D202" s="130" t="s">
        <v>714</v>
      </c>
      <c r="E202" s="131" t="s">
        <v>715</v>
      </c>
      <c r="F202" s="111" t="s">
        <v>52</v>
      </c>
      <c r="G202" s="145" t="s">
        <v>53</v>
      </c>
      <c r="H202" s="111" t="s">
        <v>733</v>
      </c>
      <c r="I202" s="111" t="s">
        <v>55</v>
      </c>
      <c r="J202" s="111" t="s">
        <v>56</v>
      </c>
      <c r="K202" s="63">
        <v>801116</v>
      </c>
      <c r="L202" s="111" t="s">
        <v>720</v>
      </c>
      <c r="M202" s="111" t="s">
        <v>58</v>
      </c>
      <c r="N202" s="111" t="s">
        <v>59</v>
      </c>
      <c r="O202" s="111" t="s">
        <v>728</v>
      </c>
      <c r="P202" s="227" t="s">
        <v>746</v>
      </c>
      <c r="Q202" s="134">
        <f t="shared" si="17"/>
        <v>2472000</v>
      </c>
      <c r="R202" s="146">
        <v>1</v>
      </c>
      <c r="S202" s="136">
        <v>28428000</v>
      </c>
      <c r="T202" s="137" t="s">
        <v>747</v>
      </c>
      <c r="U202" s="148" t="s">
        <v>445</v>
      </c>
      <c r="V202" s="148" t="s">
        <v>64</v>
      </c>
      <c r="W202" s="153">
        <v>11.5</v>
      </c>
      <c r="X202" s="133">
        <v>100</v>
      </c>
      <c r="Y202" s="81">
        <v>43102</v>
      </c>
      <c r="Z202" s="154">
        <v>28428000</v>
      </c>
      <c r="AA202" s="140"/>
      <c r="AB202" s="141">
        <v>48</v>
      </c>
      <c r="AC202" s="150">
        <v>43103</v>
      </c>
      <c r="AD202" s="143">
        <v>28428000</v>
      </c>
      <c r="AE202" s="143">
        <f t="shared" si="12"/>
        <v>0</v>
      </c>
      <c r="AF202" s="133">
        <v>80</v>
      </c>
      <c r="AG202" s="81">
        <v>43116</v>
      </c>
      <c r="AH202" s="143">
        <v>28428000</v>
      </c>
      <c r="AI202" s="63" t="s">
        <v>748</v>
      </c>
      <c r="AJ202" s="63">
        <v>55</v>
      </c>
      <c r="AK202" s="143">
        <f t="shared" si="19"/>
        <v>0</v>
      </c>
      <c r="AL202" s="143">
        <v>14502399.9</v>
      </c>
      <c r="AM202" s="143">
        <f t="shared" si="14"/>
        <v>13925600.1</v>
      </c>
      <c r="AN202" s="133"/>
      <c r="AO202" s="144">
        <f t="shared" si="15"/>
        <v>0</v>
      </c>
      <c r="AP202" s="133"/>
      <c r="AQ202" s="150">
        <v>43102</v>
      </c>
      <c r="AR202" s="133" t="s">
        <v>739</v>
      </c>
      <c r="AS202" s="150">
        <v>43102</v>
      </c>
      <c r="AT202" s="133" t="s">
        <v>740</v>
      </c>
      <c r="AU202" s="220"/>
      <c r="AV202" s="220"/>
      <c r="AW202" s="220"/>
    </row>
    <row r="203" spans="1:49" s="221" customFormat="1" ht="370.5" x14ac:dyDescent="0.25">
      <c r="A203" s="63">
        <f t="shared" si="18"/>
        <v>16</v>
      </c>
      <c r="B203" s="128" t="str">
        <f t="shared" si="16"/>
        <v>208-16</v>
      </c>
      <c r="C203" s="129" t="s">
        <v>713</v>
      </c>
      <c r="D203" s="130" t="s">
        <v>714</v>
      </c>
      <c r="E203" s="145" t="s">
        <v>725</v>
      </c>
      <c r="F203" s="111" t="s">
        <v>52</v>
      </c>
      <c r="G203" s="145" t="s">
        <v>53</v>
      </c>
      <c r="H203" s="111" t="s">
        <v>733</v>
      </c>
      <c r="I203" s="111" t="s">
        <v>55</v>
      </c>
      <c r="J203" s="111" t="s">
        <v>56</v>
      </c>
      <c r="K203" s="63">
        <v>801116</v>
      </c>
      <c r="L203" s="111" t="s">
        <v>720</v>
      </c>
      <c r="M203" s="111" t="s">
        <v>58</v>
      </c>
      <c r="N203" s="111" t="s">
        <v>59</v>
      </c>
      <c r="O203" s="111" t="s">
        <v>728</v>
      </c>
      <c r="P203" s="227" t="s">
        <v>746</v>
      </c>
      <c r="Q203" s="134">
        <f t="shared" si="17"/>
        <v>5768000</v>
      </c>
      <c r="R203" s="146">
        <v>1</v>
      </c>
      <c r="S203" s="136">
        <v>66332000</v>
      </c>
      <c r="T203" s="137" t="s">
        <v>747</v>
      </c>
      <c r="U203" s="148" t="s">
        <v>445</v>
      </c>
      <c r="V203" s="148" t="s">
        <v>64</v>
      </c>
      <c r="W203" s="153">
        <v>11.5</v>
      </c>
      <c r="X203" s="133">
        <v>99</v>
      </c>
      <c r="Y203" s="81">
        <v>43102</v>
      </c>
      <c r="Z203" s="154">
        <v>66332000</v>
      </c>
      <c r="AA203" s="140"/>
      <c r="AB203" s="141">
        <v>48</v>
      </c>
      <c r="AC203" s="150">
        <v>43103</v>
      </c>
      <c r="AD203" s="143">
        <v>66332000</v>
      </c>
      <c r="AE203" s="143">
        <f t="shared" si="12"/>
        <v>0</v>
      </c>
      <c r="AF203" s="133">
        <v>80</v>
      </c>
      <c r="AG203" s="81">
        <v>43116</v>
      </c>
      <c r="AH203" s="143">
        <v>66332000</v>
      </c>
      <c r="AI203" s="63" t="s">
        <v>748</v>
      </c>
      <c r="AJ203" s="63">
        <v>55</v>
      </c>
      <c r="AK203" s="143">
        <f t="shared" si="19"/>
        <v>0</v>
      </c>
      <c r="AL203" s="143">
        <v>33838933.100000001</v>
      </c>
      <c r="AM203" s="143">
        <f t="shared" si="14"/>
        <v>32493066.899999999</v>
      </c>
      <c r="AN203" s="133"/>
      <c r="AO203" s="144">
        <f t="shared" si="15"/>
        <v>0</v>
      </c>
      <c r="AP203" s="133"/>
      <c r="AQ203" s="150">
        <v>43102</v>
      </c>
      <c r="AR203" s="133" t="s">
        <v>739</v>
      </c>
      <c r="AS203" s="150">
        <v>43102</v>
      </c>
      <c r="AT203" s="133" t="s">
        <v>740</v>
      </c>
      <c r="AU203" s="220"/>
      <c r="AV203" s="220"/>
      <c r="AW203" s="220"/>
    </row>
    <row r="204" spans="1:49" s="221" customFormat="1" ht="399" x14ac:dyDescent="0.25">
      <c r="A204" s="63">
        <f t="shared" si="18"/>
        <v>17</v>
      </c>
      <c r="B204" s="128" t="str">
        <f t="shared" si="16"/>
        <v>208-17</v>
      </c>
      <c r="C204" s="129" t="s">
        <v>713</v>
      </c>
      <c r="D204" s="130" t="s">
        <v>714</v>
      </c>
      <c r="E204" s="131" t="s">
        <v>715</v>
      </c>
      <c r="F204" s="111" t="s">
        <v>52</v>
      </c>
      <c r="G204" s="145" t="s">
        <v>53</v>
      </c>
      <c r="H204" s="111" t="s">
        <v>733</v>
      </c>
      <c r="I204" s="111" t="s">
        <v>55</v>
      </c>
      <c r="J204" s="111" t="s">
        <v>56</v>
      </c>
      <c r="K204" s="63">
        <v>801116</v>
      </c>
      <c r="L204" s="111" t="s">
        <v>720</v>
      </c>
      <c r="M204" s="111" t="s">
        <v>58</v>
      </c>
      <c r="N204" s="111" t="s">
        <v>59</v>
      </c>
      <c r="O204" s="111" t="s">
        <v>728</v>
      </c>
      <c r="P204" s="227" t="s">
        <v>749</v>
      </c>
      <c r="Q204" s="134">
        <f t="shared" si="17"/>
        <v>1699500</v>
      </c>
      <c r="R204" s="146">
        <v>1</v>
      </c>
      <c r="S204" s="136">
        <v>19544250</v>
      </c>
      <c r="T204" s="137" t="s">
        <v>747</v>
      </c>
      <c r="U204" s="148" t="s">
        <v>445</v>
      </c>
      <c r="V204" s="148" t="s">
        <v>64</v>
      </c>
      <c r="W204" s="153">
        <v>11.5</v>
      </c>
      <c r="X204" s="133">
        <v>98</v>
      </c>
      <c r="Y204" s="81">
        <v>43102</v>
      </c>
      <c r="Z204" s="154">
        <v>19544250</v>
      </c>
      <c r="AA204" s="140"/>
      <c r="AB204" s="141">
        <v>47</v>
      </c>
      <c r="AC204" s="150">
        <v>43103</v>
      </c>
      <c r="AD204" s="143">
        <v>19544250</v>
      </c>
      <c r="AE204" s="143">
        <f t="shared" si="12"/>
        <v>0</v>
      </c>
      <c r="AF204" s="133">
        <v>170</v>
      </c>
      <c r="AG204" s="81">
        <v>43118</v>
      </c>
      <c r="AH204" s="143">
        <v>19544250</v>
      </c>
      <c r="AI204" s="63" t="s">
        <v>750</v>
      </c>
      <c r="AJ204" s="63">
        <v>127</v>
      </c>
      <c r="AK204" s="143">
        <f t="shared" si="19"/>
        <v>0</v>
      </c>
      <c r="AL204" s="143">
        <v>12632949.9</v>
      </c>
      <c r="AM204" s="143">
        <f t="shared" si="14"/>
        <v>6911300.0999999996</v>
      </c>
      <c r="AN204" s="133"/>
      <c r="AO204" s="144">
        <f t="shared" si="15"/>
        <v>0</v>
      </c>
      <c r="AP204" s="133"/>
      <c r="AQ204" s="150">
        <v>43102</v>
      </c>
      <c r="AR204" s="133" t="s">
        <v>739</v>
      </c>
      <c r="AS204" s="150">
        <v>43102</v>
      </c>
      <c r="AT204" s="133" t="s">
        <v>740</v>
      </c>
      <c r="AU204" s="220"/>
      <c r="AV204" s="220"/>
      <c r="AW204" s="220"/>
    </row>
    <row r="205" spans="1:49" s="221" customFormat="1" ht="370.5" x14ac:dyDescent="0.25">
      <c r="A205" s="63">
        <f t="shared" si="18"/>
        <v>18</v>
      </c>
      <c r="B205" s="128" t="str">
        <f t="shared" si="16"/>
        <v>208-18</v>
      </c>
      <c r="C205" s="129" t="s">
        <v>713</v>
      </c>
      <c r="D205" s="130" t="s">
        <v>714</v>
      </c>
      <c r="E205" s="145" t="s">
        <v>725</v>
      </c>
      <c r="F205" s="111" t="s">
        <v>52</v>
      </c>
      <c r="G205" s="145" t="s">
        <v>53</v>
      </c>
      <c r="H205" s="111" t="s">
        <v>733</v>
      </c>
      <c r="I205" s="111" t="s">
        <v>55</v>
      </c>
      <c r="J205" s="111" t="s">
        <v>56</v>
      </c>
      <c r="K205" s="63">
        <v>801116</v>
      </c>
      <c r="L205" s="111" t="s">
        <v>720</v>
      </c>
      <c r="M205" s="111" t="s">
        <v>58</v>
      </c>
      <c r="N205" s="111" t="s">
        <v>59</v>
      </c>
      <c r="O205" s="111" t="s">
        <v>728</v>
      </c>
      <c r="P205" s="227" t="s">
        <v>749</v>
      </c>
      <c r="Q205" s="134">
        <f t="shared" si="17"/>
        <v>3965499.9999999995</v>
      </c>
      <c r="R205" s="146">
        <v>1</v>
      </c>
      <c r="S205" s="136">
        <v>45603249.999999993</v>
      </c>
      <c r="T205" s="137" t="s">
        <v>747</v>
      </c>
      <c r="U205" s="148" t="s">
        <v>445</v>
      </c>
      <c r="V205" s="148" t="s">
        <v>64</v>
      </c>
      <c r="W205" s="153">
        <v>11.5</v>
      </c>
      <c r="X205" s="133">
        <v>97</v>
      </c>
      <c r="Y205" s="81">
        <v>43102</v>
      </c>
      <c r="Z205" s="154">
        <v>45603249.999999993</v>
      </c>
      <c r="AA205" s="140"/>
      <c r="AB205" s="141">
        <v>47</v>
      </c>
      <c r="AC205" s="150">
        <v>43103</v>
      </c>
      <c r="AD205" s="143">
        <v>45603249.999999993</v>
      </c>
      <c r="AE205" s="143">
        <f t="shared" si="12"/>
        <v>0</v>
      </c>
      <c r="AF205" s="133">
        <v>170</v>
      </c>
      <c r="AG205" s="81">
        <v>43118</v>
      </c>
      <c r="AH205" s="143">
        <v>45603249.999999993</v>
      </c>
      <c r="AI205" s="63" t="s">
        <v>750</v>
      </c>
      <c r="AJ205" s="63">
        <v>127</v>
      </c>
      <c r="AK205" s="143">
        <f t="shared" si="19"/>
        <v>0</v>
      </c>
      <c r="AL205" s="143">
        <v>29476883.099999998</v>
      </c>
      <c r="AM205" s="143">
        <f t="shared" si="14"/>
        <v>16126366.899999995</v>
      </c>
      <c r="AN205" s="133"/>
      <c r="AO205" s="144">
        <f t="shared" si="15"/>
        <v>0</v>
      </c>
      <c r="AP205" s="133"/>
      <c r="AQ205" s="150">
        <v>43102</v>
      </c>
      <c r="AR205" s="133" t="s">
        <v>739</v>
      </c>
      <c r="AS205" s="150">
        <v>43102</v>
      </c>
      <c r="AT205" s="133" t="s">
        <v>740</v>
      </c>
      <c r="AU205" s="220"/>
      <c r="AV205" s="220"/>
      <c r="AW205" s="220"/>
    </row>
    <row r="206" spans="1:49" s="221" customFormat="1" ht="399" x14ac:dyDescent="0.25">
      <c r="A206" s="63">
        <f t="shared" si="18"/>
        <v>19</v>
      </c>
      <c r="B206" s="128" t="str">
        <f t="shared" si="16"/>
        <v>208-19</v>
      </c>
      <c r="C206" s="129" t="s">
        <v>713</v>
      </c>
      <c r="D206" s="130" t="s">
        <v>714</v>
      </c>
      <c r="E206" s="131" t="s">
        <v>715</v>
      </c>
      <c r="F206" s="111" t="s">
        <v>52</v>
      </c>
      <c r="G206" s="145" t="s">
        <v>53</v>
      </c>
      <c r="H206" s="111" t="s">
        <v>733</v>
      </c>
      <c r="I206" s="111" t="s">
        <v>55</v>
      </c>
      <c r="J206" s="111" t="s">
        <v>56</v>
      </c>
      <c r="K206" s="63">
        <v>801116</v>
      </c>
      <c r="L206" s="111" t="s">
        <v>720</v>
      </c>
      <c r="M206" s="111" t="s">
        <v>58</v>
      </c>
      <c r="N206" s="111" t="s">
        <v>59</v>
      </c>
      <c r="O206" s="111" t="s">
        <v>728</v>
      </c>
      <c r="P206" s="227" t="s">
        <v>751</v>
      </c>
      <c r="Q206" s="134">
        <f t="shared" si="17"/>
        <v>1511010</v>
      </c>
      <c r="R206" s="146">
        <v>1</v>
      </c>
      <c r="S206" s="136">
        <v>17376615</v>
      </c>
      <c r="T206" s="137" t="s">
        <v>747</v>
      </c>
      <c r="U206" s="148" t="s">
        <v>445</v>
      </c>
      <c r="V206" s="148" t="s">
        <v>64</v>
      </c>
      <c r="W206" s="153">
        <v>11.5</v>
      </c>
      <c r="X206" s="133">
        <v>96</v>
      </c>
      <c r="Y206" s="81">
        <v>43102</v>
      </c>
      <c r="Z206" s="154">
        <v>17376615</v>
      </c>
      <c r="AA206" s="140"/>
      <c r="AB206" s="141">
        <v>45</v>
      </c>
      <c r="AC206" s="150">
        <v>43103</v>
      </c>
      <c r="AD206" s="143">
        <v>17376615</v>
      </c>
      <c r="AE206" s="143">
        <f t="shared" si="12"/>
        <v>0</v>
      </c>
      <c r="AF206" s="133">
        <v>165</v>
      </c>
      <c r="AG206" s="81">
        <v>43118</v>
      </c>
      <c r="AH206" s="143">
        <v>17376615</v>
      </c>
      <c r="AI206" s="63" t="s">
        <v>752</v>
      </c>
      <c r="AJ206" s="63">
        <v>131</v>
      </c>
      <c r="AK206" s="143">
        <f t="shared" si="19"/>
        <v>0</v>
      </c>
      <c r="AL206" s="143">
        <v>11231841</v>
      </c>
      <c r="AM206" s="143">
        <f t="shared" si="14"/>
        <v>6144774</v>
      </c>
      <c r="AN206" s="133"/>
      <c r="AO206" s="144">
        <f t="shared" si="15"/>
        <v>0</v>
      </c>
      <c r="AP206" s="133"/>
      <c r="AQ206" s="150">
        <v>43102</v>
      </c>
      <c r="AR206" s="133" t="s">
        <v>739</v>
      </c>
      <c r="AS206" s="150">
        <v>43102</v>
      </c>
      <c r="AT206" s="133" t="s">
        <v>740</v>
      </c>
      <c r="AU206" s="220"/>
      <c r="AV206" s="220"/>
      <c r="AW206" s="220"/>
    </row>
    <row r="207" spans="1:49" s="221" customFormat="1" ht="370.5" x14ac:dyDescent="0.25">
      <c r="A207" s="63">
        <f t="shared" si="18"/>
        <v>20</v>
      </c>
      <c r="B207" s="128" t="str">
        <f t="shared" si="16"/>
        <v>208-20</v>
      </c>
      <c r="C207" s="129" t="s">
        <v>713</v>
      </c>
      <c r="D207" s="130" t="s">
        <v>714</v>
      </c>
      <c r="E207" s="145" t="s">
        <v>725</v>
      </c>
      <c r="F207" s="111" t="s">
        <v>52</v>
      </c>
      <c r="G207" s="145" t="s">
        <v>53</v>
      </c>
      <c r="H207" s="111" t="s">
        <v>733</v>
      </c>
      <c r="I207" s="111" t="s">
        <v>55</v>
      </c>
      <c r="J207" s="111" t="s">
        <v>56</v>
      </c>
      <c r="K207" s="63">
        <v>801116</v>
      </c>
      <c r="L207" s="111" t="s">
        <v>720</v>
      </c>
      <c r="M207" s="111" t="s">
        <v>58</v>
      </c>
      <c r="N207" s="111" t="s">
        <v>59</v>
      </c>
      <c r="O207" s="111" t="s">
        <v>728</v>
      </c>
      <c r="P207" s="227" t="s">
        <v>751</v>
      </c>
      <c r="Q207" s="134">
        <f t="shared" si="17"/>
        <v>3525690</v>
      </c>
      <c r="R207" s="146">
        <v>1</v>
      </c>
      <c r="S207" s="136">
        <v>40545435</v>
      </c>
      <c r="T207" s="137" t="s">
        <v>747</v>
      </c>
      <c r="U207" s="148" t="s">
        <v>445</v>
      </c>
      <c r="V207" s="148" t="s">
        <v>64</v>
      </c>
      <c r="W207" s="153">
        <v>11.5</v>
      </c>
      <c r="X207" s="133">
        <v>95</v>
      </c>
      <c r="Y207" s="81">
        <v>43102</v>
      </c>
      <c r="Z207" s="154">
        <v>40545435</v>
      </c>
      <c r="AA207" s="140"/>
      <c r="AB207" s="141">
        <v>45</v>
      </c>
      <c r="AC207" s="150">
        <v>43103</v>
      </c>
      <c r="AD207" s="143">
        <v>40545435</v>
      </c>
      <c r="AE207" s="143">
        <f t="shared" si="12"/>
        <v>0</v>
      </c>
      <c r="AF207" s="133">
        <v>165</v>
      </c>
      <c r="AG207" s="81">
        <v>43118</v>
      </c>
      <c r="AH207" s="143">
        <v>40545435</v>
      </c>
      <c r="AI207" s="63" t="s">
        <v>752</v>
      </c>
      <c r="AJ207" s="63">
        <v>131</v>
      </c>
      <c r="AK207" s="143">
        <f t="shared" si="19"/>
        <v>0</v>
      </c>
      <c r="AL207" s="143">
        <v>26207629</v>
      </c>
      <c r="AM207" s="143">
        <f t="shared" si="14"/>
        <v>14337806</v>
      </c>
      <c r="AN207" s="133"/>
      <c r="AO207" s="144">
        <f t="shared" si="15"/>
        <v>0</v>
      </c>
      <c r="AP207" s="133"/>
      <c r="AQ207" s="150">
        <v>43102</v>
      </c>
      <c r="AR207" s="133" t="s">
        <v>739</v>
      </c>
      <c r="AS207" s="150">
        <v>43102</v>
      </c>
      <c r="AT207" s="133" t="s">
        <v>740</v>
      </c>
      <c r="AU207" s="220"/>
      <c r="AV207" s="220"/>
      <c r="AW207" s="220"/>
    </row>
    <row r="208" spans="1:49" s="221" customFormat="1" ht="399" x14ac:dyDescent="0.25">
      <c r="A208" s="63">
        <f t="shared" si="18"/>
        <v>21</v>
      </c>
      <c r="B208" s="128" t="str">
        <f t="shared" si="16"/>
        <v>208-21</v>
      </c>
      <c r="C208" s="129" t="s">
        <v>713</v>
      </c>
      <c r="D208" s="130" t="s">
        <v>714</v>
      </c>
      <c r="E208" s="131" t="s">
        <v>715</v>
      </c>
      <c r="F208" s="111" t="s">
        <v>52</v>
      </c>
      <c r="G208" s="145" t="s">
        <v>53</v>
      </c>
      <c r="H208" s="111" t="s">
        <v>733</v>
      </c>
      <c r="I208" s="111" t="s">
        <v>55</v>
      </c>
      <c r="J208" s="111" t="s">
        <v>56</v>
      </c>
      <c r="K208" s="63">
        <v>801116</v>
      </c>
      <c r="L208" s="111" t="s">
        <v>720</v>
      </c>
      <c r="M208" s="111" t="s">
        <v>58</v>
      </c>
      <c r="N208" s="111" t="s">
        <v>59</v>
      </c>
      <c r="O208" s="111" t="s">
        <v>728</v>
      </c>
      <c r="P208" s="227" t="s">
        <v>753</v>
      </c>
      <c r="Q208" s="134">
        <f t="shared" si="17"/>
        <v>1236000</v>
      </c>
      <c r="R208" s="146">
        <v>1</v>
      </c>
      <c r="S208" s="136">
        <v>14214000</v>
      </c>
      <c r="T208" s="137" t="s">
        <v>747</v>
      </c>
      <c r="U208" s="148" t="s">
        <v>445</v>
      </c>
      <c r="V208" s="148" t="s">
        <v>64</v>
      </c>
      <c r="W208" s="153">
        <v>11.5</v>
      </c>
      <c r="X208" s="133">
        <v>94</v>
      </c>
      <c r="Y208" s="81">
        <v>43102</v>
      </c>
      <c r="Z208" s="154">
        <v>14214000</v>
      </c>
      <c r="AA208" s="140"/>
      <c r="AB208" s="141">
        <v>43</v>
      </c>
      <c r="AC208" s="150">
        <v>43103</v>
      </c>
      <c r="AD208" s="143">
        <v>14214000</v>
      </c>
      <c r="AE208" s="143">
        <f t="shared" si="12"/>
        <v>0</v>
      </c>
      <c r="AF208" s="133">
        <v>185</v>
      </c>
      <c r="AG208" s="81">
        <v>43118</v>
      </c>
      <c r="AH208" s="143">
        <v>14214000</v>
      </c>
      <c r="AI208" s="63" t="s">
        <v>754</v>
      </c>
      <c r="AJ208" s="63">
        <v>136</v>
      </c>
      <c r="AK208" s="143">
        <f t="shared" si="19"/>
        <v>0</v>
      </c>
      <c r="AL208" s="143">
        <v>9146400</v>
      </c>
      <c r="AM208" s="143">
        <f t="shared" si="14"/>
        <v>5067600</v>
      </c>
      <c r="AN208" s="133"/>
      <c r="AO208" s="144">
        <f t="shared" si="15"/>
        <v>0</v>
      </c>
      <c r="AP208" s="133"/>
      <c r="AQ208" s="150">
        <v>43102</v>
      </c>
      <c r="AR208" s="133" t="s">
        <v>739</v>
      </c>
      <c r="AS208" s="150">
        <v>43102</v>
      </c>
      <c r="AT208" s="133" t="s">
        <v>740</v>
      </c>
      <c r="AU208" s="220"/>
      <c r="AV208" s="220"/>
      <c r="AW208" s="220"/>
    </row>
    <row r="209" spans="1:49" s="221" customFormat="1" ht="370.5" x14ac:dyDescent="0.25">
      <c r="A209" s="63">
        <f t="shared" si="18"/>
        <v>22</v>
      </c>
      <c r="B209" s="128" t="str">
        <f t="shared" si="16"/>
        <v>208-22</v>
      </c>
      <c r="C209" s="129" t="s">
        <v>713</v>
      </c>
      <c r="D209" s="130" t="s">
        <v>714</v>
      </c>
      <c r="E209" s="145" t="s">
        <v>725</v>
      </c>
      <c r="F209" s="111" t="s">
        <v>52</v>
      </c>
      <c r="G209" s="145" t="s">
        <v>53</v>
      </c>
      <c r="H209" s="111" t="s">
        <v>733</v>
      </c>
      <c r="I209" s="111" t="s">
        <v>55</v>
      </c>
      <c r="J209" s="111" t="s">
        <v>56</v>
      </c>
      <c r="K209" s="63">
        <v>801116</v>
      </c>
      <c r="L209" s="111" t="s">
        <v>720</v>
      </c>
      <c r="M209" s="111" t="s">
        <v>58</v>
      </c>
      <c r="N209" s="111" t="s">
        <v>59</v>
      </c>
      <c r="O209" s="111" t="s">
        <v>728</v>
      </c>
      <c r="P209" s="227" t="s">
        <v>753</v>
      </c>
      <c r="Q209" s="134">
        <f t="shared" si="17"/>
        <v>2884000</v>
      </c>
      <c r="R209" s="146">
        <v>1</v>
      </c>
      <c r="S209" s="136">
        <v>33166000</v>
      </c>
      <c r="T209" s="137" t="s">
        <v>747</v>
      </c>
      <c r="U209" s="148" t="s">
        <v>445</v>
      </c>
      <c r="V209" s="148" t="s">
        <v>64</v>
      </c>
      <c r="W209" s="153">
        <v>11.5</v>
      </c>
      <c r="X209" s="133">
        <v>93</v>
      </c>
      <c r="Y209" s="81">
        <v>43102</v>
      </c>
      <c r="Z209" s="154">
        <v>33166000</v>
      </c>
      <c r="AA209" s="140"/>
      <c r="AB209" s="141">
        <v>43</v>
      </c>
      <c r="AC209" s="150">
        <v>43103</v>
      </c>
      <c r="AD209" s="143">
        <v>33166000</v>
      </c>
      <c r="AE209" s="143">
        <f t="shared" si="12"/>
        <v>0</v>
      </c>
      <c r="AF209" s="133">
        <v>185</v>
      </c>
      <c r="AG209" s="81">
        <v>43118</v>
      </c>
      <c r="AH209" s="143">
        <v>33166000</v>
      </c>
      <c r="AI209" s="63" t="s">
        <v>754</v>
      </c>
      <c r="AJ209" s="63">
        <v>136</v>
      </c>
      <c r="AK209" s="143">
        <f t="shared" si="19"/>
        <v>0</v>
      </c>
      <c r="AL209" s="143">
        <v>21341600</v>
      </c>
      <c r="AM209" s="143">
        <f t="shared" si="14"/>
        <v>11824400</v>
      </c>
      <c r="AN209" s="133"/>
      <c r="AO209" s="144">
        <f t="shared" si="15"/>
        <v>0</v>
      </c>
      <c r="AP209" s="133"/>
      <c r="AQ209" s="150">
        <v>43102</v>
      </c>
      <c r="AR209" s="133" t="s">
        <v>739</v>
      </c>
      <c r="AS209" s="150">
        <v>43102</v>
      </c>
      <c r="AT209" s="133" t="s">
        <v>740</v>
      </c>
      <c r="AU209" s="220"/>
      <c r="AV209" s="220"/>
      <c r="AW209" s="220"/>
    </row>
    <row r="210" spans="1:49" s="221" customFormat="1" ht="399" x14ac:dyDescent="0.25">
      <c r="A210" s="63">
        <f t="shared" si="18"/>
        <v>23</v>
      </c>
      <c r="B210" s="128" t="str">
        <f t="shared" si="16"/>
        <v>208-23</v>
      </c>
      <c r="C210" s="129" t="s">
        <v>713</v>
      </c>
      <c r="D210" s="130" t="s">
        <v>714</v>
      </c>
      <c r="E210" s="131" t="s">
        <v>715</v>
      </c>
      <c r="F210" s="111" t="s">
        <v>52</v>
      </c>
      <c r="G210" s="145" t="s">
        <v>53</v>
      </c>
      <c r="H210" s="111" t="s">
        <v>733</v>
      </c>
      <c r="I210" s="111" t="s">
        <v>55</v>
      </c>
      <c r="J210" s="111" t="s">
        <v>56</v>
      </c>
      <c r="K210" s="63">
        <v>801116</v>
      </c>
      <c r="L210" s="111" t="s">
        <v>720</v>
      </c>
      <c r="M210" s="111" t="s">
        <v>58</v>
      </c>
      <c r="N210" s="111" t="s">
        <v>59</v>
      </c>
      <c r="O210" s="111" t="s">
        <v>728</v>
      </c>
      <c r="P210" s="227" t="s">
        <v>749</v>
      </c>
      <c r="Q210" s="134">
        <f t="shared" si="17"/>
        <v>1066050</v>
      </c>
      <c r="R210" s="146">
        <v>1</v>
      </c>
      <c r="S210" s="136">
        <v>12259575</v>
      </c>
      <c r="T210" s="137" t="s">
        <v>747</v>
      </c>
      <c r="U210" s="148" t="s">
        <v>445</v>
      </c>
      <c r="V210" s="148" t="s">
        <v>64</v>
      </c>
      <c r="W210" s="153">
        <v>11.5</v>
      </c>
      <c r="X210" s="133">
        <v>92</v>
      </c>
      <c r="Y210" s="81">
        <v>43102</v>
      </c>
      <c r="Z210" s="154">
        <v>12259575</v>
      </c>
      <c r="AA210" s="140"/>
      <c r="AB210" s="141">
        <v>42</v>
      </c>
      <c r="AC210" s="150">
        <v>43103</v>
      </c>
      <c r="AD210" s="143">
        <v>12259575</v>
      </c>
      <c r="AE210" s="143">
        <f t="shared" si="12"/>
        <v>0</v>
      </c>
      <c r="AF210" s="133">
        <v>329</v>
      </c>
      <c r="AG210" s="81">
        <v>43123</v>
      </c>
      <c r="AH210" s="143">
        <v>12259575</v>
      </c>
      <c r="AI210" s="63" t="s">
        <v>755</v>
      </c>
      <c r="AJ210" s="63">
        <v>288</v>
      </c>
      <c r="AK210" s="143">
        <f t="shared" si="19"/>
        <v>0</v>
      </c>
      <c r="AL210" s="143">
        <v>6680580</v>
      </c>
      <c r="AM210" s="143">
        <f t="shared" si="14"/>
        <v>5578995</v>
      </c>
      <c r="AN210" s="133"/>
      <c r="AO210" s="144">
        <f t="shared" si="15"/>
        <v>0</v>
      </c>
      <c r="AP210" s="133"/>
      <c r="AQ210" s="150">
        <v>43102</v>
      </c>
      <c r="AR210" s="133" t="s">
        <v>739</v>
      </c>
      <c r="AS210" s="150">
        <v>43102</v>
      </c>
      <c r="AT210" s="133" t="s">
        <v>740</v>
      </c>
      <c r="AU210" s="220"/>
      <c r="AV210" s="220"/>
      <c r="AW210" s="220"/>
    </row>
    <row r="211" spans="1:49" s="221" customFormat="1" ht="370.5" x14ac:dyDescent="0.25">
      <c r="A211" s="63">
        <f t="shared" si="18"/>
        <v>24</v>
      </c>
      <c r="B211" s="128" t="str">
        <f t="shared" si="16"/>
        <v>208-24</v>
      </c>
      <c r="C211" s="129" t="s">
        <v>713</v>
      </c>
      <c r="D211" s="130" t="s">
        <v>714</v>
      </c>
      <c r="E211" s="145" t="s">
        <v>725</v>
      </c>
      <c r="F211" s="111" t="s">
        <v>52</v>
      </c>
      <c r="G211" s="145" t="s">
        <v>53</v>
      </c>
      <c r="H211" s="111" t="s">
        <v>733</v>
      </c>
      <c r="I211" s="111" t="s">
        <v>55</v>
      </c>
      <c r="J211" s="111" t="s">
        <v>56</v>
      </c>
      <c r="K211" s="63">
        <v>801116</v>
      </c>
      <c r="L211" s="111" t="s">
        <v>720</v>
      </c>
      <c r="M211" s="111" t="s">
        <v>58</v>
      </c>
      <c r="N211" s="111" t="s">
        <v>59</v>
      </c>
      <c r="O211" s="111" t="s">
        <v>728</v>
      </c>
      <c r="P211" s="227" t="s">
        <v>749</v>
      </c>
      <c r="Q211" s="134">
        <f t="shared" si="17"/>
        <v>2487450</v>
      </c>
      <c r="R211" s="146">
        <v>1</v>
      </c>
      <c r="S211" s="136">
        <v>28605675</v>
      </c>
      <c r="T211" s="137" t="s">
        <v>747</v>
      </c>
      <c r="U211" s="148" t="s">
        <v>445</v>
      </c>
      <c r="V211" s="148" t="s">
        <v>64</v>
      </c>
      <c r="W211" s="153">
        <v>11.5</v>
      </c>
      <c r="X211" s="133">
        <v>91</v>
      </c>
      <c r="Y211" s="81">
        <v>43102</v>
      </c>
      <c r="Z211" s="154">
        <v>28605675</v>
      </c>
      <c r="AA211" s="140"/>
      <c r="AB211" s="141">
        <v>42</v>
      </c>
      <c r="AC211" s="150">
        <v>43103</v>
      </c>
      <c r="AD211" s="143">
        <v>28605675</v>
      </c>
      <c r="AE211" s="143">
        <f t="shared" si="12"/>
        <v>0</v>
      </c>
      <c r="AF211" s="133">
        <v>329</v>
      </c>
      <c r="AG211" s="81">
        <v>43123</v>
      </c>
      <c r="AH211" s="143">
        <v>28605675</v>
      </c>
      <c r="AI211" s="63" t="s">
        <v>755</v>
      </c>
      <c r="AJ211" s="63">
        <v>288</v>
      </c>
      <c r="AK211" s="143">
        <f t="shared" si="19"/>
        <v>0</v>
      </c>
      <c r="AL211" s="143">
        <v>15588019.999999998</v>
      </c>
      <c r="AM211" s="143">
        <f t="shared" si="14"/>
        <v>13017655.000000002</v>
      </c>
      <c r="AN211" s="133"/>
      <c r="AO211" s="144">
        <f t="shared" si="15"/>
        <v>0</v>
      </c>
      <c r="AP211" s="133"/>
      <c r="AQ211" s="150">
        <v>43102</v>
      </c>
      <c r="AR211" s="133" t="s">
        <v>739</v>
      </c>
      <c r="AS211" s="150">
        <v>43102</v>
      </c>
      <c r="AT211" s="133" t="s">
        <v>740</v>
      </c>
      <c r="AU211" s="220"/>
      <c r="AV211" s="220"/>
      <c r="AW211" s="220"/>
    </row>
    <row r="212" spans="1:49" s="221" customFormat="1" ht="399" x14ac:dyDescent="0.25">
      <c r="A212" s="63">
        <f t="shared" si="18"/>
        <v>25</v>
      </c>
      <c r="B212" s="128" t="str">
        <f t="shared" si="16"/>
        <v>208-25</v>
      </c>
      <c r="C212" s="129" t="s">
        <v>713</v>
      </c>
      <c r="D212" s="130" t="s">
        <v>714</v>
      </c>
      <c r="E212" s="131" t="s">
        <v>715</v>
      </c>
      <c r="F212" s="111" t="s">
        <v>52</v>
      </c>
      <c r="G212" s="145" t="s">
        <v>53</v>
      </c>
      <c r="H212" s="111" t="s">
        <v>733</v>
      </c>
      <c r="I212" s="111" t="s">
        <v>55</v>
      </c>
      <c r="J212" s="111" t="s">
        <v>56</v>
      </c>
      <c r="K212" s="63">
        <v>801116</v>
      </c>
      <c r="L212" s="111" t="s">
        <v>720</v>
      </c>
      <c r="M212" s="111" t="s">
        <v>58</v>
      </c>
      <c r="N212" s="111" t="s">
        <v>59</v>
      </c>
      <c r="O212" s="111" t="s">
        <v>728</v>
      </c>
      <c r="P212" s="227" t="s">
        <v>756</v>
      </c>
      <c r="Q212" s="134">
        <f t="shared" si="17"/>
        <v>998070</v>
      </c>
      <c r="R212" s="146">
        <v>1</v>
      </c>
      <c r="S212" s="136">
        <v>11477805</v>
      </c>
      <c r="T212" s="137" t="s">
        <v>747</v>
      </c>
      <c r="U212" s="148" t="s">
        <v>445</v>
      </c>
      <c r="V212" s="148" t="s">
        <v>64</v>
      </c>
      <c r="W212" s="153">
        <v>11.5</v>
      </c>
      <c r="X212" s="133">
        <v>90</v>
      </c>
      <c r="Y212" s="81">
        <v>43102</v>
      </c>
      <c r="Z212" s="154">
        <v>11477805</v>
      </c>
      <c r="AA212" s="140"/>
      <c r="AB212" s="141">
        <v>41</v>
      </c>
      <c r="AC212" s="150">
        <v>43103</v>
      </c>
      <c r="AD212" s="143">
        <v>11477805</v>
      </c>
      <c r="AE212" s="143">
        <f t="shared" si="12"/>
        <v>0</v>
      </c>
      <c r="AF212" s="133">
        <v>120</v>
      </c>
      <c r="AG212" s="81">
        <v>43117</v>
      </c>
      <c r="AH212" s="143">
        <v>11477805</v>
      </c>
      <c r="AI212" s="63" t="s">
        <v>757</v>
      </c>
      <c r="AJ212" s="63">
        <v>99</v>
      </c>
      <c r="AK212" s="143">
        <f t="shared" si="19"/>
        <v>0</v>
      </c>
      <c r="AL212" s="155">
        <v>7418986.7999999998</v>
      </c>
      <c r="AM212" s="143">
        <f t="shared" si="14"/>
        <v>4058818.2</v>
      </c>
      <c r="AN212" s="133"/>
      <c r="AO212" s="144">
        <f t="shared" si="15"/>
        <v>0</v>
      </c>
      <c r="AP212" s="133"/>
      <c r="AQ212" s="150">
        <v>43102</v>
      </c>
      <c r="AR212" s="133" t="s">
        <v>739</v>
      </c>
      <c r="AS212" s="150">
        <v>43102</v>
      </c>
      <c r="AT212" s="133" t="s">
        <v>740</v>
      </c>
      <c r="AU212" s="220"/>
      <c r="AV212" s="220"/>
      <c r="AW212" s="220"/>
    </row>
    <row r="213" spans="1:49" s="221" customFormat="1" ht="370.5" x14ac:dyDescent="0.25">
      <c r="A213" s="63">
        <f t="shared" si="18"/>
        <v>26</v>
      </c>
      <c r="B213" s="128" t="str">
        <f t="shared" si="16"/>
        <v>208-26</v>
      </c>
      <c r="C213" s="129" t="s">
        <v>713</v>
      </c>
      <c r="D213" s="130" t="s">
        <v>714</v>
      </c>
      <c r="E213" s="145" t="s">
        <v>725</v>
      </c>
      <c r="F213" s="111" t="s">
        <v>52</v>
      </c>
      <c r="G213" s="145" t="s">
        <v>53</v>
      </c>
      <c r="H213" s="111" t="s">
        <v>733</v>
      </c>
      <c r="I213" s="111" t="s">
        <v>55</v>
      </c>
      <c r="J213" s="111" t="s">
        <v>56</v>
      </c>
      <c r="K213" s="63">
        <v>801116</v>
      </c>
      <c r="L213" s="111" t="s">
        <v>720</v>
      </c>
      <c r="M213" s="111" t="s">
        <v>58</v>
      </c>
      <c r="N213" s="111" t="s">
        <v>59</v>
      </c>
      <c r="O213" s="111" t="s">
        <v>728</v>
      </c>
      <c r="P213" s="227" t="s">
        <v>756</v>
      </c>
      <c r="Q213" s="134">
        <f t="shared" si="17"/>
        <v>2328830</v>
      </c>
      <c r="R213" s="146">
        <v>1</v>
      </c>
      <c r="S213" s="136">
        <v>26781545</v>
      </c>
      <c r="T213" s="137" t="s">
        <v>747</v>
      </c>
      <c r="U213" s="148" t="s">
        <v>445</v>
      </c>
      <c r="V213" s="148" t="s">
        <v>64</v>
      </c>
      <c r="W213" s="153">
        <v>11.5</v>
      </c>
      <c r="X213" s="133">
        <v>89</v>
      </c>
      <c r="Y213" s="81">
        <v>43102</v>
      </c>
      <c r="Z213" s="154">
        <v>26781545</v>
      </c>
      <c r="AA213" s="140"/>
      <c r="AB213" s="141">
        <v>41</v>
      </c>
      <c r="AC213" s="150">
        <v>43103</v>
      </c>
      <c r="AD213" s="143">
        <v>26781545</v>
      </c>
      <c r="AE213" s="143">
        <f t="shared" si="12"/>
        <v>0</v>
      </c>
      <c r="AF213" s="133">
        <v>120</v>
      </c>
      <c r="AG213" s="81">
        <v>43117</v>
      </c>
      <c r="AH213" s="143">
        <v>26781545</v>
      </c>
      <c r="AI213" s="63" t="s">
        <v>757</v>
      </c>
      <c r="AJ213" s="63">
        <v>99</v>
      </c>
      <c r="AK213" s="143">
        <f t="shared" si="19"/>
        <v>0</v>
      </c>
      <c r="AL213" s="143">
        <v>17310969.199999999</v>
      </c>
      <c r="AM213" s="143">
        <f t="shared" si="14"/>
        <v>9470575.8000000007</v>
      </c>
      <c r="AN213" s="133"/>
      <c r="AO213" s="144">
        <f t="shared" si="15"/>
        <v>0</v>
      </c>
      <c r="AP213" s="133"/>
      <c r="AQ213" s="150">
        <v>43102</v>
      </c>
      <c r="AR213" s="133" t="s">
        <v>739</v>
      </c>
      <c r="AS213" s="150">
        <v>43102</v>
      </c>
      <c r="AT213" s="133" t="s">
        <v>740</v>
      </c>
      <c r="AU213" s="220"/>
      <c r="AV213" s="220"/>
      <c r="AW213" s="220"/>
    </row>
    <row r="214" spans="1:49" s="221" customFormat="1" ht="399" x14ac:dyDescent="0.25">
      <c r="A214" s="63">
        <f t="shared" si="18"/>
        <v>27</v>
      </c>
      <c r="B214" s="128" t="str">
        <f t="shared" si="16"/>
        <v>208-27</v>
      </c>
      <c r="C214" s="129" t="s">
        <v>713</v>
      </c>
      <c r="D214" s="130" t="s">
        <v>714</v>
      </c>
      <c r="E214" s="131" t="s">
        <v>715</v>
      </c>
      <c r="F214" s="111" t="s">
        <v>52</v>
      </c>
      <c r="G214" s="145" t="s">
        <v>53</v>
      </c>
      <c r="H214" s="111" t="s">
        <v>733</v>
      </c>
      <c r="I214" s="111" t="s">
        <v>55</v>
      </c>
      <c r="J214" s="111" t="s">
        <v>56</v>
      </c>
      <c r="K214" s="63">
        <v>801116</v>
      </c>
      <c r="L214" s="111" t="s">
        <v>720</v>
      </c>
      <c r="M214" s="111" t="s">
        <v>58</v>
      </c>
      <c r="N214" s="111" t="s">
        <v>59</v>
      </c>
      <c r="O214" s="111" t="s">
        <v>728</v>
      </c>
      <c r="P214" s="227" t="s">
        <v>758</v>
      </c>
      <c r="Q214" s="134">
        <f t="shared" si="17"/>
        <v>741600</v>
      </c>
      <c r="R214" s="146">
        <v>1</v>
      </c>
      <c r="S214" s="136">
        <v>8528400</v>
      </c>
      <c r="T214" s="137" t="s">
        <v>747</v>
      </c>
      <c r="U214" s="148" t="s">
        <v>445</v>
      </c>
      <c r="V214" s="148" t="s">
        <v>64</v>
      </c>
      <c r="W214" s="153">
        <v>11.5</v>
      </c>
      <c r="X214" s="133">
        <v>88</v>
      </c>
      <c r="Y214" s="81">
        <v>43102</v>
      </c>
      <c r="Z214" s="154">
        <v>8528400</v>
      </c>
      <c r="AA214" s="140"/>
      <c r="AB214" s="141">
        <v>39</v>
      </c>
      <c r="AC214" s="150">
        <v>43103</v>
      </c>
      <c r="AD214" s="143">
        <v>8528400</v>
      </c>
      <c r="AE214" s="143">
        <f t="shared" si="12"/>
        <v>0</v>
      </c>
      <c r="AF214" s="133">
        <v>119</v>
      </c>
      <c r="AG214" s="81">
        <v>43117</v>
      </c>
      <c r="AH214" s="143">
        <v>8528400</v>
      </c>
      <c r="AI214" s="63" t="s">
        <v>759</v>
      </c>
      <c r="AJ214" s="63">
        <v>98</v>
      </c>
      <c r="AK214" s="143">
        <f t="shared" si="19"/>
        <v>0</v>
      </c>
      <c r="AL214" s="143">
        <v>5512560</v>
      </c>
      <c r="AM214" s="143">
        <f t="shared" si="14"/>
        <v>3015840</v>
      </c>
      <c r="AN214" s="133"/>
      <c r="AO214" s="144">
        <f t="shared" si="15"/>
        <v>0</v>
      </c>
      <c r="AP214" s="133"/>
      <c r="AQ214" s="150">
        <v>43102</v>
      </c>
      <c r="AR214" s="133" t="s">
        <v>739</v>
      </c>
      <c r="AS214" s="150">
        <v>43102</v>
      </c>
      <c r="AT214" s="133" t="s">
        <v>740</v>
      </c>
      <c r="AU214" s="220"/>
      <c r="AV214" s="220"/>
      <c r="AW214" s="220"/>
    </row>
    <row r="215" spans="1:49" s="221" customFormat="1" ht="370.5" x14ac:dyDescent="0.25">
      <c r="A215" s="63">
        <f t="shared" si="18"/>
        <v>28</v>
      </c>
      <c r="B215" s="128" t="str">
        <f t="shared" si="16"/>
        <v>208-28</v>
      </c>
      <c r="C215" s="129" t="s">
        <v>713</v>
      </c>
      <c r="D215" s="130" t="s">
        <v>714</v>
      </c>
      <c r="E215" s="145" t="s">
        <v>725</v>
      </c>
      <c r="F215" s="111" t="s">
        <v>52</v>
      </c>
      <c r="G215" s="145" t="s">
        <v>53</v>
      </c>
      <c r="H215" s="111" t="s">
        <v>733</v>
      </c>
      <c r="I215" s="111" t="s">
        <v>55</v>
      </c>
      <c r="J215" s="111" t="s">
        <v>56</v>
      </c>
      <c r="K215" s="63">
        <v>801116</v>
      </c>
      <c r="L215" s="111" t="s">
        <v>720</v>
      </c>
      <c r="M215" s="111" t="s">
        <v>58</v>
      </c>
      <c r="N215" s="111" t="s">
        <v>59</v>
      </c>
      <c r="O215" s="111" t="s">
        <v>728</v>
      </c>
      <c r="P215" s="227" t="s">
        <v>758</v>
      </c>
      <c r="Q215" s="134">
        <f t="shared" si="17"/>
        <v>1730400</v>
      </c>
      <c r="R215" s="146">
        <v>1</v>
      </c>
      <c r="S215" s="136">
        <v>19899600</v>
      </c>
      <c r="T215" s="137" t="s">
        <v>747</v>
      </c>
      <c r="U215" s="148" t="s">
        <v>445</v>
      </c>
      <c r="V215" s="148" t="s">
        <v>64</v>
      </c>
      <c r="W215" s="153">
        <v>11.5</v>
      </c>
      <c r="X215" s="133">
        <v>87</v>
      </c>
      <c r="Y215" s="81">
        <v>43102</v>
      </c>
      <c r="Z215" s="154">
        <v>19899600</v>
      </c>
      <c r="AA215" s="140"/>
      <c r="AB215" s="141">
        <v>39</v>
      </c>
      <c r="AC215" s="150">
        <v>43103</v>
      </c>
      <c r="AD215" s="143">
        <v>19899600</v>
      </c>
      <c r="AE215" s="143">
        <f t="shared" si="12"/>
        <v>0</v>
      </c>
      <c r="AF215" s="133">
        <v>119</v>
      </c>
      <c r="AG215" s="81">
        <v>43117</v>
      </c>
      <c r="AH215" s="143">
        <v>19899600</v>
      </c>
      <c r="AI215" s="63" t="s">
        <v>759</v>
      </c>
      <c r="AJ215" s="63">
        <v>98</v>
      </c>
      <c r="AK215" s="143">
        <f t="shared" si="19"/>
        <v>0</v>
      </c>
      <c r="AL215" s="143">
        <v>12862640</v>
      </c>
      <c r="AM215" s="143">
        <f t="shared" si="14"/>
        <v>7036960</v>
      </c>
      <c r="AN215" s="133"/>
      <c r="AO215" s="144">
        <f t="shared" si="15"/>
        <v>0</v>
      </c>
      <c r="AP215" s="133"/>
      <c r="AQ215" s="150">
        <v>43102</v>
      </c>
      <c r="AR215" s="133" t="s">
        <v>739</v>
      </c>
      <c r="AS215" s="150">
        <v>43102</v>
      </c>
      <c r="AT215" s="133" t="s">
        <v>740</v>
      </c>
      <c r="AU215" s="220"/>
      <c r="AV215" s="220"/>
      <c r="AW215" s="220"/>
    </row>
    <row r="216" spans="1:49" s="221" customFormat="1" ht="399" x14ac:dyDescent="0.25">
      <c r="A216" s="63">
        <f t="shared" si="18"/>
        <v>29</v>
      </c>
      <c r="B216" s="128" t="str">
        <f t="shared" si="16"/>
        <v>208-29</v>
      </c>
      <c r="C216" s="129" t="s">
        <v>713</v>
      </c>
      <c r="D216" s="130" t="s">
        <v>714</v>
      </c>
      <c r="E216" s="131" t="s">
        <v>715</v>
      </c>
      <c r="F216" s="111" t="s">
        <v>52</v>
      </c>
      <c r="G216" s="145" t="s">
        <v>53</v>
      </c>
      <c r="H216" s="111" t="s">
        <v>733</v>
      </c>
      <c r="I216" s="111" t="s">
        <v>55</v>
      </c>
      <c r="J216" s="111" t="s">
        <v>56</v>
      </c>
      <c r="K216" s="63">
        <v>801116</v>
      </c>
      <c r="L216" s="111" t="s">
        <v>720</v>
      </c>
      <c r="M216" s="111" t="s">
        <v>58</v>
      </c>
      <c r="N216" s="111" t="s">
        <v>59</v>
      </c>
      <c r="O216" s="111" t="s">
        <v>728</v>
      </c>
      <c r="P216" s="227" t="s">
        <v>760</v>
      </c>
      <c r="Q216" s="134">
        <f t="shared" si="17"/>
        <v>1500000</v>
      </c>
      <c r="R216" s="146">
        <v>1</v>
      </c>
      <c r="S216" s="136">
        <f>24874500-7624500</f>
        <v>17250000</v>
      </c>
      <c r="T216" s="137" t="s">
        <v>747</v>
      </c>
      <c r="U216" s="148" t="s">
        <v>445</v>
      </c>
      <c r="V216" s="148" t="s">
        <v>64</v>
      </c>
      <c r="W216" s="153">
        <v>11.5</v>
      </c>
      <c r="X216" s="133" t="s">
        <v>761</v>
      </c>
      <c r="Y216" s="81">
        <v>43118</v>
      </c>
      <c r="Z216" s="154">
        <v>17250000</v>
      </c>
      <c r="AA216" s="140"/>
      <c r="AB216" s="141">
        <v>530</v>
      </c>
      <c r="AC216" s="150">
        <v>43118</v>
      </c>
      <c r="AD216" s="143">
        <f>24874500-7624500</f>
        <v>17250000</v>
      </c>
      <c r="AE216" s="143">
        <f t="shared" si="12"/>
        <v>0</v>
      </c>
      <c r="AF216" s="133">
        <v>332</v>
      </c>
      <c r="AG216" s="81">
        <v>43123</v>
      </c>
      <c r="AH216" s="143">
        <f>24874500-7624500</f>
        <v>17250000</v>
      </c>
      <c r="AI216" s="63" t="s">
        <v>762</v>
      </c>
      <c r="AJ216" s="63">
        <v>282</v>
      </c>
      <c r="AK216" s="143">
        <f t="shared" si="19"/>
        <v>0</v>
      </c>
      <c r="AL216" s="143">
        <v>10550000.1</v>
      </c>
      <c r="AM216" s="143">
        <f t="shared" si="14"/>
        <v>6699999.9000000004</v>
      </c>
      <c r="AN216" s="133"/>
      <c r="AO216" s="144">
        <f t="shared" si="15"/>
        <v>0</v>
      </c>
      <c r="AP216" s="133"/>
      <c r="AQ216" s="150">
        <v>43118</v>
      </c>
      <c r="AR216" s="133" t="s">
        <v>739</v>
      </c>
      <c r="AS216" s="150">
        <v>43118</v>
      </c>
      <c r="AT216" s="133" t="s">
        <v>740</v>
      </c>
      <c r="AU216" s="220"/>
      <c r="AV216" s="220"/>
      <c r="AW216" s="220"/>
    </row>
    <row r="217" spans="1:49" s="221" customFormat="1" ht="370.5" x14ac:dyDescent="0.25">
      <c r="A217" s="63">
        <f t="shared" si="18"/>
        <v>30</v>
      </c>
      <c r="B217" s="128" t="str">
        <f t="shared" si="16"/>
        <v>208-30</v>
      </c>
      <c r="C217" s="129" t="s">
        <v>713</v>
      </c>
      <c r="D217" s="130" t="s">
        <v>714</v>
      </c>
      <c r="E217" s="145" t="s">
        <v>725</v>
      </c>
      <c r="F217" s="111" t="s">
        <v>52</v>
      </c>
      <c r="G217" s="145" t="s">
        <v>53</v>
      </c>
      <c r="H217" s="111" t="s">
        <v>733</v>
      </c>
      <c r="I217" s="111" t="s">
        <v>55</v>
      </c>
      <c r="J217" s="111" t="s">
        <v>56</v>
      </c>
      <c r="K217" s="63">
        <v>801116</v>
      </c>
      <c r="L217" s="111" t="s">
        <v>720</v>
      </c>
      <c r="M217" s="111" t="s">
        <v>58</v>
      </c>
      <c r="N217" s="111" t="s">
        <v>59</v>
      </c>
      <c r="O217" s="111" t="s">
        <v>728</v>
      </c>
      <c r="P217" s="227" t="s">
        <v>760</v>
      </c>
      <c r="Q217" s="134">
        <f t="shared" si="17"/>
        <v>3500000</v>
      </c>
      <c r="R217" s="146">
        <v>1</v>
      </c>
      <c r="S217" s="136">
        <f>58040500-17790500</f>
        <v>40250000</v>
      </c>
      <c r="T217" s="137" t="s">
        <v>747</v>
      </c>
      <c r="U217" s="148" t="s">
        <v>445</v>
      </c>
      <c r="V217" s="148" t="s">
        <v>64</v>
      </c>
      <c r="W217" s="153">
        <v>11.5</v>
      </c>
      <c r="X217" s="133" t="s">
        <v>763</v>
      </c>
      <c r="Y217" s="81">
        <v>43118</v>
      </c>
      <c r="Z217" s="154">
        <v>40250000</v>
      </c>
      <c r="AA217" s="140"/>
      <c r="AB217" s="141">
        <v>530</v>
      </c>
      <c r="AC217" s="150">
        <v>43118</v>
      </c>
      <c r="AD217" s="143">
        <f>58040500-17790500</f>
        <v>40250000</v>
      </c>
      <c r="AE217" s="143">
        <f t="shared" si="12"/>
        <v>0</v>
      </c>
      <c r="AF217" s="133">
        <v>332</v>
      </c>
      <c r="AG217" s="81">
        <v>43123</v>
      </c>
      <c r="AH217" s="143">
        <f>58040500-17790500</f>
        <v>40250000</v>
      </c>
      <c r="AI217" s="63" t="s">
        <v>762</v>
      </c>
      <c r="AJ217" s="63">
        <v>282</v>
      </c>
      <c r="AK217" s="143">
        <f t="shared" si="19"/>
        <v>0</v>
      </c>
      <c r="AL217" s="143">
        <v>24616666.899999999</v>
      </c>
      <c r="AM217" s="143">
        <f t="shared" si="14"/>
        <v>15633333.100000001</v>
      </c>
      <c r="AN217" s="133"/>
      <c r="AO217" s="144">
        <f t="shared" si="15"/>
        <v>0</v>
      </c>
      <c r="AP217" s="133"/>
      <c r="AQ217" s="150">
        <v>43118</v>
      </c>
      <c r="AR217" s="133" t="s">
        <v>739</v>
      </c>
      <c r="AS217" s="150">
        <v>43118</v>
      </c>
      <c r="AT217" s="133" t="s">
        <v>740</v>
      </c>
      <c r="AU217" s="220"/>
      <c r="AV217" s="220"/>
      <c r="AW217" s="220"/>
    </row>
    <row r="218" spans="1:49" s="221" customFormat="1" ht="399" x14ac:dyDescent="0.25">
      <c r="A218" s="63">
        <f t="shared" si="18"/>
        <v>31</v>
      </c>
      <c r="B218" s="128" t="str">
        <f t="shared" si="16"/>
        <v>208-31</v>
      </c>
      <c r="C218" s="129" t="s">
        <v>713</v>
      </c>
      <c r="D218" s="130" t="s">
        <v>714</v>
      </c>
      <c r="E218" s="131" t="s">
        <v>715</v>
      </c>
      <c r="F218" s="111" t="s">
        <v>52</v>
      </c>
      <c r="G218" s="145" t="s">
        <v>53</v>
      </c>
      <c r="H218" s="111" t="s">
        <v>733</v>
      </c>
      <c r="I218" s="111" t="s">
        <v>55</v>
      </c>
      <c r="J218" s="111" t="s">
        <v>56</v>
      </c>
      <c r="K218" s="63">
        <v>801116</v>
      </c>
      <c r="L218" s="111" t="s">
        <v>720</v>
      </c>
      <c r="M218" s="111" t="s">
        <v>58</v>
      </c>
      <c r="N218" s="111" t="s">
        <v>59</v>
      </c>
      <c r="O218" s="111" t="s">
        <v>728</v>
      </c>
      <c r="P218" s="227" t="s">
        <v>764</v>
      </c>
      <c r="Q218" s="134">
        <f t="shared" si="17"/>
        <v>0</v>
      </c>
      <c r="R218" s="146">
        <v>1</v>
      </c>
      <c r="S218" s="136">
        <f>17376615-17376615</f>
        <v>0</v>
      </c>
      <c r="T218" s="137" t="s">
        <v>747</v>
      </c>
      <c r="U218" s="148" t="s">
        <v>445</v>
      </c>
      <c r="V218" s="148" t="s">
        <v>64</v>
      </c>
      <c r="W218" s="153">
        <v>11.5</v>
      </c>
      <c r="X218" s="133" t="s">
        <v>765</v>
      </c>
      <c r="Y218" s="81"/>
      <c r="Z218" s="154"/>
      <c r="AA218" s="140"/>
      <c r="AB218" s="141"/>
      <c r="AC218" s="142"/>
      <c r="AD218" s="143"/>
      <c r="AE218" s="143">
        <f t="shared" si="12"/>
        <v>0</v>
      </c>
      <c r="AF218" s="133"/>
      <c r="AG218" s="85"/>
      <c r="AH218" s="143"/>
      <c r="AI218" s="63"/>
      <c r="AJ218" s="63"/>
      <c r="AK218" s="143">
        <f t="shared" si="19"/>
        <v>0</v>
      </c>
      <c r="AL218" s="143"/>
      <c r="AM218" s="143">
        <f t="shared" si="14"/>
        <v>0</v>
      </c>
      <c r="AN218" s="133"/>
      <c r="AO218" s="144">
        <f t="shared" si="15"/>
        <v>0</v>
      </c>
      <c r="AP218" s="133"/>
      <c r="AQ218" s="150"/>
      <c r="AR218" s="133"/>
      <c r="AS218" s="150"/>
      <c r="AT218" s="133"/>
      <c r="AU218" s="220"/>
      <c r="AV218" s="220"/>
      <c r="AW218" s="220"/>
    </row>
    <row r="219" spans="1:49" s="221" customFormat="1" ht="370.5" x14ac:dyDescent="0.25">
      <c r="A219" s="63">
        <f t="shared" si="18"/>
        <v>32</v>
      </c>
      <c r="B219" s="128" t="str">
        <f t="shared" si="16"/>
        <v>208-32</v>
      </c>
      <c r="C219" s="129" t="s">
        <v>713</v>
      </c>
      <c r="D219" s="130" t="s">
        <v>714</v>
      </c>
      <c r="E219" s="145" t="s">
        <v>725</v>
      </c>
      <c r="F219" s="111" t="s">
        <v>52</v>
      </c>
      <c r="G219" s="145" t="s">
        <v>53</v>
      </c>
      <c r="H219" s="111" t="s">
        <v>733</v>
      </c>
      <c r="I219" s="111" t="s">
        <v>55</v>
      </c>
      <c r="J219" s="111" t="s">
        <v>56</v>
      </c>
      <c r="K219" s="63">
        <v>801116</v>
      </c>
      <c r="L219" s="111" t="s">
        <v>720</v>
      </c>
      <c r="M219" s="111" t="s">
        <v>58</v>
      </c>
      <c r="N219" s="111" t="s">
        <v>59</v>
      </c>
      <c r="O219" s="111" t="s">
        <v>728</v>
      </c>
      <c r="P219" s="227" t="s">
        <v>764</v>
      </c>
      <c r="Q219" s="134">
        <f t="shared" si="17"/>
        <v>0</v>
      </c>
      <c r="R219" s="146">
        <v>1</v>
      </c>
      <c r="S219" s="136">
        <f>40545435-40545435</f>
        <v>0</v>
      </c>
      <c r="T219" s="137" t="s">
        <v>747</v>
      </c>
      <c r="U219" s="148" t="s">
        <v>445</v>
      </c>
      <c r="V219" s="148" t="s">
        <v>64</v>
      </c>
      <c r="W219" s="153">
        <v>11.5</v>
      </c>
      <c r="X219" s="133" t="s">
        <v>766</v>
      </c>
      <c r="Y219" s="81"/>
      <c r="Z219" s="154"/>
      <c r="AA219" s="140"/>
      <c r="AB219" s="141"/>
      <c r="AC219" s="142"/>
      <c r="AD219" s="143"/>
      <c r="AE219" s="143">
        <f t="shared" si="12"/>
        <v>0</v>
      </c>
      <c r="AF219" s="133"/>
      <c r="AG219" s="85"/>
      <c r="AH219" s="143"/>
      <c r="AI219" s="63"/>
      <c r="AJ219" s="63"/>
      <c r="AK219" s="143">
        <f t="shared" si="19"/>
        <v>0</v>
      </c>
      <c r="AL219" s="143"/>
      <c r="AM219" s="143">
        <f t="shared" si="14"/>
        <v>0</v>
      </c>
      <c r="AN219" s="133"/>
      <c r="AO219" s="144">
        <f t="shared" si="15"/>
        <v>0</v>
      </c>
      <c r="AP219" s="133"/>
      <c r="AQ219" s="150"/>
      <c r="AR219" s="133"/>
      <c r="AS219" s="150"/>
      <c r="AT219" s="133"/>
      <c r="AU219" s="220"/>
      <c r="AV219" s="220"/>
      <c r="AW219" s="220"/>
    </row>
    <row r="220" spans="1:49" s="221" customFormat="1" ht="399" x14ac:dyDescent="0.25">
      <c r="A220" s="63">
        <f t="shared" si="18"/>
        <v>33</v>
      </c>
      <c r="B220" s="128" t="str">
        <f t="shared" si="16"/>
        <v>208-33</v>
      </c>
      <c r="C220" s="129" t="s">
        <v>713</v>
      </c>
      <c r="D220" s="130" t="s">
        <v>714</v>
      </c>
      <c r="E220" s="131" t="s">
        <v>715</v>
      </c>
      <c r="F220" s="111" t="s">
        <v>52</v>
      </c>
      <c r="G220" s="145" t="s">
        <v>53</v>
      </c>
      <c r="H220" s="111" t="s">
        <v>733</v>
      </c>
      <c r="I220" s="111" t="s">
        <v>55</v>
      </c>
      <c r="J220" s="111" t="s">
        <v>56</v>
      </c>
      <c r="K220" s="63">
        <v>801116</v>
      </c>
      <c r="L220" s="111" t="s">
        <v>720</v>
      </c>
      <c r="M220" s="111" t="s">
        <v>58</v>
      </c>
      <c r="N220" s="111" t="s">
        <v>59</v>
      </c>
      <c r="O220" s="111" t="s">
        <v>728</v>
      </c>
      <c r="P220" s="227" t="s">
        <v>764</v>
      </c>
      <c r="Q220" s="134">
        <f t="shared" si="17"/>
        <v>1699500</v>
      </c>
      <c r="R220" s="146">
        <v>1</v>
      </c>
      <c r="S220" s="136">
        <v>19544250</v>
      </c>
      <c r="T220" s="137" t="s">
        <v>747</v>
      </c>
      <c r="U220" s="148" t="s">
        <v>445</v>
      </c>
      <c r="V220" s="148" t="s">
        <v>64</v>
      </c>
      <c r="W220" s="153">
        <v>11.5</v>
      </c>
      <c r="X220" s="133">
        <v>82</v>
      </c>
      <c r="Y220" s="81">
        <v>43102</v>
      </c>
      <c r="Z220" s="154">
        <v>19544250</v>
      </c>
      <c r="AA220" s="140"/>
      <c r="AB220" s="141">
        <v>35</v>
      </c>
      <c r="AC220" s="150">
        <v>43103</v>
      </c>
      <c r="AD220" s="143">
        <v>19544250</v>
      </c>
      <c r="AE220" s="143">
        <f t="shared" si="12"/>
        <v>0</v>
      </c>
      <c r="AF220" s="133">
        <v>79</v>
      </c>
      <c r="AG220" s="81">
        <v>43116</v>
      </c>
      <c r="AH220" s="143">
        <v>19544250</v>
      </c>
      <c r="AI220" s="63" t="s">
        <v>767</v>
      </c>
      <c r="AJ220" s="63">
        <v>65</v>
      </c>
      <c r="AK220" s="143">
        <f t="shared" si="19"/>
        <v>0</v>
      </c>
      <c r="AL220" s="143">
        <v>12689600.1</v>
      </c>
      <c r="AM220" s="143">
        <f t="shared" si="14"/>
        <v>6854649.9000000004</v>
      </c>
      <c r="AN220" s="133"/>
      <c r="AO220" s="144">
        <f t="shared" si="15"/>
        <v>0</v>
      </c>
      <c r="AP220" s="133"/>
      <c r="AQ220" s="150">
        <v>43102</v>
      </c>
      <c r="AR220" s="133" t="s">
        <v>739</v>
      </c>
      <c r="AS220" s="150">
        <v>43102</v>
      </c>
      <c r="AT220" s="133" t="s">
        <v>740</v>
      </c>
      <c r="AU220" s="220"/>
      <c r="AV220" s="220"/>
      <c r="AW220" s="220"/>
    </row>
    <row r="221" spans="1:49" s="221" customFormat="1" ht="370.5" x14ac:dyDescent="0.25">
      <c r="A221" s="63">
        <f t="shared" si="18"/>
        <v>34</v>
      </c>
      <c r="B221" s="128" t="str">
        <f t="shared" si="16"/>
        <v>208-34</v>
      </c>
      <c r="C221" s="129" t="s">
        <v>713</v>
      </c>
      <c r="D221" s="130" t="s">
        <v>714</v>
      </c>
      <c r="E221" s="145" t="s">
        <v>725</v>
      </c>
      <c r="F221" s="111" t="s">
        <v>52</v>
      </c>
      <c r="G221" s="145" t="s">
        <v>53</v>
      </c>
      <c r="H221" s="111" t="s">
        <v>733</v>
      </c>
      <c r="I221" s="111" t="s">
        <v>55</v>
      </c>
      <c r="J221" s="111" t="s">
        <v>56</v>
      </c>
      <c r="K221" s="63">
        <v>801116</v>
      </c>
      <c r="L221" s="111" t="s">
        <v>720</v>
      </c>
      <c r="M221" s="111" t="s">
        <v>58</v>
      </c>
      <c r="N221" s="111" t="s">
        <v>59</v>
      </c>
      <c r="O221" s="111" t="s">
        <v>728</v>
      </c>
      <c r="P221" s="227" t="s">
        <v>764</v>
      </c>
      <c r="Q221" s="134">
        <f t="shared" si="17"/>
        <v>3965499.9999999995</v>
      </c>
      <c r="R221" s="146">
        <v>1</v>
      </c>
      <c r="S221" s="136">
        <v>45603249.999999993</v>
      </c>
      <c r="T221" s="137" t="s">
        <v>747</v>
      </c>
      <c r="U221" s="148" t="s">
        <v>445</v>
      </c>
      <c r="V221" s="148" t="s">
        <v>64</v>
      </c>
      <c r="W221" s="153">
        <v>11.5</v>
      </c>
      <c r="X221" s="133">
        <v>81</v>
      </c>
      <c r="Y221" s="81">
        <v>43102</v>
      </c>
      <c r="Z221" s="154">
        <v>45603249.999999993</v>
      </c>
      <c r="AA221" s="140"/>
      <c r="AB221" s="141">
        <v>35</v>
      </c>
      <c r="AC221" s="150">
        <v>43103</v>
      </c>
      <c r="AD221" s="143">
        <v>45603249.999999993</v>
      </c>
      <c r="AE221" s="143">
        <f t="shared" si="12"/>
        <v>0</v>
      </c>
      <c r="AF221" s="133">
        <v>79</v>
      </c>
      <c r="AG221" s="81">
        <v>43116</v>
      </c>
      <c r="AH221" s="143">
        <v>45603249.999999993</v>
      </c>
      <c r="AI221" s="63" t="s">
        <v>767</v>
      </c>
      <c r="AJ221" s="63">
        <v>65</v>
      </c>
      <c r="AK221" s="143">
        <f t="shared" si="19"/>
        <v>0</v>
      </c>
      <c r="AL221" s="143">
        <v>29609066.899999999</v>
      </c>
      <c r="AM221" s="143">
        <f t="shared" si="14"/>
        <v>15994183.099999994</v>
      </c>
      <c r="AN221" s="133"/>
      <c r="AO221" s="144">
        <f t="shared" si="15"/>
        <v>0</v>
      </c>
      <c r="AP221" s="133"/>
      <c r="AQ221" s="150">
        <v>43102</v>
      </c>
      <c r="AR221" s="133" t="s">
        <v>739</v>
      </c>
      <c r="AS221" s="150">
        <v>43102</v>
      </c>
      <c r="AT221" s="133" t="s">
        <v>740</v>
      </c>
      <c r="AU221" s="220"/>
      <c r="AV221" s="220"/>
      <c r="AW221" s="220"/>
    </row>
    <row r="222" spans="1:49" s="221" customFormat="1" ht="399" x14ac:dyDescent="0.25">
      <c r="A222" s="63">
        <f t="shared" si="18"/>
        <v>35</v>
      </c>
      <c r="B222" s="128" t="str">
        <f t="shared" si="16"/>
        <v>208-35</v>
      </c>
      <c r="C222" s="129" t="s">
        <v>713</v>
      </c>
      <c r="D222" s="130" t="s">
        <v>714</v>
      </c>
      <c r="E222" s="131" t="s">
        <v>715</v>
      </c>
      <c r="F222" s="111" t="s">
        <v>52</v>
      </c>
      <c r="G222" s="145" t="s">
        <v>53</v>
      </c>
      <c r="H222" s="111" t="s">
        <v>733</v>
      </c>
      <c r="I222" s="111" t="s">
        <v>55</v>
      </c>
      <c r="J222" s="111" t="s">
        <v>56</v>
      </c>
      <c r="K222" s="63">
        <v>801116</v>
      </c>
      <c r="L222" s="111" t="s">
        <v>720</v>
      </c>
      <c r="M222" s="111" t="s">
        <v>58</v>
      </c>
      <c r="N222" s="111" t="s">
        <v>59</v>
      </c>
      <c r="O222" s="111" t="s">
        <v>728</v>
      </c>
      <c r="P222" s="227" t="s">
        <v>764</v>
      </c>
      <c r="Q222" s="134">
        <f t="shared" si="17"/>
        <v>0</v>
      </c>
      <c r="R222" s="146">
        <v>1</v>
      </c>
      <c r="S222" s="136">
        <f>17376615-17376615</f>
        <v>0</v>
      </c>
      <c r="T222" s="137" t="s">
        <v>747</v>
      </c>
      <c r="U222" s="148" t="s">
        <v>445</v>
      </c>
      <c r="V222" s="148" t="s">
        <v>64</v>
      </c>
      <c r="W222" s="153">
        <v>11.5</v>
      </c>
      <c r="X222" s="133" t="s">
        <v>768</v>
      </c>
      <c r="Y222" s="81"/>
      <c r="Z222" s="154"/>
      <c r="AA222" s="140"/>
      <c r="AB222" s="141"/>
      <c r="AC222" s="142"/>
      <c r="AD222" s="143"/>
      <c r="AE222" s="143">
        <f t="shared" si="12"/>
        <v>0</v>
      </c>
      <c r="AF222" s="133"/>
      <c r="AG222" s="85"/>
      <c r="AH222" s="143"/>
      <c r="AI222" s="63"/>
      <c r="AJ222" s="63"/>
      <c r="AK222" s="143">
        <f t="shared" si="19"/>
        <v>0</v>
      </c>
      <c r="AL222" s="143"/>
      <c r="AM222" s="143">
        <f t="shared" si="14"/>
        <v>0</v>
      </c>
      <c r="AN222" s="133"/>
      <c r="AO222" s="144">
        <f t="shared" si="15"/>
        <v>0</v>
      </c>
      <c r="AP222" s="133"/>
      <c r="AQ222" s="150"/>
      <c r="AR222" s="133"/>
      <c r="AS222" s="150"/>
      <c r="AT222" s="133"/>
      <c r="AU222" s="220"/>
      <c r="AV222" s="220"/>
      <c r="AW222" s="220"/>
    </row>
    <row r="223" spans="1:49" s="221" customFormat="1" ht="370.5" x14ac:dyDescent="0.25">
      <c r="A223" s="63">
        <f t="shared" si="18"/>
        <v>36</v>
      </c>
      <c r="B223" s="128" t="str">
        <f t="shared" si="16"/>
        <v>208-36</v>
      </c>
      <c r="C223" s="129" t="s">
        <v>713</v>
      </c>
      <c r="D223" s="130" t="s">
        <v>714</v>
      </c>
      <c r="E223" s="145" t="s">
        <v>725</v>
      </c>
      <c r="F223" s="111" t="s">
        <v>52</v>
      </c>
      <c r="G223" s="145" t="s">
        <v>53</v>
      </c>
      <c r="H223" s="111" t="s">
        <v>733</v>
      </c>
      <c r="I223" s="111" t="s">
        <v>55</v>
      </c>
      <c r="J223" s="111" t="s">
        <v>56</v>
      </c>
      <c r="K223" s="63">
        <v>801116</v>
      </c>
      <c r="L223" s="111" t="s">
        <v>720</v>
      </c>
      <c r="M223" s="111" t="s">
        <v>58</v>
      </c>
      <c r="N223" s="111" t="s">
        <v>59</v>
      </c>
      <c r="O223" s="111" t="s">
        <v>728</v>
      </c>
      <c r="P223" s="227" t="s">
        <v>764</v>
      </c>
      <c r="Q223" s="134">
        <f t="shared" si="17"/>
        <v>0</v>
      </c>
      <c r="R223" s="146">
        <v>1</v>
      </c>
      <c r="S223" s="136">
        <f>40545435-40545435</f>
        <v>0</v>
      </c>
      <c r="T223" s="137" t="s">
        <v>747</v>
      </c>
      <c r="U223" s="148" t="s">
        <v>445</v>
      </c>
      <c r="V223" s="148" t="s">
        <v>64</v>
      </c>
      <c r="W223" s="153">
        <v>11.5</v>
      </c>
      <c r="X223" s="133" t="s">
        <v>769</v>
      </c>
      <c r="Y223" s="81"/>
      <c r="Z223" s="154"/>
      <c r="AA223" s="140"/>
      <c r="AB223" s="141"/>
      <c r="AC223" s="142"/>
      <c r="AD223" s="143"/>
      <c r="AE223" s="143">
        <f t="shared" si="12"/>
        <v>0</v>
      </c>
      <c r="AF223" s="133"/>
      <c r="AG223" s="85"/>
      <c r="AH223" s="143"/>
      <c r="AI223" s="63"/>
      <c r="AJ223" s="63"/>
      <c r="AK223" s="143">
        <f t="shared" si="19"/>
        <v>0</v>
      </c>
      <c r="AL223" s="143"/>
      <c r="AM223" s="143">
        <f t="shared" si="14"/>
        <v>0</v>
      </c>
      <c r="AN223" s="133"/>
      <c r="AO223" s="144">
        <f t="shared" si="15"/>
        <v>0</v>
      </c>
      <c r="AP223" s="133"/>
      <c r="AQ223" s="150"/>
      <c r="AR223" s="133"/>
      <c r="AS223" s="150"/>
      <c r="AT223" s="133"/>
      <c r="AU223" s="220"/>
      <c r="AV223" s="220"/>
      <c r="AW223" s="220"/>
    </row>
    <row r="224" spans="1:49" s="221" customFormat="1" ht="399" x14ac:dyDescent="0.25">
      <c r="A224" s="63">
        <f t="shared" si="18"/>
        <v>37</v>
      </c>
      <c r="B224" s="128" t="str">
        <f t="shared" si="16"/>
        <v>208-37</v>
      </c>
      <c r="C224" s="129" t="s">
        <v>713</v>
      </c>
      <c r="D224" s="130" t="s">
        <v>714</v>
      </c>
      <c r="E224" s="131" t="s">
        <v>715</v>
      </c>
      <c r="F224" s="111" t="s">
        <v>52</v>
      </c>
      <c r="G224" s="145" t="s">
        <v>53</v>
      </c>
      <c r="H224" s="111" t="s">
        <v>733</v>
      </c>
      <c r="I224" s="111" t="s">
        <v>55</v>
      </c>
      <c r="J224" s="111" t="s">
        <v>56</v>
      </c>
      <c r="K224" s="63">
        <v>801116</v>
      </c>
      <c r="L224" s="111" t="s">
        <v>720</v>
      </c>
      <c r="M224" s="111" t="s">
        <v>58</v>
      </c>
      <c r="N224" s="111" t="s">
        <v>59</v>
      </c>
      <c r="O224" s="111" t="s">
        <v>728</v>
      </c>
      <c r="P224" s="227" t="s">
        <v>770</v>
      </c>
      <c r="Q224" s="134">
        <f t="shared" si="17"/>
        <v>1575900</v>
      </c>
      <c r="R224" s="146">
        <v>1</v>
      </c>
      <c r="S224" s="136">
        <v>18122850</v>
      </c>
      <c r="T224" s="137" t="s">
        <v>747</v>
      </c>
      <c r="U224" s="148" t="s">
        <v>445</v>
      </c>
      <c r="V224" s="148" t="s">
        <v>64</v>
      </c>
      <c r="W224" s="153">
        <v>11.5</v>
      </c>
      <c r="X224" s="133">
        <v>78</v>
      </c>
      <c r="Y224" s="81">
        <v>43102</v>
      </c>
      <c r="Z224" s="154">
        <v>18122850</v>
      </c>
      <c r="AA224" s="140"/>
      <c r="AB224" s="141">
        <v>24</v>
      </c>
      <c r="AC224" s="150">
        <v>43102</v>
      </c>
      <c r="AD224" s="143">
        <v>18122850</v>
      </c>
      <c r="AE224" s="143">
        <f t="shared" si="12"/>
        <v>0</v>
      </c>
      <c r="AF224" s="133">
        <v>13</v>
      </c>
      <c r="AG224" s="81">
        <v>43112</v>
      </c>
      <c r="AH224" s="143">
        <v>18122850</v>
      </c>
      <c r="AI224" s="63" t="s">
        <v>771</v>
      </c>
      <c r="AJ224" s="63">
        <v>12</v>
      </c>
      <c r="AK224" s="143">
        <f t="shared" si="19"/>
        <v>0</v>
      </c>
      <c r="AL224" s="143">
        <v>11819250</v>
      </c>
      <c r="AM224" s="143">
        <f t="shared" si="14"/>
        <v>6303600</v>
      </c>
      <c r="AN224" s="133"/>
      <c r="AO224" s="144">
        <f t="shared" si="15"/>
        <v>0</v>
      </c>
      <c r="AP224" s="133"/>
      <c r="AQ224" s="150">
        <v>43102</v>
      </c>
      <c r="AR224" s="133" t="s">
        <v>739</v>
      </c>
      <c r="AS224" s="150">
        <v>43102</v>
      </c>
      <c r="AT224" s="133" t="s">
        <v>740</v>
      </c>
      <c r="AU224" s="220"/>
      <c r="AV224" s="220"/>
      <c r="AW224" s="220"/>
    </row>
    <row r="225" spans="1:49" s="221" customFormat="1" ht="370.5" x14ac:dyDescent="0.25">
      <c r="A225" s="63">
        <f t="shared" si="18"/>
        <v>38</v>
      </c>
      <c r="B225" s="128" t="str">
        <f t="shared" si="16"/>
        <v>208-38</v>
      </c>
      <c r="C225" s="129" t="s">
        <v>713</v>
      </c>
      <c r="D225" s="130" t="s">
        <v>714</v>
      </c>
      <c r="E225" s="145" t="s">
        <v>725</v>
      </c>
      <c r="F225" s="111" t="s">
        <v>52</v>
      </c>
      <c r="G225" s="145" t="s">
        <v>53</v>
      </c>
      <c r="H225" s="111" t="s">
        <v>733</v>
      </c>
      <c r="I225" s="111" t="s">
        <v>55</v>
      </c>
      <c r="J225" s="111" t="s">
        <v>56</v>
      </c>
      <c r="K225" s="63">
        <v>801116</v>
      </c>
      <c r="L225" s="111" t="s">
        <v>720</v>
      </c>
      <c r="M225" s="111" t="s">
        <v>58</v>
      </c>
      <c r="N225" s="111" t="s">
        <v>59</v>
      </c>
      <c r="O225" s="111" t="s">
        <v>728</v>
      </c>
      <c r="P225" s="227" t="s">
        <v>770</v>
      </c>
      <c r="Q225" s="134">
        <f t="shared" si="17"/>
        <v>3677099.9999999995</v>
      </c>
      <c r="R225" s="146">
        <v>1</v>
      </c>
      <c r="S225" s="136">
        <v>42286649.999999993</v>
      </c>
      <c r="T225" s="137" t="s">
        <v>747</v>
      </c>
      <c r="U225" s="148" t="s">
        <v>445</v>
      </c>
      <c r="V225" s="148" t="s">
        <v>64</v>
      </c>
      <c r="W225" s="153">
        <v>11.5</v>
      </c>
      <c r="X225" s="133">
        <v>77</v>
      </c>
      <c r="Y225" s="81">
        <v>43102</v>
      </c>
      <c r="Z225" s="154">
        <v>42286649.999999993</v>
      </c>
      <c r="AA225" s="140"/>
      <c r="AB225" s="141">
        <v>24</v>
      </c>
      <c r="AC225" s="150">
        <v>43102</v>
      </c>
      <c r="AD225" s="143">
        <v>42286649.999999993</v>
      </c>
      <c r="AE225" s="143">
        <f t="shared" si="12"/>
        <v>0</v>
      </c>
      <c r="AF225" s="133">
        <v>13</v>
      </c>
      <c r="AG225" s="81">
        <v>43112</v>
      </c>
      <c r="AH225" s="143">
        <v>42286649.999999993</v>
      </c>
      <c r="AI225" s="63" t="s">
        <v>771</v>
      </c>
      <c r="AJ225" s="63">
        <v>12</v>
      </c>
      <c r="AK225" s="143">
        <f t="shared" si="19"/>
        <v>0</v>
      </c>
      <c r="AL225" s="143">
        <v>27578250</v>
      </c>
      <c r="AM225" s="143">
        <f t="shared" si="14"/>
        <v>14708399.999999993</v>
      </c>
      <c r="AN225" s="133"/>
      <c r="AO225" s="144">
        <f t="shared" si="15"/>
        <v>0</v>
      </c>
      <c r="AP225" s="133"/>
      <c r="AQ225" s="150">
        <v>43102</v>
      </c>
      <c r="AR225" s="133" t="s">
        <v>739</v>
      </c>
      <c r="AS225" s="150">
        <v>43102</v>
      </c>
      <c r="AT225" s="133" t="s">
        <v>740</v>
      </c>
      <c r="AU225" s="220"/>
      <c r="AV225" s="220"/>
      <c r="AW225" s="220"/>
    </row>
    <row r="226" spans="1:49" s="221" customFormat="1" ht="409.5" x14ac:dyDescent="0.25">
      <c r="A226" s="63">
        <f t="shared" si="18"/>
        <v>39</v>
      </c>
      <c r="B226" s="128" t="str">
        <f t="shared" si="16"/>
        <v>208-39</v>
      </c>
      <c r="C226" s="129" t="s">
        <v>713</v>
      </c>
      <c r="D226" s="130" t="s">
        <v>714</v>
      </c>
      <c r="E226" s="131" t="s">
        <v>715</v>
      </c>
      <c r="F226" s="111" t="s">
        <v>52</v>
      </c>
      <c r="G226" s="145" t="s">
        <v>53</v>
      </c>
      <c r="H226" s="111" t="s">
        <v>733</v>
      </c>
      <c r="I226" s="111" t="s">
        <v>55</v>
      </c>
      <c r="J226" s="111" t="s">
        <v>56</v>
      </c>
      <c r="K226" s="63">
        <v>801116</v>
      </c>
      <c r="L226" s="111" t="s">
        <v>720</v>
      </c>
      <c r="M226" s="111" t="s">
        <v>58</v>
      </c>
      <c r="N226" s="111" t="s">
        <v>59</v>
      </c>
      <c r="O226" s="111" t="s">
        <v>728</v>
      </c>
      <c r="P226" s="227" t="s">
        <v>772</v>
      </c>
      <c r="Q226" s="134">
        <f t="shared" si="17"/>
        <v>741600</v>
      </c>
      <c r="R226" s="146">
        <v>1</v>
      </c>
      <c r="S226" s="136">
        <v>8528400</v>
      </c>
      <c r="T226" s="137" t="s">
        <v>747</v>
      </c>
      <c r="U226" s="148" t="s">
        <v>445</v>
      </c>
      <c r="V226" s="148" t="s">
        <v>64</v>
      </c>
      <c r="W226" s="153">
        <v>11.5</v>
      </c>
      <c r="X226" s="133">
        <v>76</v>
      </c>
      <c r="Y226" s="81">
        <v>43102</v>
      </c>
      <c r="Z226" s="154">
        <v>8528400</v>
      </c>
      <c r="AA226" s="140"/>
      <c r="AB226" s="141">
        <v>23</v>
      </c>
      <c r="AC226" s="150">
        <v>43102</v>
      </c>
      <c r="AD226" s="143">
        <v>8528400</v>
      </c>
      <c r="AE226" s="143">
        <f t="shared" si="12"/>
        <v>0</v>
      </c>
      <c r="AF226" s="133">
        <v>163</v>
      </c>
      <c r="AG226" s="81">
        <v>43118</v>
      </c>
      <c r="AH226" s="143">
        <v>8528400</v>
      </c>
      <c r="AI226" s="63" t="s">
        <v>773</v>
      </c>
      <c r="AJ226" s="63">
        <v>132</v>
      </c>
      <c r="AK226" s="143">
        <f t="shared" si="19"/>
        <v>0</v>
      </c>
      <c r="AL226" s="143">
        <v>5512560</v>
      </c>
      <c r="AM226" s="143">
        <f t="shared" si="14"/>
        <v>3015840</v>
      </c>
      <c r="AN226" s="133"/>
      <c r="AO226" s="144">
        <f t="shared" si="15"/>
        <v>0</v>
      </c>
      <c r="AP226" s="133"/>
      <c r="AQ226" s="150">
        <v>43102</v>
      </c>
      <c r="AR226" s="133" t="s">
        <v>739</v>
      </c>
      <c r="AS226" s="150">
        <v>43102</v>
      </c>
      <c r="AT226" s="133" t="s">
        <v>740</v>
      </c>
      <c r="AU226" s="220"/>
      <c r="AV226" s="220"/>
      <c r="AW226" s="220"/>
    </row>
    <row r="227" spans="1:49" s="221" customFormat="1" ht="409.5" x14ac:dyDescent="0.25">
      <c r="A227" s="63">
        <f t="shared" si="18"/>
        <v>40</v>
      </c>
      <c r="B227" s="128" t="str">
        <f t="shared" si="16"/>
        <v>208-40</v>
      </c>
      <c r="C227" s="129" t="s">
        <v>713</v>
      </c>
      <c r="D227" s="130" t="s">
        <v>714</v>
      </c>
      <c r="E227" s="145" t="s">
        <v>725</v>
      </c>
      <c r="F227" s="111" t="s">
        <v>52</v>
      </c>
      <c r="G227" s="145" t="s">
        <v>53</v>
      </c>
      <c r="H227" s="111" t="s">
        <v>733</v>
      </c>
      <c r="I227" s="111" t="s">
        <v>55</v>
      </c>
      <c r="J227" s="111" t="s">
        <v>56</v>
      </c>
      <c r="K227" s="63">
        <v>801116</v>
      </c>
      <c r="L227" s="111" t="s">
        <v>720</v>
      </c>
      <c r="M227" s="111" t="s">
        <v>58</v>
      </c>
      <c r="N227" s="111" t="s">
        <v>59</v>
      </c>
      <c r="O227" s="111" t="s">
        <v>728</v>
      </c>
      <c r="P227" s="227" t="s">
        <v>772</v>
      </c>
      <c r="Q227" s="134">
        <f t="shared" si="17"/>
        <v>1730400</v>
      </c>
      <c r="R227" s="146">
        <v>1</v>
      </c>
      <c r="S227" s="136">
        <v>19899600</v>
      </c>
      <c r="T227" s="137" t="s">
        <v>747</v>
      </c>
      <c r="U227" s="148" t="s">
        <v>445</v>
      </c>
      <c r="V227" s="148" t="s">
        <v>64</v>
      </c>
      <c r="W227" s="153">
        <v>11.5</v>
      </c>
      <c r="X227" s="133">
        <v>75</v>
      </c>
      <c r="Y227" s="81">
        <v>43102</v>
      </c>
      <c r="Z227" s="154">
        <v>19899600</v>
      </c>
      <c r="AA227" s="140"/>
      <c r="AB227" s="141">
        <v>23</v>
      </c>
      <c r="AC227" s="150">
        <v>43102</v>
      </c>
      <c r="AD227" s="143">
        <v>19899600</v>
      </c>
      <c r="AE227" s="143">
        <f t="shared" si="12"/>
        <v>0</v>
      </c>
      <c r="AF227" s="133">
        <v>163</v>
      </c>
      <c r="AG227" s="81">
        <v>43118</v>
      </c>
      <c r="AH227" s="143">
        <v>19899600</v>
      </c>
      <c r="AI227" s="63" t="s">
        <v>773</v>
      </c>
      <c r="AJ227" s="63">
        <v>132</v>
      </c>
      <c r="AK227" s="143">
        <f t="shared" si="19"/>
        <v>0</v>
      </c>
      <c r="AL227" s="143">
        <v>12862640</v>
      </c>
      <c r="AM227" s="143">
        <f t="shared" si="14"/>
        <v>7036960</v>
      </c>
      <c r="AN227" s="133"/>
      <c r="AO227" s="144">
        <f t="shared" si="15"/>
        <v>0</v>
      </c>
      <c r="AP227" s="133"/>
      <c r="AQ227" s="150">
        <v>43102</v>
      </c>
      <c r="AR227" s="133" t="s">
        <v>739</v>
      </c>
      <c r="AS227" s="150">
        <v>43102</v>
      </c>
      <c r="AT227" s="133" t="s">
        <v>740</v>
      </c>
      <c r="AU227" s="220"/>
      <c r="AV227" s="220"/>
      <c r="AW227" s="220"/>
    </row>
    <row r="228" spans="1:49" s="221" customFormat="1" ht="399" x14ac:dyDescent="0.25">
      <c r="A228" s="63">
        <f t="shared" si="18"/>
        <v>41</v>
      </c>
      <c r="B228" s="128" t="str">
        <f t="shared" si="16"/>
        <v>208-41</v>
      </c>
      <c r="C228" s="129" t="s">
        <v>713</v>
      </c>
      <c r="D228" s="130" t="s">
        <v>714</v>
      </c>
      <c r="E228" s="131" t="s">
        <v>715</v>
      </c>
      <c r="F228" s="111" t="s">
        <v>52</v>
      </c>
      <c r="G228" s="145" t="s">
        <v>53</v>
      </c>
      <c r="H228" s="111" t="s">
        <v>733</v>
      </c>
      <c r="I228" s="111" t="s">
        <v>55</v>
      </c>
      <c r="J228" s="111" t="s">
        <v>56</v>
      </c>
      <c r="K228" s="63">
        <v>801116</v>
      </c>
      <c r="L228" s="111" t="s">
        <v>720</v>
      </c>
      <c r="M228" s="111" t="s">
        <v>58</v>
      </c>
      <c r="N228" s="111" t="s">
        <v>59</v>
      </c>
      <c r="O228" s="111" t="s">
        <v>728</v>
      </c>
      <c r="P228" s="227" t="s">
        <v>774</v>
      </c>
      <c r="Q228" s="134">
        <f t="shared" si="17"/>
        <v>463500</v>
      </c>
      <c r="R228" s="146">
        <v>1</v>
      </c>
      <c r="S228" s="136">
        <v>5330250</v>
      </c>
      <c r="T228" s="137" t="s">
        <v>747</v>
      </c>
      <c r="U228" s="148" t="s">
        <v>445</v>
      </c>
      <c r="V228" s="148" t="s">
        <v>64</v>
      </c>
      <c r="W228" s="153">
        <v>11.5</v>
      </c>
      <c r="X228" s="133">
        <v>74</v>
      </c>
      <c r="Y228" s="81">
        <v>43102</v>
      </c>
      <c r="Z228" s="154">
        <v>5330250</v>
      </c>
      <c r="AA228" s="140"/>
      <c r="AB228" s="141">
        <v>22</v>
      </c>
      <c r="AC228" s="150">
        <v>43102</v>
      </c>
      <c r="AD228" s="143">
        <v>5330250</v>
      </c>
      <c r="AE228" s="143">
        <f t="shared" si="12"/>
        <v>0</v>
      </c>
      <c r="AF228" s="133">
        <v>144</v>
      </c>
      <c r="AG228" s="81">
        <v>43117</v>
      </c>
      <c r="AH228" s="143">
        <v>5330250</v>
      </c>
      <c r="AI228" s="63" t="s">
        <v>775</v>
      </c>
      <c r="AJ228" s="63">
        <v>148</v>
      </c>
      <c r="AK228" s="143">
        <f t="shared" si="19"/>
        <v>0</v>
      </c>
      <c r="AL228" s="143">
        <v>3445350</v>
      </c>
      <c r="AM228" s="143">
        <f t="shared" si="14"/>
        <v>1884900</v>
      </c>
      <c r="AN228" s="133"/>
      <c r="AO228" s="144">
        <f t="shared" si="15"/>
        <v>0</v>
      </c>
      <c r="AP228" s="133"/>
      <c r="AQ228" s="150">
        <v>43102</v>
      </c>
      <c r="AR228" s="133" t="s">
        <v>739</v>
      </c>
      <c r="AS228" s="150">
        <v>43102</v>
      </c>
      <c r="AT228" s="133" t="s">
        <v>740</v>
      </c>
      <c r="AU228" s="220"/>
      <c r="AV228" s="220"/>
      <c r="AW228" s="220"/>
    </row>
    <row r="229" spans="1:49" s="221" customFormat="1" ht="370.5" x14ac:dyDescent="0.25">
      <c r="A229" s="63">
        <f t="shared" si="18"/>
        <v>42</v>
      </c>
      <c r="B229" s="128" t="str">
        <f t="shared" si="16"/>
        <v>208-42</v>
      </c>
      <c r="C229" s="129" t="s">
        <v>713</v>
      </c>
      <c r="D229" s="130" t="s">
        <v>714</v>
      </c>
      <c r="E229" s="145" t="s">
        <v>725</v>
      </c>
      <c r="F229" s="111" t="s">
        <v>52</v>
      </c>
      <c r="G229" s="145" t="s">
        <v>53</v>
      </c>
      <c r="H229" s="111" t="s">
        <v>733</v>
      </c>
      <c r="I229" s="111" t="s">
        <v>55</v>
      </c>
      <c r="J229" s="111" t="s">
        <v>56</v>
      </c>
      <c r="K229" s="63">
        <v>801116</v>
      </c>
      <c r="L229" s="111" t="s">
        <v>720</v>
      </c>
      <c r="M229" s="111" t="s">
        <v>58</v>
      </c>
      <c r="N229" s="111" t="s">
        <v>59</v>
      </c>
      <c r="O229" s="111" t="s">
        <v>728</v>
      </c>
      <c r="P229" s="227" t="s">
        <v>774</v>
      </c>
      <c r="Q229" s="134">
        <f t="shared" si="17"/>
        <v>1081500</v>
      </c>
      <c r="R229" s="146">
        <v>1</v>
      </c>
      <c r="S229" s="136">
        <v>12437250</v>
      </c>
      <c r="T229" s="137" t="s">
        <v>747</v>
      </c>
      <c r="U229" s="148" t="s">
        <v>445</v>
      </c>
      <c r="V229" s="148" t="s">
        <v>64</v>
      </c>
      <c r="W229" s="153">
        <v>11.5</v>
      </c>
      <c r="X229" s="133">
        <v>73</v>
      </c>
      <c r="Y229" s="81">
        <v>43102</v>
      </c>
      <c r="Z229" s="154">
        <v>12437250</v>
      </c>
      <c r="AA229" s="140"/>
      <c r="AB229" s="141">
        <v>22</v>
      </c>
      <c r="AC229" s="150">
        <v>43102</v>
      </c>
      <c r="AD229" s="143">
        <v>12437250</v>
      </c>
      <c r="AE229" s="143">
        <f t="shared" si="12"/>
        <v>0</v>
      </c>
      <c r="AF229" s="133">
        <v>144</v>
      </c>
      <c r="AG229" s="81">
        <v>43117</v>
      </c>
      <c r="AH229" s="143">
        <v>12437250</v>
      </c>
      <c r="AI229" s="63" t="s">
        <v>775</v>
      </c>
      <c r="AJ229" s="63">
        <v>148</v>
      </c>
      <c r="AK229" s="143">
        <f t="shared" si="19"/>
        <v>0</v>
      </c>
      <c r="AL229" s="143">
        <v>8039149.9999999991</v>
      </c>
      <c r="AM229" s="143">
        <f t="shared" si="14"/>
        <v>4398100.0000000009</v>
      </c>
      <c r="AN229" s="133"/>
      <c r="AO229" s="144">
        <f t="shared" si="15"/>
        <v>0</v>
      </c>
      <c r="AP229" s="133"/>
      <c r="AQ229" s="150">
        <v>43102</v>
      </c>
      <c r="AR229" s="133" t="s">
        <v>739</v>
      </c>
      <c r="AS229" s="150">
        <v>43102</v>
      </c>
      <c r="AT229" s="133" t="s">
        <v>740</v>
      </c>
      <c r="AU229" s="220"/>
      <c r="AV229" s="220"/>
      <c r="AW229" s="220"/>
    </row>
    <row r="230" spans="1:49" s="221" customFormat="1" ht="399" x14ac:dyDescent="0.25">
      <c r="A230" s="63">
        <f t="shared" si="18"/>
        <v>43</v>
      </c>
      <c r="B230" s="128" t="str">
        <f t="shared" si="16"/>
        <v>208-43</v>
      </c>
      <c r="C230" s="129" t="s">
        <v>713</v>
      </c>
      <c r="D230" s="130" t="s">
        <v>714</v>
      </c>
      <c r="E230" s="131" t="s">
        <v>715</v>
      </c>
      <c r="F230" s="111" t="s">
        <v>52</v>
      </c>
      <c r="G230" s="145" t="s">
        <v>53</v>
      </c>
      <c r="H230" s="111" t="s">
        <v>733</v>
      </c>
      <c r="I230" s="111" t="s">
        <v>55</v>
      </c>
      <c r="J230" s="111" t="s">
        <v>56</v>
      </c>
      <c r="K230" s="63">
        <v>801116</v>
      </c>
      <c r="L230" s="111" t="s">
        <v>720</v>
      </c>
      <c r="M230" s="111" t="s">
        <v>58</v>
      </c>
      <c r="N230" s="111" t="s">
        <v>59</v>
      </c>
      <c r="O230" s="111" t="s">
        <v>728</v>
      </c>
      <c r="P230" s="227" t="s">
        <v>774</v>
      </c>
      <c r="Q230" s="134">
        <f t="shared" si="17"/>
        <v>463500</v>
      </c>
      <c r="R230" s="146">
        <v>1</v>
      </c>
      <c r="S230" s="136">
        <v>5330250</v>
      </c>
      <c r="T230" s="137" t="s">
        <v>747</v>
      </c>
      <c r="U230" s="148" t="s">
        <v>445</v>
      </c>
      <c r="V230" s="148" t="s">
        <v>64</v>
      </c>
      <c r="W230" s="153">
        <v>11.5</v>
      </c>
      <c r="X230" s="133">
        <v>72</v>
      </c>
      <c r="Y230" s="81">
        <v>43102</v>
      </c>
      <c r="Z230" s="154">
        <v>5330250</v>
      </c>
      <c r="AA230" s="140"/>
      <c r="AB230" s="141">
        <v>20</v>
      </c>
      <c r="AC230" s="150">
        <v>43102</v>
      </c>
      <c r="AD230" s="143">
        <v>5330250</v>
      </c>
      <c r="AE230" s="143">
        <f t="shared" si="12"/>
        <v>0</v>
      </c>
      <c r="AF230" s="133">
        <v>168</v>
      </c>
      <c r="AG230" s="81">
        <v>43118</v>
      </c>
      <c r="AH230" s="143">
        <v>5330250</v>
      </c>
      <c r="AI230" s="63" t="s">
        <v>776</v>
      </c>
      <c r="AJ230" s="63">
        <v>129</v>
      </c>
      <c r="AK230" s="143">
        <f t="shared" si="19"/>
        <v>0</v>
      </c>
      <c r="AL230" s="143">
        <v>3445350</v>
      </c>
      <c r="AM230" s="143">
        <f t="shared" si="14"/>
        <v>1884900</v>
      </c>
      <c r="AN230" s="133"/>
      <c r="AO230" s="144">
        <f t="shared" si="15"/>
        <v>0</v>
      </c>
      <c r="AP230" s="133"/>
      <c r="AQ230" s="150">
        <v>43102</v>
      </c>
      <c r="AR230" s="133" t="s">
        <v>739</v>
      </c>
      <c r="AS230" s="150">
        <v>43102</v>
      </c>
      <c r="AT230" s="133" t="s">
        <v>740</v>
      </c>
      <c r="AU230" s="220"/>
      <c r="AV230" s="220"/>
      <c r="AW230" s="220"/>
    </row>
    <row r="231" spans="1:49" s="221" customFormat="1" ht="370.5" x14ac:dyDescent="0.25">
      <c r="A231" s="63">
        <f t="shared" si="18"/>
        <v>44</v>
      </c>
      <c r="B231" s="128" t="str">
        <f t="shared" si="16"/>
        <v>208-44</v>
      </c>
      <c r="C231" s="129" t="s">
        <v>713</v>
      </c>
      <c r="D231" s="130" t="s">
        <v>714</v>
      </c>
      <c r="E231" s="145" t="s">
        <v>725</v>
      </c>
      <c r="F231" s="111" t="s">
        <v>52</v>
      </c>
      <c r="G231" s="145" t="s">
        <v>53</v>
      </c>
      <c r="H231" s="111" t="s">
        <v>733</v>
      </c>
      <c r="I231" s="111" t="s">
        <v>55</v>
      </c>
      <c r="J231" s="111" t="s">
        <v>56</v>
      </c>
      <c r="K231" s="63">
        <v>801116</v>
      </c>
      <c r="L231" s="111" t="s">
        <v>720</v>
      </c>
      <c r="M231" s="111" t="s">
        <v>58</v>
      </c>
      <c r="N231" s="111" t="s">
        <v>59</v>
      </c>
      <c r="O231" s="111" t="s">
        <v>728</v>
      </c>
      <c r="P231" s="227" t="s">
        <v>774</v>
      </c>
      <c r="Q231" s="134">
        <f t="shared" si="17"/>
        <v>1081500</v>
      </c>
      <c r="R231" s="146">
        <v>1</v>
      </c>
      <c r="S231" s="136">
        <v>12437250</v>
      </c>
      <c r="T231" s="137" t="s">
        <v>747</v>
      </c>
      <c r="U231" s="148" t="s">
        <v>445</v>
      </c>
      <c r="V231" s="148" t="s">
        <v>64</v>
      </c>
      <c r="W231" s="153">
        <v>11.5</v>
      </c>
      <c r="X231" s="133">
        <v>71</v>
      </c>
      <c r="Y231" s="81">
        <v>43102</v>
      </c>
      <c r="Z231" s="154">
        <v>12437250</v>
      </c>
      <c r="AA231" s="140"/>
      <c r="AB231" s="141">
        <v>20</v>
      </c>
      <c r="AC231" s="150">
        <v>43102</v>
      </c>
      <c r="AD231" s="143">
        <v>12437250</v>
      </c>
      <c r="AE231" s="143">
        <f t="shared" si="12"/>
        <v>0</v>
      </c>
      <c r="AF231" s="133">
        <v>168</v>
      </c>
      <c r="AG231" s="81">
        <v>43118</v>
      </c>
      <c r="AH231" s="143">
        <v>12437250</v>
      </c>
      <c r="AI231" s="63" t="s">
        <v>776</v>
      </c>
      <c r="AJ231" s="63">
        <v>129</v>
      </c>
      <c r="AK231" s="143">
        <f t="shared" si="19"/>
        <v>0</v>
      </c>
      <c r="AL231" s="143">
        <v>8039149.9999999991</v>
      </c>
      <c r="AM231" s="143">
        <f t="shared" si="14"/>
        <v>4398100.0000000009</v>
      </c>
      <c r="AN231" s="133"/>
      <c r="AO231" s="144">
        <f t="shared" si="15"/>
        <v>0</v>
      </c>
      <c r="AP231" s="133"/>
      <c r="AQ231" s="150">
        <v>43102</v>
      </c>
      <c r="AR231" s="133" t="s">
        <v>739</v>
      </c>
      <c r="AS231" s="150">
        <v>43102</v>
      </c>
      <c r="AT231" s="133" t="s">
        <v>740</v>
      </c>
      <c r="AU231" s="220"/>
      <c r="AV231" s="220"/>
      <c r="AW231" s="220"/>
    </row>
    <row r="232" spans="1:49" s="221" customFormat="1" ht="399" x14ac:dyDescent="0.25">
      <c r="A232" s="63">
        <f t="shared" si="18"/>
        <v>45</v>
      </c>
      <c r="B232" s="128" t="str">
        <f t="shared" si="16"/>
        <v>208-45</v>
      </c>
      <c r="C232" s="129" t="s">
        <v>713</v>
      </c>
      <c r="D232" s="130" t="s">
        <v>714</v>
      </c>
      <c r="E232" s="131" t="s">
        <v>715</v>
      </c>
      <c r="F232" s="111" t="s">
        <v>52</v>
      </c>
      <c r="G232" s="145" t="s">
        <v>53</v>
      </c>
      <c r="H232" s="111" t="s">
        <v>733</v>
      </c>
      <c r="I232" s="111" t="s">
        <v>55</v>
      </c>
      <c r="J232" s="111" t="s">
        <v>56</v>
      </c>
      <c r="K232" s="63">
        <v>801116</v>
      </c>
      <c r="L232" s="111" t="s">
        <v>720</v>
      </c>
      <c r="M232" s="111" t="s">
        <v>58</v>
      </c>
      <c r="N232" s="111" t="s">
        <v>59</v>
      </c>
      <c r="O232" s="111" t="s">
        <v>728</v>
      </c>
      <c r="P232" s="227" t="s">
        <v>774</v>
      </c>
      <c r="Q232" s="134">
        <f t="shared" si="17"/>
        <v>463500</v>
      </c>
      <c r="R232" s="146">
        <v>1</v>
      </c>
      <c r="S232" s="136">
        <v>5330250</v>
      </c>
      <c r="T232" s="137" t="s">
        <v>747</v>
      </c>
      <c r="U232" s="148" t="s">
        <v>445</v>
      </c>
      <c r="V232" s="148" t="s">
        <v>64</v>
      </c>
      <c r="W232" s="153">
        <v>11.5</v>
      </c>
      <c r="X232" s="133">
        <v>70</v>
      </c>
      <c r="Y232" s="81">
        <v>43102</v>
      </c>
      <c r="Z232" s="154">
        <v>5330250</v>
      </c>
      <c r="AA232" s="140"/>
      <c r="AB232" s="141">
        <v>19</v>
      </c>
      <c r="AC232" s="150">
        <v>43102</v>
      </c>
      <c r="AD232" s="143">
        <v>5330250</v>
      </c>
      <c r="AE232" s="143">
        <f t="shared" si="12"/>
        <v>0</v>
      </c>
      <c r="AF232" s="133">
        <v>167</v>
      </c>
      <c r="AG232" s="81">
        <v>43118</v>
      </c>
      <c r="AH232" s="143">
        <v>5330250</v>
      </c>
      <c r="AI232" s="63" t="s">
        <v>777</v>
      </c>
      <c r="AJ232" s="63">
        <v>130</v>
      </c>
      <c r="AK232" s="143">
        <f t="shared" si="19"/>
        <v>0</v>
      </c>
      <c r="AL232" s="143">
        <v>2518350</v>
      </c>
      <c r="AM232" s="143">
        <f t="shared" si="14"/>
        <v>2811900</v>
      </c>
      <c r="AN232" s="133"/>
      <c r="AO232" s="144">
        <f t="shared" si="15"/>
        <v>0</v>
      </c>
      <c r="AP232" s="133"/>
      <c r="AQ232" s="150">
        <v>43102</v>
      </c>
      <c r="AR232" s="133" t="s">
        <v>739</v>
      </c>
      <c r="AS232" s="150">
        <v>43102</v>
      </c>
      <c r="AT232" s="133" t="s">
        <v>740</v>
      </c>
      <c r="AU232" s="220"/>
      <c r="AV232" s="220"/>
      <c r="AW232" s="220"/>
    </row>
    <row r="233" spans="1:49" s="221" customFormat="1" ht="370.5" x14ac:dyDescent="0.25">
      <c r="A233" s="63">
        <f t="shared" si="18"/>
        <v>46</v>
      </c>
      <c r="B233" s="128" t="str">
        <f t="shared" si="16"/>
        <v>208-46</v>
      </c>
      <c r="C233" s="129" t="s">
        <v>713</v>
      </c>
      <c r="D233" s="130" t="s">
        <v>714</v>
      </c>
      <c r="E233" s="145" t="s">
        <v>725</v>
      </c>
      <c r="F233" s="111" t="s">
        <v>52</v>
      </c>
      <c r="G233" s="145" t="s">
        <v>53</v>
      </c>
      <c r="H233" s="111" t="s">
        <v>733</v>
      </c>
      <c r="I233" s="111" t="s">
        <v>55</v>
      </c>
      <c r="J233" s="111" t="s">
        <v>56</v>
      </c>
      <c r="K233" s="63">
        <v>801116</v>
      </c>
      <c r="L233" s="111" t="s">
        <v>720</v>
      </c>
      <c r="M233" s="111" t="s">
        <v>58</v>
      </c>
      <c r="N233" s="111" t="s">
        <v>59</v>
      </c>
      <c r="O233" s="111" t="s">
        <v>728</v>
      </c>
      <c r="P233" s="227" t="s">
        <v>774</v>
      </c>
      <c r="Q233" s="134">
        <f t="shared" si="17"/>
        <v>1081500</v>
      </c>
      <c r="R233" s="146">
        <v>1</v>
      </c>
      <c r="S233" s="136">
        <v>12437250</v>
      </c>
      <c r="T233" s="137" t="s">
        <v>747</v>
      </c>
      <c r="U233" s="148" t="s">
        <v>445</v>
      </c>
      <c r="V233" s="148" t="s">
        <v>64</v>
      </c>
      <c r="W233" s="153">
        <v>11.5</v>
      </c>
      <c r="X233" s="133">
        <v>69</v>
      </c>
      <c r="Y233" s="81">
        <v>43102</v>
      </c>
      <c r="Z233" s="154">
        <v>12437250</v>
      </c>
      <c r="AA233" s="140"/>
      <c r="AB233" s="141">
        <v>19</v>
      </c>
      <c r="AC233" s="150">
        <v>43102</v>
      </c>
      <c r="AD233" s="143">
        <v>12437250</v>
      </c>
      <c r="AE233" s="143">
        <f t="shared" si="12"/>
        <v>0</v>
      </c>
      <c r="AF233" s="133">
        <v>167</v>
      </c>
      <c r="AG233" s="81">
        <v>43118</v>
      </c>
      <c r="AH233" s="143">
        <v>12437250</v>
      </c>
      <c r="AI233" s="63" t="s">
        <v>777</v>
      </c>
      <c r="AJ233" s="63">
        <v>130</v>
      </c>
      <c r="AK233" s="143">
        <f t="shared" si="19"/>
        <v>0</v>
      </c>
      <c r="AL233" s="143">
        <v>5876150</v>
      </c>
      <c r="AM233" s="143">
        <f t="shared" si="14"/>
        <v>6561100</v>
      </c>
      <c r="AN233" s="133"/>
      <c r="AO233" s="144">
        <f t="shared" si="15"/>
        <v>0</v>
      </c>
      <c r="AP233" s="133"/>
      <c r="AQ233" s="150">
        <v>43102</v>
      </c>
      <c r="AR233" s="133" t="s">
        <v>739</v>
      </c>
      <c r="AS233" s="150">
        <v>43102</v>
      </c>
      <c r="AT233" s="133" t="s">
        <v>740</v>
      </c>
      <c r="AU233" s="220"/>
      <c r="AV233" s="220"/>
      <c r="AW233" s="220"/>
    </row>
    <row r="234" spans="1:49" s="221" customFormat="1" ht="399" x14ac:dyDescent="0.25">
      <c r="A234" s="63">
        <f t="shared" si="18"/>
        <v>47</v>
      </c>
      <c r="B234" s="128" t="str">
        <f t="shared" si="16"/>
        <v>208-47</v>
      </c>
      <c r="C234" s="129" t="s">
        <v>713</v>
      </c>
      <c r="D234" s="130" t="s">
        <v>714</v>
      </c>
      <c r="E234" s="131" t="s">
        <v>715</v>
      </c>
      <c r="F234" s="111" t="s">
        <v>52</v>
      </c>
      <c r="G234" s="145" t="s">
        <v>53</v>
      </c>
      <c r="H234" s="111" t="s">
        <v>733</v>
      </c>
      <c r="I234" s="111" t="s">
        <v>55</v>
      </c>
      <c r="J234" s="111" t="s">
        <v>56</v>
      </c>
      <c r="K234" s="63">
        <v>801116</v>
      </c>
      <c r="L234" s="111" t="s">
        <v>720</v>
      </c>
      <c r="M234" s="111" t="s">
        <v>58</v>
      </c>
      <c r="N234" s="111" t="s">
        <v>59</v>
      </c>
      <c r="O234" s="111" t="s">
        <v>728</v>
      </c>
      <c r="P234" s="227" t="s">
        <v>774</v>
      </c>
      <c r="Q234" s="134">
        <f t="shared" si="17"/>
        <v>463500</v>
      </c>
      <c r="R234" s="146">
        <v>1</v>
      </c>
      <c r="S234" s="136">
        <v>5330250</v>
      </c>
      <c r="T234" s="137" t="s">
        <v>747</v>
      </c>
      <c r="U234" s="148" t="s">
        <v>445</v>
      </c>
      <c r="V234" s="148" t="s">
        <v>64</v>
      </c>
      <c r="W234" s="153">
        <v>11.5</v>
      </c>
      <c r="X234" s="133">
        <v>68</v>
      </c>
      <c r="Y234" s="81">
        <v>43102</v>
      </c>
      <c r="Z234" s="154">
        <v>5330250</v>
      </c>
      <c r="AA234" s="140"/>
      <c r="AB234" s="141">
        <v>17</v>
      </c>
      <c r="AC234" s="150">
        <v>43102</v>
      </c>
      <c r="AD234" s="143">
        <v>5330250</v>
      </c>
      <c r="AE234" s="143">
        <f t="shared" si="12"/>
        <v>0</v>
      </c>
      <c r="AF234" s="133">
        <v>451</v>
      </c>
      <c r="AG234" s="81">
        <v>43125</v>
      </c>
      <c r="AH234" s="143">
        <v>5330250</v>
      </c>
      <c r="AI234" s="63" t="s">
        <v>778</v>
      </c>
      <c r="AJ234" s="63">
        <v>381</v>
      </c>
      <c r="AK234" s="143">
        <f t="shared" si="19"/>
        <v>0</v>
      </c>
      <c r="AL234" s="143">
        <v>3321750</v>
      </c>
      <c r="AM234" s="143">
        <f t="shared" si="14"/>
        <v>2008500</v>
      </c>
      <c r="AN234" s="133"/>
      <c r="AO234" s="144">
        <f t="shared" si="15"/>
        <v>0</v>
      </c>
      <c r="AP234" s="133"/>
      <c r="AQ234" s="150">
        <v>43102</v>
      </c>
      <c r="AR234" s="133" t="s">
        <v>739</v>
      </c>
      <c r="AS234" s="150">
        <v>43102</v>
      </c>
      <c r="AT234" s="133" t="s">
        <v>740</v>
      </c>
      <c r="AU234" s="220"/>
      <c r="AV234" s="220"/>
      <c r="AW234" s="220"/>
    </row>
    <row r="235" spans="1:49" s="221" customFormat="1" ht="370.5" x14ac:dyDescent="0.25">
      <c r="A235" s="63">
        <f t="shared" si="18"/>
        <v>48</v>
      </c>
      <c r="B235" s="128" t="str">
        <f t="shared" si="16"/>
        <v>208-48</v>
      </c>
      <c r="C235" s="129" t="s">
        <v>713</v>
      </c>
      <c r="D235" s="130" t="s">
        <v>714</v>
      </c>
      <c r="E235" s="145" t="s">
        <v>725</v>
      </c>
      <c r="F235" s="111" t="s">
        <v>52</v>
      </c>
      <c r="G235" s="145" t="s">
        <v>53</v>
      </c>
      <c r="H235" s="111" t="s">
        <v>733</v>
      </c>
      <c r="I235" s="111" t="s">
        <v>55</v>
      </c>
      <c r="J235" s="111" t="s">
        <v>56</v>
      </c>
      <c r="K235" s="63">
        <v>801116</v>
      </c>
      <c r="L235" s="111" t="s">
        <v>720</v>
      </c>
      <c r="M235" s="111" t="s">
        <v>58</v>
      </c>
      <c r="N235" s="111" t="s">
        <v>59</v>
      </c>
      <c r="O235" s="111" t="s">
        <v>728</v>
      </c>
      <c r="P235" s="227" t="s">
        <v>774</v>
      </c>
      <c r="Q235" s="134">
        <f t="shared" si="17"/>
        <v>1081500</v>
      </c>
      <c r="R235" s="146">
        <v>1</v>
      </c>
      <c r="S235" s="136">
        <v>12437250</v>
      </c>
      <c r="T235" s="137" t="s">
        <v>747</v>
      </c>
      <c r="U235" s="148" t="s">
        <v>445</v>
      </c>
      <c r="V235" s="148" t="s">
        <v>64</v>
      </c>
      <c r="W235" s="153">
        <v>11.5</v>
      </c>
      <c r="X235" s="133">
        <v>67</v>
      </c>
      <c r="Y235" s="81">
        <v>43102</v>
      </c>
      <c r="Z235" s="154">
        <v>12437250</v>
      </c>
      <c r="AA235" s="140"/>
      <c r="AB235" s="141">
        <v>17</v>
      </c>
      <c r="AC235" s="150">
        <v>43102</v>
      </c>
      <c r="AD235" s="143">
        <v>12437250</v>
      </c>
      <c r="AE235" s="143">
        <f t="shared" si="12"/>
        <v>0</v>
      </c>
      <c r="AF235" s="133">
        <v>451</v>
      </c>
      <c r="AG235" s="81">
        <v>43125</v>
      </c>
      <c r="AH235" s="143">
        <v>12437250</v>
      </c>
      <c r="AI235" s="63" t="s">
        <v>778</v>
      </c>
      <c r="AJ235" s="63">
        <v>381</v>
      </c>
      <c r="AK235" s="143">
        <f t="shared" si="19"/>
        <v>0</v>
      </c>
      <c r="AL235" s="143">
        <v>7750749.9999999991</v>
      </c>
      <c r="AM235" s="143">
        <f t="shared" si="14"/>
        <v>4686500.0000000009</v>
      </c>
      <c r="AN235" s="133"/>
      <c r="AO235" s="144">
        <f t="shared" si="15"/>
        <v>0</v>
      </c>
      <c r="AP235" s="133"/>
      <c r="AQ235" s="150">
        <v>43102</v>
      </c>
      <c r="AR235" s="133" t="s">
        <v>739</v>
      </c>
      <c r="AS235" s="150">
        <v>43102</v>
      </c>
      <c r="AT235" s="133" t="s">
        <v>740</v>
      </c>
      <c r="AU235" s="220"/>
      <c r="AV235" s="220"/>
      <c r="AW235" s="220"/>
    </row>
    <row r="236" spans="1:49" s="221" customFormat="1" ht="399" x14ac:dyDescent="0.25">
      <c r="A236" s="63">
        <f t="shared" si="18"/>
        <v>49</v>
      </c>
      <c r="B236" s="128" t="str">
        <f t="shared" si="16"/>
        <v>208-49</v>
      </c>
      <c r="C236" s="129" t="s">
        <v>713</v>
      </c>
      <c r="D236" s="130" t="s">
        <v>714</v>
      </c>
      <c r="E236" s="131" t="s">
        <v>715</v>
      </c>
      <c r="F236" s="111" t="s">
        <v>52</v>
      </c>
      <c r="G236" s="145" t="s">
        <v>53</v>
      </c>
      <c r="H236" s="111" t="s">
        <v>733</v>
      </c>
      <c r="I236" s="111" t="s">
        <v>55</v>
      </c>
      <c r="J236" s="111" t="s">
        <v>56</v>
      </c>
      <c r="K236" s="63">
        <v>801116</v>
      </c>
      <c r="L236" s="111" t="s">
        <v>720</v>
      </c>
      <c r="M236" s="111" t="s">
        <v>58</v>
      </c>
      <c r="N236" s="111" t="s">
        <v>59</v>
      </c>
      <c r="O236" s="111" t="s">
        <v>728</v>
      </c>
      <c r="P236" s="227" t="s">
        <v>774</v>
      </c>
      <c r="Q236" s="134">
        <f t="shared" si="17"/>
        <v>463500</v>
      </c>
      <c r="R236" s="146">
        <v>1</v>
      </c>
      <c r="S236" s="136">
        <v>5330250</v>
      </c>
      <c r="T236" s="137" t="s">
        <v>747</v>
      </c>
      <c r="U236" s="148" t="s">
        <v>445</v>
      </c>
      <c r="V236" s="148" t="s">
        <v>64</v>
      </c>
      <c r="W236" s="153">
        <v>11.5</v>
      </c>
      <c r="X236" s="133">
        <v>66</v>
      </c>
      <c r="Y236" s="81">
        <v>43102</v>
      </c>
      <c r="Z236" s="154">
        <v>5330250</v>
      </c>
      <c r="AA236" s="140"/>
      <c r="AB236" s="141">
        <v>15</v>
      </c>
      <c r="AC236" s="150">
        <v>43102</v>
      </c>
      <c r="AD236" s="143">
        <v>5330250</v>
      </c>
      <c r="AE236" s="143">
        <f t="shared" si="12"/>
        <v>0</v>
      </c>
      <c r="AF236" s="133">
        <v>502</v>
      </c>
      <c r="AG236" s="63" t="s">
        <v>779</v>
      </c>
      <c r="AH236" s="143">
        <v>5330250</v>
      </c>
      <c r="AI236" s="63" t="s">
        <v>780</v>
      </c>
      <c r="AJ236" s="63">
        <v>413</v>
      </c>
      <c r="AK236" s="143">
        <f t="shared" si="19"/>
        <v>0</v>
      </c>
      <c r="AL236" s="143">
        <v>3275400</v>
      </c>
      <c r="AM236" s="143">
        <f t="shared" si="14"/>
        <v>2054850</v>
      </c>
      <c r="AN236" s="133"/>
      <c r="AO236" s="144">
        <f t="shared" si="15"/>
        <v>0</v>
      </c>
      <c r="AP236" s="133"/>
      <c r="AQ236" s="150">
        <v>43102</v>
      </c>
      <c r="AR236" s="133" t="s">
        <v>739</v>
      </c>
      <c r="AS236" s="150">
        <v>43102</v>
      </c>
      <c r="AT236" s="133" t="s">
        <v>740</v>
      </c>
      <c r="AU236" s="220"/>
      <c r="AV236" s="220"/>
      <c r="AW236" s="220"/>
    </row>
    <row r="237" spans="1:49" s="221" customFormat="1" ht="370.5" x14ac:dyDescent="0.25">
      <c r="A237" s="63">
        <f t="shared" si="18"/>
        <v>50</v>
      </c>
      <c r="B237" s="128" t="str">
        <f t="shared" si="16"/>
        <v>208-50</v>
      </c>
      <c r="C237" s="129" t="s">
        <v>713</v>
      </c>
      <c r="D237" s="130" t="s">
        <v>714</v>
      </c>
      <c r="E237" s="145" t="s">
        <v>725</v>
      </c>
      <c r="F237" s="111" t="s">
        <v>52</v>
      </c>
      <c r="G237" s="145" t="s">
        <v>53</v>
      </c>
      <c r="H237" s="111" t="s">
        <v>733</v>
      </c>
      <c r="I237" s="111" t="s">
        <v>55</v>
      </c>
      <c r="J237" s="111" t="s">
        <v>56</v>
      </c>
      <c r="K237" s="63">
        <v>801116</v>
      </c>
      <c r="L237" s="111" t="s">
        <v>720</v>
      </c>
      <c r="M237" s="111" t="s">
        <v>58</v>
      </c>
      <c r="N237" s="111" t="s">
        <v>59</v>
      </c>
      <c r="O237" s="111" t="s">
        <v>728</v>
      </c>
      <c r="P237" s="227" t="s">
        <v>774</v>
      </c>
      <c r="Q237" s="134">
        <f t="shared" si="17"/>
        <v>1081500</v>
      </c>
      <c r="R237" s="146">
        <v>1</v>
      </c>
      <c r="S237" s="136">
        <v>12437250</v>
      </c>
      <c r="T237" s="137" t="s">
        <v>747</v>
      </c>
      <c r="U237" s="148" t="s">
        <v>445</v>
      </c>
      <c r="V237" s="148" t="s">
        <v>64</v>
      </c>
      <c r="W237" s="153">
        <v>11.5</v>
      </c>
      <c r="X237" s="133">
        <v>65</v>
      </c>
      <c r="Y237" s="81">
        <v>43102</v>
      </c>
      <c r="Z237" s="154">
        <v>12437250</v>
      </c>
      <c r="AA237" s="140"/>
      <c r="AB237" s="141">
        <v>15</v>
      </c>
      <c r="AC237" s="150">
        <v>43102</v>
      </c>
      <c r="AD237" s="143">
        <v>12437250</v>
      </c>
      <c r="AE237" s="143">
        <f t="shared" si="12"/>
        <v>0</v>
      </c>
      <c r="AF237" s="133">
        <v>502</v>
      </c>
      <c r="AG237" s="63" t="s">
        <v>779</v>
      </c>
      <c r="AH237" s="143">
        <v>12437250</v>
      </c>
      <c r="AI237" s="63" t="s">
        <v>780</v>
      </c>
      <c r="AJ237" s="63">
        <v>413</v>
      </c>
      <c r="AK237" s="143">
        <f t="shared" si="19"/>
        <v>0</v>
      </c>
      <c r="AL237" s="143">
        <v>7642599.9999999991</v>
      </c>
      <c r="AM237" s="143">
        <f t="shared" si="14"/>
        <v>4794650.0000000009</v>
      </c>
      <c r="AN237" s="133"/>
      <c r="AO237" s="144">
        <f t="shared" si="15"/>
        <v>0</v>
      </c>
      <c r="AP237" s="133"/>
      <c r="AQ237" s="150">
        <v>43102</v>
      </c>
      <c r="AR237" s="133" t="s">
        <v>739</v>
      </c>
      <c r="AS237" s="150">
        <v>43102</v>
      </c>
      <c r="AT237" s="133" t="s">
        <v>740</v>
      </c>
      <c r="AU237" s="220"/>
      <c r="AV237" s="220"/>
      <c r="AW237" s="220"/>
    </row>
    <row r="238" spans="1:49" s="221" customFormat="1" ht="399" x14ac:dyDescent="0.25">
      <c r="A238" s="63">
        <f t="shared" si="18"/>
        <v>51</v>
      </c>
      <c r="B238" s="128" t="str">
        <f t="shared" si="16"/>
        <v>208-51</v>
      </c>
      <c r="C238" s="129" t="s">
        <v>713</v>
      </c>
      <c r="D238" s="130" t="s">
        <v>714</v>
      </c>
      <c r="E238" s="131" t="s">
        <v>715</v>
      </c>
      <c r="F238" s="111" t="s">
        <v>52</v>
      </c>
      <c r="G238" s="145" t="s">
        <v>53</v>
      </c>
      <c r="H238" s="111" t="s">
        <v>733</v>
      </c>
      <c r="I238" s="111" t="s">
        <v>55</v>
      </c>
      <c r="J238" s="111" t="s">
        <v>56</v>
      </c>
      <c r="K238" s="63">
        <v>801116</v>
      </c>
      <c r="L238" s="111" t="s">
        <v>720</v>
      </c>
      <c r="M238" s="111" t="s">
        <v>58</v>
      </c>
      <c r="N238" s="111" t="s">
        <v>59</v>
      </c>
      <c r="O238" s="111" t="s">
        <v>728</v>
      </c>
      <c r="P238" s="227" t="s">
        <v>774</v>
      </c>
      <c r="Q238" s="134">
        <f t="shared" si="17"/>
        <v>463500</v>
      </c>
      <c r="R238" s="146">
        <v>1</v>
      </c>
      <c r="S238" s="136">
        <v>5330250</v>
      </c>
      <c r="T238" s="137" t="s">
        <v>747</v>
      </c>
      <c r="U238" s="148" t="s">
        <v>445</v>
      </c>
      <c r="V238" s="148" t="s">
        <v>64</v>
      </c>
      <c r="W238" s="153">
        <v>11.5</v>
      </c>
      <c r="X238" s="133">
        <v>64</v>
      </c>
      <c r="Y238" s="81">
        <v>43102</v>
      </c>
      <c r="Z238" s="154">
        <v>5330250</v>
      </c>
      <c r="AA238" s="140"/>
      <c r="AB238" s="141">
        <v>14</v>
      </c>
      <c r="AC238" s="150">
        <v>43102</v>
      </c>
      <c r="AD238" s="143">
        <v>5330250</v>
      </c>
      <c r="AE238" s="143">
        <f t="shared" si="12"/>
        <v>0</v>
      </c>
      <c r="AF238" s="133">
        <v>160</v>
      </c>
      <c r="AG238" s="81">
        <v>43118</v>
      </c>
      <c r="AH238" s="143">
        <v>5330250</v>
      </c>
      <c r="AI238" s="63" t="s">
        <v>781</v>
      </c>
      <c r="AJ238" s="63">
        <v>133</v>
      </c>
      <c r="AK238" s="143">
        <f t="shared" si="19"/>
        <v>0</v>
      </c>
      <c r="AL238" s="143">
        <v>3445350</v>
      </c>
      <c r="AM238" s="143">
        <f t="shared" si="14"/>
        <v>1884900</v>
      </c>
      <c r="AN238" s="133"/>
      <c r="AO238" s="144">
        <f t="shared" si="15"/>
        <v>0</v>
      </c>
      <c r="AP238" s="133"/>
      <c r="AQ238" s="150">
        <v>43102</v>
      </c>
      <c r="AR238" s="133" t="s">
        <v>739</v>
      </c>
      <c r="AS238" s="150">
        <v>43102</v>
      </c>
      <c r="AT238" s="133" t="s">
        <v>740</v>
      </c>
      <c r="AU238" s="220"/>
      <c r="AV238" s="220"/>
      <c r="AW238" s="220"/>
    </row>
    <row r="239" spans="1:49" s="221" customFormat="1" ht="370.5" x14ac:dyDescent="0.25">
      <c r="A239" s="63">
        <f t="shared" si="18"/>
        <v>52</v>
      </c>
      <c r="B239" s="128" t="str">
        <f t="shared" si="16"/>
        <v>208-52</v>
      </c>
      <c r="C239" s="129" t="s">
        <v>713</v>
      </c>
      <c r="D239" s="130" t="s">
        <v>714</v>
      </c>
      <c r="E239" s="145" t="s">
        <v>725</v>
      </c>
      <c r="F239" s="111" t="s">
        <v>52</v>
      </c>
      <c r="G239" s="145" t="s">
        <v>53</v>
      </c>
      <c r="H239" s="111" t="s">
        <v>733</v>
      </c>
      <c r="I239" s="111" t="s">
        <v>55</v>
      </c>
      <c r="J239" s="111" t="s">
        <v>56</v>
      </c>
      <c r="K239" s="63">
        <v>801116</v>
      </c>
      <c r="L239" s="111" t="s">
        <v>720</v>
      </c>
      <c r="M239" s="111" t="s">
        <v>58</v>
      </c>
      <c r="N239" s="111" t="s">
        <v>59</v>
      </c>
      <c r="O239" s="111" t="s">
        <v>728</v>
      </c>
      <c r="P239" s="227" t="s">
        <v>774</v>
      </c>
      <c r="Q239" s="134">
        <f t="shared" si="17"/>
        <v>1081500</v>
      </c>
      <c r="R239" s="146">
        <v>1</v>
      </c>
      <c r="S239" s="136">
        <v>12437250</v>
      </c>
      <c r="T239" s="137" t="s">
        <v>747</v>
      </c>
      <c r="U239" s="148" t="s">
        <v>445</v>
      </c>
      <c r="V239" s="148" t="s">
        <v>64</v>
      </c>
      <c r="W239" s="153">
        <v>11.5</v>
      </c>
      <c r="X239" s="133">
        <v>63</v>
      </c>
      <c r="Y239" s="81">
        <v>43102</v>
      </c>
      <c r="Z239" s="154">
        <v>12437250</v>
      </c>
      <c r="AA239" s="140"/>
      <c r="AB239" s="141">
        <v>14</v>
      </c>
      <c r="AC239" s="150">
        <v>43102</v>
      </c>
      <c r="AD239" s="143">
        <v>12437250</v>
      </c>
      <c r="AE239" s="143">
        <f t="shared" si="12"/>
        <v>0</v>
      </c>
      <c r="AF239" s="133">
        <v>160</v>
      </c>
      <c r="AG239" s="81">
        <v>43118</v>
      </c>
      <c r="AH239" s="143">
        <v>12437250</v>
      </c>
      <c r="AI239" s="63" t="s">
        <v>781</v>
      </c>
      <c r="AJ239" s="63">
        <v>133</v>
      </c>
      <c r="AK239" s="143">
        <f t="shared" si="19"/>
        <v>0</v>
      </c>
      <c r="AL239" s="143">
        <v>8039149.9999999991</v>
      </c>
      <c r="AM239" s="143">
        <f t="shared" si="14"/>
        <v>4398100.0000000009</v>
      </c>
      <c r="AN239" s="133"/>
      <c r="AO239" s="144">
        <f t="shared" si="15"/>
        <v>0</v>
      </c>
      <c r="AP239" s="133"/>
      <c r="AQ239" s="150">
        <v>43102</v>
      </c>
      <c r="AR239" s="133" t="s">
        <v>739</v>
      </c>
      <c r="AS239" s="150">
        <v>43102</v>
      </c>
      <c r="AT239" s="133" t="s">
        <v>740</v>
      </c>
      <c r="AU239" s="220"/>
      <c r="AV239" s="220"/>
      <c r="AW239" s="220"/>
    </row>
    <row r="240" spans="1:49" s="221" customFormat="1" ht="399" x14ac:dyDescent="0.25">
      <c r="A240" s="63">
        <f t="shared" si="18"/>
        <v>53</v>
      </c>
      <c r="B240" s="128" t="str">
        <f t="shared" si="16"/>
        <v>208-53</v>
      </c>
      <c r="C240" s="129" t="s">
        <v>713</v>
      </c>
      <c r="D240" s="130" t="s">
        <v>714</v>
      </c>
      <c r="E240" s="131" t="s">
        <v>715</v>
      </c>
      <c r="F240" s="111" t="s">
        <v>52</v>
      </c>
      <c r="G240" s="145" t="s">
        <v>53</v>
      </c>
      <c r="H240" s="111" t="s">
        <v>733</v>
      </c>
      <c r="I240" s="111" t="s">
        <v>55</v>
      </c>
      <c r="J240" s="111" t="s">
        <v>56</v>
      </c>
      <c r="K240" s="63">
        <v>801116</v>
      </c>
      <c r="L240" s="111" t="s">
        <v>720</v>
      </c>
      <c r="M240" s="111" t="s">
        <v>58</v>
      </c>
      <c r="N240" s="111" t="s">
        <v>59</v>
      </c>
      <c r="O240" s="111" t="s">
        <v>728</v>
      </c>
      <c r="P240" s="227" t="s">
        <v>782</v>
      </c>
      <c r="Q240" s="134">
        <f t="shared" si="17"/>
        <v>1066050</v>
      </c>
      <c r="R240" s="146">
        <v>1</v>
      </c>
      <c r="S240" s="136">
        <v>12259575</v>
      </c>
      <c r="T240" s="137" t="s">
        <v>747</v>
      </c>
      <c r="U240" s="148" t="s">
        <v>445</v>
      </c>
      <c r="V240" s="148" t="s">
        <v>64</v>
      </c>
      <c r="W240" s="153">
        <v>11.5</v>
      </c>
      <c r="X240" s="133">
        <v>62</v>
      </c>
      <c r="Y240" s="81">
        <v>43102</v>
      </c>
      <c r="Z240" s="154">
        <v>12259575</v>
      </c>
      <c r="AA240" s="140"/>
      <c r="AB240" s="141">
        <v>12</v>
      </c>
      <c r="AC240" s="150">
        <v>43102</v>
      </c>
      <c r="AD240" s="143">
        <v>12259575</v>
      </c>
      <c r="AE240" s="143">
        <f t="shared" si="12"/>
        <v>0</v>
      </c>
      <c r="AF240" s="156">
        <v>180</v>
      </c>
      <c r="AG240" s="150">
        <v>43118</v>
      </c>
      <c r="AH240" s="143">
        <v>12259575</v>
      </c>
      <c r="AI240" s="63" t="s">
        <v>783</v>
      </c>
      <c r="AJ240" s="63">
        <v>180</v>
      </c>
      <c r="AK240" s="143">
        <f t="shared" si="19"/>
        <v>0</v>
      </c>
      <c r="AL240" s="143">
        <v>7924305</v>
      </c>
      <c r="AM240" s="143">
        <f t="shared" si="14"/>
        <v>4335270</v>
      </c>
      <c r="AN240" s="133"/>
      <c r="AO240" s="144">
        <f t="shared" si="15"/>
        <v>0</v>
      </c>
      <c r="AP240" s="133"/>
      <c r="AQ240" s="150">
        <v>43102</v>
      </c>
      <c r="AR240" s="133" t="s">
        <v>739</v>
      </c>
      <c r="AS240" s="150">
        <v>43102</v>
      </c>
      <c r="AT240" s="133" t="s">
        <v>740</v>
      </c>
      <c r="AU240" s="220"/>
      <c r="AV240" s="220"/>
      <c r="AW240" s="220"/>
    </row>
    <row r="241" spans="1:49" s="221" customFormat="1" ht="370.5" x14ac:dyDescent="0.25">
      <c r="A241" s="63">
        <f t="shared" si="18"/>
        <v>54</v>
      </c>
      <c r="B241" s="128" t="str">
        <f t="shared" si="16"/>
        <v>208-54</v>
      </c>
      <c r="C241" s="129" t="s">
        <v>713</v>
      </c>
      <c r="D241" s="130" t="s">
        <v>714</v>
      </c>
      <c r="E241" s="145" t="s">
        <v>725</v>
      </c>
      <c r="F241" s="111" t="s">
        <v>52</v>
      </c>
      <c r="G241" s="145" t="s">
        <v>53</v>
      </c>
      <c r="H241" s="111" t="s">
        <v>733</v>
      </c>
      <c r="I241" s="111" t="s">
        <v>55</v>
      </c>
      <c r="J241" s="111" t="s">
        <v>56</v>
      </c>
      <c r="K241" s="63">
        <v>801116</v>
      </c>
      <c r="L241" s="111" t="s">
        <v>720</v>
      </c>
      <c r="M241" s="111" t="s">
        <v>58</v>
      </c>
      <c r="N241" s="111" t="s">
        <v>59</v>
      </c>
      <c r="O241" s="111" t="s">
        <v>728</v>
      </c>
      <c r="P241" s="227" t="s">
        <v>782</v>
      </c>
      <c r="Q241" s="134">
        <f t="shared" si="17"/>
        <v>2487450</v>
      </c>
      <c r="R241" s="146">
        <v>1</v>
      </c>
      <c r="S241" s="136">
        <v>28605675</v>
      </c>
      <c r="T241" s="137" t="s">
        <v>747</v>
      </c>
      <c r="U241" s="148" t="s">
        <v>445</v>
      </c>
      <c r="V241" s="148" t="s">
        <v>64</v>
      </c>
      <c r="W241" s="153">
        <v>11.5</v>
      </c>
      <c r="X241" s="133">
        <v>61</v>
      </c>
      <c r="Y241" s="81">
        <v>43102</v>
      </c>
      <c r="Z241" s="154">
        <v>28605675</v>
      </c>
      <c r="AA241" s="140"/>
      <c r="AB241" s="141">
        <v>12</v>
      </c>
      <c r="AC241" s="150">
        <v>43102</v>
      </c>
      <c r="AD241" s="143">
        <v>28605675</v>
      </c>
      <c r="AE241" s="143">
        <f t="shared" si="12"/>
        <v>0</v>
      </c>
      <c r="AF241" s="156">
        <v>180</v>
      </c>
      <c r="AG241" s="150">
        <v>43118</v>
      </c>
      <c r="AH241" s="143">
        <v>28605675</v>
      </c>
      <c r="AI241" s="63" t="s">
        <v>783</v>
      </c>
      <c r="AJ241" s="63">
        <v>180</v>
      </c>
      <c r="AK241" s="143">
        <f t="shared" si="19"/>
        <v>0</v>
      </c>
      <c r="AL241" s="143">
        <v>18490045</v>
      </c>
      <c r="AM241" s="143">
        <f t="shared" si="14"/>
        <v>10115630</v>
      </c>
      <c r="AN241" s="133"/>
      <c r="AO241" s="144">
        <f t="shared" si="15"/>
        <v>0</v>
      </c>
      <c r="AP241" s="133"/>
      <c r="AQ241" s="150">
        <v>43102</v>
      </c>
      <c r="AR241" s="133" t="s">
        <v>739</v>
      </c>
      <c r="AS241" s="150">
        <v>43102</v>
      </c>
      <c r="AT241" s="133" t="s">
        <v>740</v>
      </c>
      <c r="AU241" s="220"/>
      <c r="AV241" s="220"/>
      <c r="AW241" s="220"/>
    </row>
    <row r="242" spans="1:49" s="221" customFormat="1" ht="399" x14ac:dyDescent="0.25">
      <c r="A242" s="63">
        <f t="shared" si="18"/>
        <v>55</v>
      </c>
      <c r="B242" s="128" t="str">
        <f t="shared" si="16"/>
        <v>208-55</v>
      </c>
      <c r="C242" s="129" t="s">
        <v>713</v>
      </c>
      <c r="D242" s="130" t="s">
        <v>714</v>
      </c>
      <c r="E242" s="131" t="s">
        <v>715</v>
      </c>
      <c r="F242" s="111" t="s">
        <v>52</v>
      </c>
      <c r="G242" s="145" t="s">
        <v>53</v>
      </c>
      <c r="H242" s="111" t="s">
        <v>733</v>
      </c>
      <c r="I242" s="111" t="s">
        <v>55</v>
      </c>
      <c r="J242" s="111" t="s">
        <v>56</v>
      </c>
      <c r="K242" s="63">
        <v>801116</v>
      </c>
      <c r="L242" s="111" t="s">
        <v>720</v>
      </c>
      <c r="M242" s="111" t="s">
        <v>58</v>
      </c>
      <c r="N242" s="111" t="s">
        <v>59</v>
      </c>
      <c r="O242" s="111" t="s">
        <v>728</v>
      </c>
      <c r="P242" s="227" t="s">
        <v>782</v>
      </c>
      <c r="Q242" s="134">
        <f t="shared" si="17"/>
        <v>1066050</v>
      </c>
      <c r="R242" s="146">
        <v>1</v>
      </c>
      <c r="S242" s="136">
        <v>12259575</v>
      </c>
      <c r="T242" s="137" t="s">
        <v>747</v>
      </c>
      <c r="U242" s="148" t="s">
        <v>445</v>
      </c>
      <c r="V242" s="148" t="s">
        <v>64</v>
      </c>
      <c r="W242" s="153">
        <v>11.5</v>
      </c>
      <c r="X242" s="133">
        <v>60</v>
      </c>
      <c r="Y242" s="81">
        <v>43102</v>
      </c>
      <c r="Z242" s="154">
        <v>12259575</v>
      </c>
      <c r="AA242" s="140"/>
      <c r="AB242" s="141">
        <v>10</v>
      </c>
      <c r="AC242" s="150">
        <v>43102</v>
      </c>
      <c r="AD242" s="143">
        <v>12259575</v>
      </c>
      <c r="AE242" s="143">
        <f t="shared" si="12"/>
        <v>0</v>
      </c>
      <c r="AF242" s="133">
        <v>12</v>
      </c>
      <c r="AG242" s="81">
        <v>43112</v>
      </c>
      <c r="AH242" s="143">
        <v>12259575</v>
      </c>
      <c r="AI242" s="63" t="s">
        <v>784</v>
      </c>
      <c r="AJ242" s="63">
        <v>9</v>
      </c>
      <c r="AK242" s="143">
        <f t="shared" si="19"/>
        <v>0</v>
      </c>
      <c r="AL242" s="155">
        <v>7995375</v>
      </c>
      <c r="AM242" s="143">
        <f t="shared" si="14"/>
        <v>4264200</v>
      </c>
      <c r="AN242" s="133"/>
      <c r="AO242" s="144">
        <f t="shared" si="15"/>
        <v>0</v>
      </c>
      <c r="AP242" s="133"/>
      <c r="AQ242" s="150">
        <v>43102</v>
      </c>
      <c r="AR242" s="133" t="s">
        <v>739</v>
      </c>
      <c r="AS242" s="150">
        <v>43102</v>
      </c>
      <c r="AT242" s="133" t="s">
        <v>740</v>
      </c>
      <c r="AU242" s="220"/>
      <c r="AV242" s="220"/>
      <c r="AW242" s="220"/>
    </row>
    <row r="243" spans="1:49" s="221" customFormat="1" ht="370.5" x14ac:dyDescent="0.25">
      <c r="A243" s="63">
        <f t="shared" si="18"/>
        <v>56</v>
      </c>
      <c r="B243" s="128" t="str">
        <f t="shared" si="16"/>
        <v>208-56</v>
      </c>
      <c r="C243" s="129" t="s">
        <v>713</v>
      </c>
      <c r="D243" s="130" t="s">
        <v>714</v>
      </c>
      <c r="E243" s="145" t="s">
        <v>725</v>
      </c>
      <c r="F243" s="111" t="s">
        <v>52</v>
      </c>
      <c r="G243" s="145" t="s">
        <v>53</v>
      </c>
      <c r="H243" s="111" t="s">
        <v>733</v>
      </c>
      <c r="I243" s="111" t="s">
        <v>55</v>
      </c>
      <c r="J243" s="111" t="s">
        <v>56</v>
      </c>
      <c r="K243" s="63">
        <v>801116</v>
      </c>
      <c r="L243" s="111" t="s">
        <v>720</v>
      </c>
      <c r="M243" s="111" t="s">
        <v>58</v>
      </c>
      <c r="N243" s="111" t="s">
        <v>59</v>
      </c>
      <c r="O243" s="111" t="s">
        <v>728</v>
      </c>
      <c r="P243" s="227" t="s">
        <v>782</v>
      </c>
      <c r="Q243" s="134">
        <f t="shared" si="17"/>
        <v>2487450</v>
      </c>
      <c r="R243" s="146">
        <v>1</v>
      </c>
      <c r="S243" s="136">
        <v>28605675</v>
      </c>
      <c r="T243" s="137" t="s">
        <v>747</v>
      </c>
      <c r="U243" s="148" t="s">
        <v>445</v>
      </c>
      <c r="V243" s="148" t="s">
        <v>64</v>
      </c>
      <c r="W243" s="153">
        <v>11.5</v>
      </c>
      <c r="X243" s="133">
        <v>59</v>
      </c>
      <c r="Y243" s="81">
        <v>43102</v>
      </c>
      <c r="Z243" s="154">
        <v>28605675</v>
      </c>
      <c r="AA243" s="140"/>
      <c r="AB243" s="141">
        <v>10</v>
      </c>
      <c r="AC243" s="150">
        <v>43102</v>
      </c>
      <c r="AD243" s="143">
        <v>28605675</v>
      </c>
      <c r="AE243" s="143">
        <f t="shared" si="12"/>
        <v>0</v>
      </c>
      <c r="AF243" s="133">
        <v>12</v>
      </c>
      <c r="AG243" s="81">
        <v>43112</v>
      </c>
      <c r="AH243" s="143">
        <v>28605675</v>
      </c>
      <c r="AI243" s="63" t="s">
        <v>784</v>
      </c>
      <c r="AJ243" s="63">
        <v>9</v>
      </c>
      <c r="AK243" s="143">
        <f t="shared" si="19"/>
        <v>0</v>
      </c>
      <c r="AL243" s="143">
        <v>18655875</v>
      </c>
      <c r="AM243" s="143">
        <f t="shared" si="14"/>
        <v>9949800</v>
      </c>
      <c r="AN243" s="133"/>
      <c r="AO243" s="144">
        <f t="shared" si="15"/>
        <v>0</v>
      </c>
      <c r="AP243" s="133"/>
      <c r="AQ243" s="150">
        <v>43102</v>
      </c>
      <c r="AR243" s="133" t="s">
        <v>739</v>
      </c>
      <c r="AS243" s="150">
        <v>43102</v>
      </c>
      <c r="AT243" s="133" t="s">
        <v>740</v>
      </c>
      <c r="AU243" s="220"/>
      <c r="AV243" s="220"/>
      <c r="AW243" s="220"/>
    </row>
    <row r="244" spans="1:49" s="221" customFormat="1" ht="399" x14ac:dyDescent="0.25">
      <c r="A244" s="63">
        <f t="shared" si="18"/>
        <v>57</v>
      </c>
      <c r="B244" s="128" t="str">
        <f t="shared" si="16"/>
        <v>208-57</v>
      </c>
      <c r="C244" s="129" t="s">
        <v>713</v>
      </c>
      <c r="D244" s="130" t="s">
        <v>714</v>
      </c>
      <c r="E244" s="131" t="s">
        <v>715</v>
      </c>
      <c r="F244" s="111" t="s">
        <v>52</v>
      </c>
      <c r="G244" s="145" t="s">
        <v>53</v>
      </c>
      <c r="H244" s="111" t="s">
        <v>733</v>
      </c>
      <c r="I244" s="111" t="s">
        <v>55</v>
      </c>
      <c r="J244" s="111" t="s">
        <v>56</v>
      </c>
      <c r="K244" s="63">
        <v>801116</v>
      </c>
      <c r="L244" s="111" t="s">
        <v>720</v>
      </c>
      <c r="M244" s="111" t="s">
        <v>58</v>
      </c>
      <c r="N244" s="111" t="s">
        <v>59</v>
      </c>
      <c r="O244" s="111" t="s">
        <v>728</v>
      </c>
      <c r="P244" s="227" t="s">
        <v>782</v>
      </c>
      <c r="Q244" s="134">
        <f t="shared" si="17"/>
        <v>1236000</v>
      </c>
      <c r="R244" s="146">
        <v>1</v>
      </c>
      <c r="S244" s="136">
        <v>14214000</v>
      </c>
      <c r="T244" s="137" t="s">
        <v>747</v>
      </c>
      <c r="U244" s="148" t="s">
        <v>445</v>
      </c>
      <c r="V244" s="148" t="s">
        <v>64</v>
      </c>
      <c r="W244" s="153">
        <v>11.5</v>
      </c>
      <c r="X244" s="133">
        <v>58</v>
      </c>
      <c r="Y244" s="81">
        <v>43102</v>
      </c>
      <c r="Z244" s="154">
        <v>14214000</v>
      </c>
      <c r="AA244" s="140"/>
      <c r="AB244" s="141">
        <v>9</v>
      </c>
      <c r="AC244" s="150">
        <v>43102</v>
      </c>
      <c r="AD244" s="143">
        <v>14214000</v>
      </c>
      <c r="AE244" s="143">
        <f t="shared" si="12"/>
        <v>0</v>
      </c>
      <c r="AF244" s="133">
        <v>60</v>
      </c>
      <c r="AG244" s="81">
        <v>43116</v>
      </c>
      <c r="AH244" s="143">
        <v>14214000</v>
      </c>
      <c r="AI244" s="63" t="s">
        <v>785</v>
      </c>
      <c r="AJ244" s="63">
        <v>25</v>
      </c>
      <c r="AK244" s="143">
        <f t="shared" si="19"/>
        <v>0</v>
      </c>
      <c r="AL244" s="143">
        <v>9228800.0999999996</v>
      </c>
      <c r="AM244" s="143">
        <f t="shared" si="14"/>
        <v>4985199.9000000004</v>
      </c>
      <c r="AN244" s="133"/>
      <c r="AO244" s="144">
        <f t="shared" si="15"/>
        <v>0</v>
      </c>
      <c r="AP244" s="133"/>
      <c r="AQ244" s="150">
        <v>43102</v>
      </c>
      <c r="AR244" s="133" t="s">
        <v>739</v>
      </c>
      <c r="AS244" s="150">
        <v>43102</v>
      </c>
      <c r="AT244" s="133" t="s">
        <v>740</v>
      </c>
      <c r="AU244" s="220"/>
      <c r="AV244" s="220"/>
      <c r="AW244" s="220"/>
    </row>
    <row r="245" spans="1:49" s="221" customFormat="1" ht="370.5" x14ac:dyDescent="0.25">
      <c r="A245" s="63">
        <f t="shared" si="18"/>
        <v>58</v>
      </c>
      <c r="B245" s="128" t="str">
        <f t="shared" si="16"/>
        <v>208-58</v>
      </c>
      <c r="C245" s="129" t="s">
        <v>713</v>
      </c>
      <c r="D245" s="130" t="s">
        <v>714</v>
      </c>
      <c r="E245" s="145" t="s">
        <v>725</v>
      </c>
      <c r="F245" s="111" t="s">
        <v>52</v>
      </c>
      <c r="G245" s="145" t="s">
        <v>53</v>
      </c>
      <c r="H245" s="111" t="s">
        <v>733</v>
      </c>
      <c r="I245" s="111" t="s">
        <v>55</v>
      </c>
      <c r="J245" s="111" t="s">
        <v>56</v>
      </c>
      <c r="K245" s="63">
        <v>801116</v>
      </c>
      <c r="L245" s="111" t="s">
        <v>720</v>
      </c>
      <c r="M245" s="111" t="s">
        <v>58</v>
      </c>
      <c r="N245" s="111" t="s">
        <v>59</v>
      </c>
      <c r="O245" s="111" t="s">
        <v>728</v>
      </c>
      <c r="P245" s="227" t="s">
        <v>782</v>
      </c>
      <c r="Q245" s="134">
        <f t="shared" si="17"/>
        <v>2884000</v>
      </c>
      <c r="R245" s="146">
        <v>1</v>
      </c>
      <c r="S245" s="136">
        <v>33166000</v>
      </c>
      <c r="T245" s="137" t="s">
        <v>747</v>
      </c>
      <c r="U245" s="148" t="s">
        <v>445</v>
      </c>
      <c r="V245" s="148" t="s">
        <v>64</v>
      </c>
      <c r="W245" s="153">
        <v>11.5</v>
      </c>
      <c r="X245" s="133">
        <v>57</v>
      </c>
      <c r="Y245" s="81">
        <v>43102</v>
      </c>
      <c r="Z245" s="154">
        <v>33166000</v>
      </c>
      <c r="AA245" s="140"/>
      <c r="AB245" s="141">
        <v>9</v>
      </c>
      <c r="AC245" s="150">
        <v>43102</v>
      </c>
      <c r="AD245" s="143">
        <v>33166000</v>
      </c>
      <c r="AE245" s="143">
        <f t="shared" si="12"/>
        <v>0</v>
      </c>
      <c r="AF245" s="133">
        <v>60</v>
      </c>
      <c r="AG245" s="81">
        <v>43116</v>
      </c>
      <c r="AH245" s="143">
        <v>33166000</v>
      </c>
      <c r="AI245" s="63" t="s">
        <v>785</v>
      </c>
      <c r="AJ245" s="63">
        <v>25</v>
      </c>
      <c r="AK245" s="143">
        <f t="shared" si="19"/>
        <v>0</v>
      </c>
      <c r="AL245" s="143">
        <v>21533866.899999999</v>
      </c>
      <c r="AM245" s="143">
        <f t="shared" si="14"/>
        <v>11632133.100000001</v>
      </c>
      <c r="AN245" s="133"/>
      <c r="AO245" s="144">
        <f t="shared" si="15"/>
        <v>0</v>
      </c>
      <c r="AP245" s="133"/>
      <c r="AQ245" s="150">
        <v>43102</v>
      </c>
      <c r="AR245" s="133" t="s">
        <v>739</v>
      </c>
      <c r="AS245" s="150">
        <v>43102</v>
      </c>
      <c r="AT245" s="133" t="s">
        <v>740</v>
      </c>
      <c r="AU245" s="220"/>
      <c r="AV245" s="220"/>
      <c r="AW245" s="220"/>
    </row>
    <row r="246" spans="1:49" s="221" customFormat="1" ht="399" x14ac:dyDescent="0.25">
      <c r="A246" s="63">
        <f t="shared" si="18"/>
        <v>59</v>
      </c>
      <c r="B246" s="128" t="str">
        <f t="shared" si="16"/>
        <v>208-59</v>
      </c>
      <c r="C246" s="129" t="s">
        <v>713</v>
      </c>
      <c r="D246" s="130" t="s">
        <v>714</v>
      </c>
      <c r="E246" s="131" t="s">
        <v>715</v>
      </c>
      <c r="F246" s="111" t="s">
        <v>52</v>
      </c>
      <c r="G246" s="145" t="s">
        <v>53</v>
      </c>
      <c r="H246" s="111" t="s">
        <v>733</v>
      </c>
      <c r="I246" s="111" t="s">
        <v>55</v>
      </c>
      <c r="J246" s="111" t="s">
        <v>56</v>
      </c>
      <c r="K246" s="63">
        <v>801116</v>
      </c>
      <c r="L246" s="111" t="s">
        <v>720</v>
      </c>
      <c r="M246" s="111" t="s">
        <v>58</v>
      </c>
      <c r="N246" s="111" t="s">
        <v>59</v>
      </c>
      <c r="O246" s="111" t="s">
        <v>728</v>
      </c>
      <c r="P246" s="227" t="s">
        <v>782</v>
      </c>
      <c r="Q246" s="134">
        <f t="shared" si="17"/>
        <v>1066050</v>
      </c>
      <c r="R246" s="146">
        <v>1</v>
      </c>
      <c r="S246" s="136">
        <v>12259575</v>
      </c>
      <c r="T246" s="137" t="s">
        <v>747</v>
      </c>
      <c r="U246" s="148" t="s">
        <v>445</v>
      </c>
      <c r="V246" s="148" t="s">
        <v>64</v>
      </c>
      <c r="W246" s="153">
        <v>11.5</v>
      </c>
      <c r="X246" s="133">
        <v>56</v>
      </c>
      <c r="Y246" s="81">
        <v>43102</v>
      </c>
      <c r="Z246" s="154">
        <v>12259575</v>
      </c>
      <c r="AA246" s="140"/>
      <c r="AB246" s="141">
        <v>7</v>
      </c>
      <c r="AC246" s="150">
        <v>43102</v>
      </c>
      <c r="AD246" s="143">
        <v>12259575</v>
      </c>
      <c r="AE246" s="143">
        <f t="shared" si="12"/>
        <v>0</v>
      </c>
      <c r="AF246" s="133">
        <v>9</v>
      </c>
      <c r="AG246" s="81">
        <v>43112</v>
      </c>
      <c r="AH246" s="143">
        <v>12259575</v>
      </c>
      <c r="AI246" s="63" t="s">
        <v>786</v>
      </c>
      <c r="AJ246" s="63">
        <v>13</v>
      </c>
      <c r="AK246" s="143">
        <f t="shared" si="19"/>
        <v>0</v>
      </c>
      <c r="AL246" s="143">
        <v>7888770</v>
      </c>
      <c r="AM246" s="143">
        <f t="shared" si="14"/>
        <v>4370805</v>
      </c>
      <c r="AN246" s="133"/>
      <c r="AO246" s="144">
        <f t="shared" si="15"/>
        <v>0</v>
      </c>
      <c r="AP246" s="133"/>
      <c r="AQ246" s="150">
        <v>43102</v>
      </c>
      <c r="AR246" s="133" t="s">
        <v>739</v>
      </c>
      <c r="AS246" s="150">
        <v>43102</v>
      </c>
      <c r="AT246" s="133" t="s">
        <v>740</v>
      </c>
      <c r="AU246" s="220"/>
      <c r="AV246" s="220"/>
      <c r="AW246" s="220"/>
    </row>
    <row r="247" spans="1:49" s="221" customFormat="1" ht="370.5" x14ac:dyDescent="0.25">
      <c r="A247" s="63">
        <f t="shared" si="18"/>
        <v>60</v>
      </c>
      <c r="B247" s="128" t="str">
        <f t="shared" si="16"/>
        <v>208-60</v>
      </c>
      <c r="C247" s="129" t="s">
        <v>713</v>
      </c>
      <c r="D247" s="130" t="s">
        <v>714</v>
      </c>
      <c r="E247" s="145" t="s">
        <v>725</v>
      </c>
      <c r="F247" s="111" t="s">
        <v>52</v>
      </c>
      <c r="G247" s="145" t="s">
        <v>53</v>
      </c>
      <c r="H247" s="111" t="s">
        <v>733</v>
      </c>
      <c r="I247" s="111" t="s">
        <v>55</v>
      </c>
      <c r="J247" s="111" t="s">
        <v>56</v>
      </c>
      <c r="K247" s="63">
        <v>801116</v>
      </c>
      <c r="L247" s="111" t="s">
        <v>720</v>
      </c>
      <c r="M247" s="111" t="s">
        <v>58</v>
      </c>
      <c r="N247" s="111" t="s">
        <v>59</v>
      </c>
      <c r="O247" s="111" t="s">
        <v>728</v>
      </c>
      <c r="P247" s="227" t="s">
        <v>782</v>
      </c>
      <c r="Q247" s="134">
        <f t="shared" si="17"/>
        <v>2487450</v>
      </c>
      <c r="R247" s="146">
        <v>1</v>
      </c>
      <c r="S247" s="136">
        <v>28605675</v>
      </c>
      <c r="T247" s="137" t="s">
        <v>747</v>
      </c>
      <c r="U247" s="148" t="s">
        <v>445</v>
      </c>
      <c r="V247" s="148" t="s">
        <v>64</v>
      </c>
      <c r="W247" s="153">
        <v>11.5</v>
      </c>
      <c r="X247" s="133">
        <v>55</v>
      </c>
      <c r="Y247" s="81">
        <v>43102</v>
      </c>
      <c r="Z247" s="154">
        <v>28605675</v>
      </c>
      <c r="AA247" s="140"/>
      <c r="AB247" s="141">
        <v>7</v>
      </c>
      <c r="AC247" s="150">
        <v>43102</v>
      </c>
      <c r="AD247" s="143">
        <v>28605675</v>
      </c>
      <c r="AE247" s="143">
        <f t="shared" si="12"/>
        <v>0</v>
      </c>
      <c r="AF247" s="133">
        <v>9</v>
      </c>
      <c r="AG247" s="81">
        <v>43112</v>
      </c>
      <c r="AH247" s="143">
        <v>28605675</v>
      </c>
      <c r="AI247" s="63" t="s">
        <v>786</v>
      </c>
      <c r="AJ247" s="63">
        <v>13</v>
      </c>
      <c r="AK247" s="143">
        <f t="shared" si="19"/>
        <v>0</v>
      </c>
      <c r="AL247" s="143">
        <v>18407130</v>
      </c>
      <c r="AM247" s="143">
        <f t="shared" si="14"/>
        <v>10198545</v>
      </c>
      <c r="AN247" s="133"/>
      <c r="AO247" s="144">
        <f t="shared" si="15"/>
        <v>0</v>
      </c>
      <c r="AP247" s="133"/>
      <c r="AQ247" s="150">
        <v>43102</v>
      </c>
      <c r="AR247" s="133" t="s">
        <v>739</v>
      </c>
      <c r="AS247" s="150">
        <v>43102</v>
      </c>
      <c r="AT247" s="133" t="s">
        <v>740</v>
      </c>
      <c r="AU247" s="220"/>
      <c r="AV247" s="220"/>
      <c r="AW247" s="220"/>
    </row>
    <row r="248" spans="1:49" s="221" customFormat="1" ht="399" x14ac:dyDescent="0.25">
      <c r="A248" s="63">
        <f t="shared" si="18"/>
        <v>61</v>
      </c>
      <c r="B248" s="128" t="str">
        <f t="shared" si="16"/>
        <v>208-61</v>
      </c>
      <c r="C248" s="129" t="s">
        <v>713</v>
      </c>
      <c r="D248" s="130" t="s">
        <v>714</v>
      </c>
      <c r="E248" s="131" t="s">
        <v>715</v>
      </c>
      <c r="F248" s="111" t="s">
        <v>52</v>
      </c>
      <c r="G248" s="145" t="s">
        <v>53</v>
      </c>
      <c r="H248" s="111" t="s">
        <v>733</v>
      </c>
      <c r="I248" s="111" t="s">
        <v>55</v>
      </c>
      <c r="J248" s="111" t="s">
        <v>56</v>
      </c>
      <c r="K248" s="63">
        <v>801116</v>
      </c>
      <c r="L248" s="111" t="s">
        <v>720</v>
      </c>
      <c r="M248" s="111" t="s">
        <v>58</v>
      </c>
      <c r="N248" s="111" t="s">
        <v>59</v>
      </c>
      <c r="O248" s="111" t="s">
        <v>728</v>
      </c>
      <c r="P248" s="227" t="s">
        <v>782</v>
      </c>
      <c r="Q248" s="134">
        <f t="shared" si="17"/>
        <v>0</v>
      </c>
      <c r="R248" s="146">
        <v>1</v>
      </c>
      <c r="S248" s="136">
        <f>11726550-11726550</f>
        <v>0</v>
      </c>
      <c r="T248" s="137" t="s">
        <v>747</v>
      </c>
      <c r="U248" s="148" t="s">
        <v>445</v>
      </c>
      <c r="V248" s="148" t="s">
        <v>64</v>
      </c>
      <c r="W248" s="153">
        <v>11.5</v>
      </c>
      <c r="X248" s="133" t="s">
        <v>787</v>
      </c>
      <c r="Y248" s="81"/>
      <c r="Z248" s="154"/>
      <c r="AA248" s="140"/>
      <c r="AB248" s="141"/>
      <c r="AC248" s="142"/>
      <c r="AD248" s="143"/>
      <c r="AE248" s="143">
        <f t="shared" si="12"/>
        <v>0</v>
      </c>
      <c r="AF248" s="133"/>
      <c r="AG248" s="85"/>
      <c r="AH248" s="143"/>
      <c r="AI248" s="63"/>
      <c r="AJ248" s="63"/>
      <c r="AK248" s="143">
        <f t="shared" si="19"/>
        <v>0</v>
      </c>
      <c r="AL248" s="143"/>
      <c r="AM248" s="143">
        <f t="shared" si="14"/>
        <v>0</v>
      </c>
      <c r="AN248" s="133"/>
      <c r="AO248" s="144">
        <f t="shared" si="15"/>
        <v>0</v>
      </c>
      <c r="AP248" s="133"/>
      <c r="AQ248" s="150">
        <v>43102</v>
      </c>
      <c r="AR248" s="133" t="s">
        <v>739</v>
      </c>
      <c r="AS248" s="150">
        <v>43102</v>
      </c>
      <c r="AT248" s="133" t="s">
        <v>740</v>
      </c>
      <c r="AU248" s="220"/>
      <c r="AV248" s="220"/>
      <c r="AW248" s="220"/>
    </row>
    <row r="249" spans="1:49" s="221" customFormat="1" ht="370.5" x14ac:dyDescent="0.25">
      <c r="A249" s="63">
        <f t="shared" si="18"/>
        <v>62</v>
      </c>
      <c r="B249" s="128" t="str">
        <f t="shared" si="16"/>
        <v>208-62</v>
      </c>
      <c r="C249" s="129" t="s">
        <v>713</v>
      </c>
      <c r="D249" s="130" t="s">
        <v>714</v>
      </c>
      <c r="E249" s="145" t="s">
        <v>725</v>
      </c>
      <c r="F249" s="111" t="s">
        <v>52</v>
      </c>
      <c r="G249" s="145" t="s">
        <v>53</v>
      </c>
      <c r="H249" s="111" t="s">
        <v>733</v>
      </c>
      <c r="I249" s="111" t="s">
        <v>55</v>
      </c>
      <c r="J249" s="111" t="s">
        <v>56</v>
      </c>
      <c r="K249" s="63">
        <v>801116</v>
      </c>
      <c r="L249" s="111" t="s">
        <v>720</v>
      </c>
      <c r="M249" s="111" t="s">
        <v>58</v>
      </c>
      <c r="N249" s="111" t="s">
        <v>59</v>
      </c>
      <c r="O249" s="111" t="s">
        <v>728</v>
      </c>
      <c r="P249" s="227" t="s">
        <v>782</v>
      </c>
      <c r="Q249" s="134">
        <f t="shared" si="17"/>
        <v>0</v>
      </c>
      <c r="R249" s="146">
        <v>1</v>
      </c>
      <c r="S249" s="136">
        <f>27361950-27361950</f>
        <v>0</v>
      </c>
      <c r="T249" s="137" t="s">
        <v>747</v>
      </c>
      <c r="U249" s="148" t="s">
        <v>445</v>
      </c>
      <c r="V249" s="148" t="s">
        <v>64</v>
      </c>
      <c r="W249" s="153">
        <v>11.5</v>
      </c>
      <c r="X249" s="133" t="s">
        <v>788</v>
      </c>
      <c r="Y249" s="81"/>
      <c r="Z249" s="154"/>
      <c r="AA249" s="140"/>
      <c r="AB249" s="141"/>
      <c r="AC249" s="142"/>
      <c r="AD249" s="143"/>
      <c r="AE249" s="143">
        <f t="shared" si="12"/>
        <v>0</v>
      </c>
      <c r="AF249" s="133"/>
      <c r="AG249" s="85"/>
      <c r="AH249" s="143"/>
      <c r="AI249" s="63"/>
      <c r="AJ249" s="63"/>
      <c r="AK249" s="143">
        <f t="shared" si="19"/>
        <v>0</v>
      </c>
      <c r="AL249" s="143"/>
      <c r="AM249" s="143">
        <f t="shared" si="14"/>
        <v>0</v>
      </c>
      <c r="AN249" s="133"/>
      <c r="AO249" s="144">
        <f t="shared" si="15"/>
        <v>0</v>
      </c>
      <c r="AP249" s="133"/>
      <c r="AQ249" s="150">
        <v>43102</v>
      </c>
      <c r="AR249" s="133" t="s">
        <v>739</v>
      </c>
      <c r="AS249" s="150">
        <v>43102</v>
      </c>
      <c r="AT249" s="133" t="s">
        <v>740</v>
      </c>
      <c r="AU249" s="220"/>
      <c r="AV249" s="220"/>
      <c r="AW249" s="220"/>
    </row>
    <row r="250" spans="1:49" s="221" customFormat="1" ht="399" x14ac:dyDescent="0.25">
      <c r="A250" s="63">
        <f t="shared" si="18"/>
        <v>63</v>
      </c>
      <c r="B250" s="128" t="str">
        <f t="shared" si="16"/>
        <v>208-63</v>
      </c>
      <c r="C250" s="129" t="s">
        <v>713</v>
      </c>
      <c r="D250" s="130" t="s">
        <v>714</v>
      </c>
      <c r="E250" s="131" t="s">
        <v>715</v>
      </c>
      <c r="F250" s="111" t="s">
        <v>52</v>
      </c>
      <c r="G250" s="145" t="s">
        <v>53</v>
      </c>
      <c r="H250" s="111" t="s">
        <v>733</v>
      </c>
      <c r="I250" s="111" t="s">
        <v>55</v>
      </c>
      <c r="J250" s="111" t="s">
        <v>56</v>
      </c>
      <c r="K250" s="63">
        <v>801116</v>
      </c>
      <c r="L250" s="111" t="s">
        <v>720</v>
      </c>
      <c r="M250" s="111" t="s">
        <v>58</v>
      </c>
      <c r="N250" s="111" t="s">
        <v>59</v>
      </c>
      <c r="O250" s="111" t="s">
        <v>728</v>
      </c>
      <c r="P250" s="227" t="s">
        <v>81</v>
      </c>
      <c r="Q250" s="134">
        <f t="shared" si="17"/>
        <v>616208.69565217395</v>
      </c>
      <c r="R250" s="146">
        <v>1</v>
      </c>
      <c r="S250" s="136">
        <f>7107000-20600</f>
        <v>7086400</v>
      </c>
      <c r="T250" s="137" t="s">
        <v>747</v>
      </c>
      <c r="U250" s="148" t="s">
        <v>445</v>
      </c>
      <c r="V250" s="148" t="s">
        <v>64</v>
      </c>
      <c r="W250" s="153">
        <v>11.5</v>
      </c>
      <c r="X250" s="133">
        <v>52</v>
      </c>
      <c r="Y250" s="81">
        <v>43102</v>
      </c>
      <c r="Z250" s="154">
        <v>7107000</v>
      </c>
      <c r="AA250" s="140"/>
      <c r="AB250" s="141">
        <v>4</v>
      </c>
      <c r="AC250" s="150">
        <v>43102</v>
      </c>
      <c r="AD250" s="143">
        <v>7086399.8999999994</v>
      </c>
      <c r="AE250" s="143">
        <f t="shared" si="12"/>
        <v>0.10000000055879354</v>
      </c>
      <c r="AF250" s="133">
        <v>40</v>
      </c>
      <c r="AG250" s="81">
        <v>43116</v>
      </c>
      <c r="AH250" s="143">
        <v>7086399.8999999994</v>
      </c>
      <c r="AI250" s="63" t="s">
        <v>83</v>
      </c>
      <c r="AJ250" s="63">
        <v>36</v>
      </c>
      <c r="AK250" s="143">
        <f t="shared" si="19"/>
        <v>0</v>
      </c>
      <c r="AL250" s="143">
        <v>5479599.8999999994</v>
      </c>
      <c r="AM250" s="143">
        <f t="shared" si="14"/>
        <v>1606800</v>
      </c>
      <c r="AN250" s="133"/>
      <c r="AO250" s="144">
        <f t="shared" si="15"/>
        <v>0.10000000055879354</v>
      </c>
      <c r="AP250" s="133"/>
      <c r="AQ250" s="150">
        <v>43102</v>
      </c>
      <c r="AR250" s="133" t="s">
        <v>739</v>
      </c>
      <c r="AS250" s="150">
        <v>43102</v>
      </c>
      <c r="AT250" s="133" t="s">
        <v>740</v>
      </c>
      <c r="AU250" s="220"/>
      <c r="AV250" s="220"/>
      <c r="AW250" s="220"/>
    </row>
    <row r="251" spans="1:49" s="221" customFormat="1" ht="370.5" x14ac:dyDescent="0.25">
      <c r="A251" s="63">
        <f t="shared" si="18"/>
        <v>64</v>
      </c>
      <c r="B251" s="128" t="str">
        <f t="shared" si="16"/>
        <v>208-64</v>
      </c>
      <c r="C251" s="129" t="s">
        <v>713</v>
      </c>
      <c r="D251" s="130" t="s">
        <v>714</v>
      </c>
      <c r="E251" s="145" t="s">
        <v>725</v>
      </c>
      <c r="F251" s="111" t="s">
        <v>52</v>
      </c>
      <c r="G251" s="145" t="s">
        <v>53</v>
      </c>
      <c r="H251" s="111" t="s">
        <v>733</v>
      </c>
      <c r="I251" s="111" t="s">
        <v>55</v>
      </c>
      <c r="J251" s="111" t="s">
        <v>56</v>
      </c>
      <c r="K251" s="63">
        <v>801116</v>
      </c>
      <c r="L251" s="111" t="s">
        <v>720</v>
      </c>
      <c r="M251" s="111" t="s">
        <v>58</v>
      </c>
      <c r="N251" s="111" t="s">
        <v>59</v>
      </c>
      <c r="O251" s="111" t="s">
        <v>728</v>
      </c>
      <c r="P251" s="227" t="s">
        <v>81</v>
      </c>
      <c r="Q251" s="134">
        <f t="shared" si="17"/>
        <v>1437820.2608695652</v>
      </c>
      <c r="R251" s="146">
        <v>1</v>
      </c>
      <c r="S251" s="136">
        <f>16583000-48067</f>
        <v>16534933</v>
      </c>
      <c r="T251" s="137" t="s">
        <v>747</v>
      </c>
      <c r="U251" s="148" t="s">
        <v>445</v>
      </c>
      <c r="V251" s="148" t="s">
        <v>64</v>
      </c>
      <c r="W251" s="153">
        <v>11.5</v>
      </c>
      <c r="X251" s="133">
        <v>51</v>
      </c>
      <c r="Y251" s="81">
        <v>43102</v>
      </c>
      <c r="Z251" s="154">
        <v>16583000</v>
      </c>
      <c r="AA251" s="140"/>
      <c r="AB251" s="141">
        <v>4</v>
      </c>
      <c r="AC251" s="150">
        <v>43102</v>
      </c>
      <c r="AD251" s="143">
        <v>16534933.1</v>
      </c>
      <c r="AE251" s="143">
        <f t="shared" si="12"/>
        <v>-9.999999962747097E-2</v>
      </c>
      <c r="AF251" s="133">
        <v>40</v>
      </c>
      <c r="AG251" s="81">
        <v>43116</v>
      </c>
      <c r="AH251" s="143">
        <v>16534933.1</v>
      </c>
      <c r="AI251" s="63" t="s">
        <v>83</v>
      </c>
      <c r="AJ251" s="63">
        <v>36</v>
      </c>
      <c r="AK251" s="143">
        <f t="shared" si="19"/>
        <v>0</v>
      </c>
      <c r="AL251" s="143">
        <v>12785733.1</v>
      </c>
      <c r="AM251" s="143">
        <f t="shared" si="14"/>
        <v>3749200</v>
      </c>
      <c r="AN251" s="133"/>
      <c r="AO251" s="144">
        <f t="shared" si="15"/>
        <v>-9.999999962747097E-2</v>
      </c>
      <c r="AP251" s="133"/>
      <c r="AQ251" s="150">
        <v>43102</v>
      </c>
      <c r="AR251" s="133" t="s">
        <v>739</v>
      </c>
      <c r="AS251" s="150">
        <v>43102</v>
      </c>
      <c r="AT251" s="133" t="s">
        <v>740</v>
      </c>
      <c r="AU251" s="220"/>
      <c r="AV251" s="220"/>
      <c r="AW251" s="220"/>
    </row>
    <row r="252" spans="1:49" s="221" customFormat="1" ht="399" x14ac:dyDescent="0.25">
      <c r="A252" s="63">
        <f t="shared" si="18"/>
        <v>65</v>
      </c>
      <c r="B252" s="128" t="str">
        <f t="shared" si="16"/>
        <v>208-65</v>
      </c>
      <c r="C252" s="129" t="s">
        <v>713</v>
      </c>
      <c r="D252" s="130" t="s">
        <v>714</v>
      </c>
      <c r="E252" s="131" t="s">
        <v>715</v>
      </c>
      <c r="F252" s="111" t="s">
        <v>52</v>
      </c>
      <c r="G252" s="145" t="s">
        <v>53</v>
      </c>
      <c r="H252" s="111" t="s">
        <v>733</v>
      </c>
      <c r="I252" s="111" t="s">
        <v>55</v>
      </c>
      <c r="J252" s="111" t="s">
        <v>56</v>
      </c>
      <c r="K252" s="63">
        <v>801116</v>
      </c>
      <c r="L252" s="111" t="s">
        <v>720</v>
      </c>
      <c r="M252" s="111" t="s">
        <v>58</v>
      </c>
      <c r="N252" s="111" t="s">
        <v>59</v>
      </c>
      <c r="O252" s="111" t="s">
        <v>728</v>
      </c>
      <c r="P252" s="227" t="s">
        <v>789</v>
      </c>
      <c r="Q252" s="134">
        <f t="shared" si="17"/>
        <v>1236000</v>
      </c>
      <c r="R252" s="146">
        <v>1</v>
      </c>
      <c r="S252" s="136">
        <v>14214000</v>
      </c>
      <c r="T252" s="137" t="s">
        <v>747</v>
      </c>
      <c r="U252" s="148" t="s">
        <v>445</v>
      </c>
      <c r="V252" s="148" t="s">
        <v>64</v>
      </c>
      <c r="W252" s="153">
        <v>11.5</v>
      </c>
      <c r="X252" s="133">
        <v>50</v>
      </c>
      <c r="Y252" s="81">
        <v>43102</v>
      </c>
      <c r="Z252" s="154">
        <v>14214000</v>
      </c>
      <c r="AA252" s="140"/>
      <c r="AB252" s="141">
        <v>55</v>
      </c>
      <c r="AC252" s="150">
        <v>43103</v>
      </c>
      <c r="AD252" s="143">
        <v>14214000</v>
      </c>
      <c r="AE252" s="143">
        <f t="shared" ref="AE252:AE306" si="20">S252-AD252</f>
        <v>0</v>
      </c>
      <c r="AF252" s="133">
        <v>184</v>
      </c>
      <c r="AG252" s="81">
        <v>43118</v>
      </c>
      <c r="AH252" s="143">
        <v>14214000</v>
      </c>
      <c r="AI252" s="63" t="s">
        <v>790</v>
      </c>
      <c r="AJ252" s="63">
        <v>135</v>
      </c>
      <c r="AK252" s="143">
        <f t="shared" si="19"/>
        <v>0</v>
      </c>
      <c r="AL252" s="143">
        <v>9187599.9000000004</v>
      </c>
      <c r="AM252" s="143">
        <f t="shared" ref="AM252:AM315" si="21">AH252-AL252</f>
        <v>5026400.0999999996</v>
      </c>
      <c r="AN252" s="133"/>
      <c r="AO252" s="144">
        <f t="shared" ref="AO252:AO311" si="22">S252-AH252</f>
        <v>0</v>
      </c>
      <c r="AP252" s="133"/>
      <c r="AQ252" s="150">
        <v>43102</v>
      </c>
      <c r="AR252" s="133" t="s">
        <v>739</v>
      </c>
      <c r="AS252" s="150">
        <v>43102</v>
      </c>
      <c r="AT252" s="133" t="s">
        <v>740</v>
      </c>
      <c r="AU252" s="220"/>
      <c r="AV252" s="220"/>
      <c r="AW252" s="220"/>
    </row>
    <row r="253" spans="1:49" s="221" customFormat="1" ht="370.5" x14ac:dyDescent="0.25">
      <c r="A253" s="63">
        <f t="shared" si="18"/>
        <v>66</v>
      </c>
      <c r="B253" s="128" t="str">
        <f t="shared" ref="B253:B307" si="23">+CONCATENATE("208-",A253)</f>
        <v>208-66</v>
      </c>
      <c r="C253" s="129" t="s">
        <v>713</v>
      </c>
      <c r="D253" s="130" t="s">
        <v>714</v>
      </c>
      <c r="E253" s="145" t="s">
        <v>725</v>
      </c>
      <c r="F253" s="111" t="s">
        <v>52</v>
      </c>
      <c r="G253" s="145" t="s">
        <v>53</v>
      </c>
      <c r="H253" s="111" t="s">
        <v>733</v>
      </c>
      <c r="I253" s="111" t="s">
        <v>55</v>
      </c>
      <c r="J253" s="111" t="s">
        <v>56</v>
      </c>
      <c r="K253" s="63">
        <v>801116</v>
      </c>
      <c r="L253" s="111" t="s">
        <v>720</v>
      </c>
      <c r="M253" s="111" t="s">
        <v>58</v>
      </c>
      <c r="N253" s="111" t="s">
        <v>59</v>
      </c>
      <c r="O253" s="111" t="s">
        <v>728</v>
      </c>
      <c r="P253" s="227" t="s">
        <v>789</v>
      </c>
      <c r="Q253" s="134">
        <f t="shared" ref="Q253:Q305" si="24">(S253/W253)/R253</f>
        <v>2884000</v>
      </c>
      <c r="R253" s="146">
        <v>1</v>
      </c>
      <c r="S253" s="136">
        <v>33166000</v>
      </c>
      <c r="T253" s="137" t="s">
        <v>747</v>
      </c>
      <c r="U253" s="148" t="s">
        <v>445</v>
      </c>
      <c r="V253" s="148" t="s">
        <v>64</v>
      </c>
      <c r="W253" s="153">
        <v>11.5</v>
      </c>
      <c r="X253" s="133">
        <v>49</v>
      </c>
      <c r="Y253" s="81">
        <v>43102</v>
      </c>
      <c r="Z253" s="154">
        <v>33166000</v>
      </c>
      <c r="AA253" s="140"/>
      <c r="AB253" s="141">
        <v>55</v>
      </c>
      <c r="AC253" s="150">
        <v>43103</v>
      </c>
      <c r="AD253" s="143">
        <v>33166000</v>
      </c>
      <c r="AE253" s="143">
        <f t="shared" si="20"/>
        <v>0</v>
      </c>
      <c r="AF253" s="133">
        <v>184</v>
      </c>
      <c r="AG253" s="81">
        <v>43118</v>
      </c>
      <c r="AH253" s="143">
        <v>33166000</v>
      </c>
      <c r="AI253" s="63" t="s">
        <v>790</v>
      </c>
      <c r="AJ253" s="63">
        <v>135</v>
      </c>
      <c r="AK253" s="143">
        <f t="shared" si="19"/>
        <v>0</v>
      </c>
      <c r="AL253" s="143">
        <v>21437733.099999998</v>
      </c>
      <c r="AM253" s="143">
        <f t="shared" si="21"/>
        <v>11728266.900000002</v>
      </c>
      <c r="AN253" s="133"/>
      <c r="AO253" s="144">
        <f t="shared" si="22"/>
        <v>0</v>
      </c>
      <c r="AP253" s="133"/>
      <c r="AQ253" s="150">
        <v>43102</v>
      </c>
      <c r="AR253" s="133" t="s">
        <v>739</v>
      </c>
      <c r="AS253" s="150">
        <v>43102</v>
      </c>
      <c r="AT253" s="133" t="s">
        <v>740</v>
      </c>
      <c r="AU253" s="220"/>
      <c r="AV253" s="220"/>
      <c r="AW253" s="220"/>
    </row>
    <row r="254" spans="1:49" s="221" customFormat="1" ht="399" x14ac:dyDescent="0.25">
      <c r="A254" s="63">
        <f t="shared" ref="A254:A306" si="25">A253+1</f>
        <v>67</v>
      </c>
      <c r="B254" s="128" t="str">
        <f t="shared" si="23"/>
        <v>208-67</v>
      </c>
      <c r="C254" s="129" t="s">
        <v>713</v>
      </c>
      <c r="D254" s="130" t="s">
        <v>714</v>
      </c>
      <c r="E254" s="131" t="s">
        <v>715</v>
      </c>
      <c r="F254" s="111" t="s">
        <v>52</v>
      </c>
      <c r="G254" s="145" t="s">
        <v>53</v>
      </c>
      <c r="H254" s="111" t="s">
        <v>733</v>
      </c>
      <c r="I254" s="111" t="s">
        <v>55</v>
      </c>
      <c r="J254" s="111" t="s">
        <v>56</v>
      </c>
      <c r="K254" s="63">
        <v>801116</v>
      </c>
      <c r="L254" s="111" t="s">
        <v>720</v>
      </c>
      <c r="M254" s="111" t="s">
        <v>58</v>
      </c>
      <c r="N254" s="111" t="s">
        <v>59</v>
      </c>
      <c r="O254" s="111" t="s">
        <v>728</v>
      </c>
      <c r="P254" s="227" t="s">
        <v>789</v>
      </c>
      <c r="Q254" s="134">
        <f t="shared" si="24"/>
        <v>1066050</v>
      </c>
      <c r="R254" s="146">
        <v>1</v>
      </c>
      <c r="S254" s="136">
        <v>12259575</v>
      </c>
      <c r="T254" s="137" t="s">
        <v>747</v>
      </c>
      <c r="U254" s="148" t="s">
        <v>445</v>
      </c>
      <c r="V254" s="148" t="s">
        <v>64</v>
      </c>
      <c r="W254" s="153">
        <v>11.5</v>
      </c>
      <c r="X254" s="133">
        <v>48</v>
      </c>
      <c r="Y254" s="81">
        <v>43102</v>
      </c>
      <c r="Z254" s="154">
        <v>12259575</v>
      </c>
      <c r="AA254" s="140"/>
      <c r="AB254" s="141">
        <v>54</v>
      </c>
      <c r="AC254" s="150">
        <v>43103</v>
      </c>
      <c r="AD254" s="143">
        <v>12259575</v>
      </c>
      <c r="AE254" s="143">
        <f t="shared" si="20"/>
        <v>0</v>
      </c>
      <c r="AF254" s="133">
        <v>15</v>
      </c>
      <c r="AG254" s="81">
        <v>43112</v>
      </c>
      <c r="AH254" s="143">
        <v>12259575</v>
      </c>
      <c r="AI254" s="63" t="s">
        <v>791</v>
      </c>
      <c r="AJ254" s="63">
        <v>11</v>
      </c>
      <c r="AK254" s="143">
        <f t="shared" si="19"/>
        <v>0</v>
      </c>
      <c r="AL254" s="143">
        <v>7995375</v>
      </c>
      <c r="AM254" s="143">
        <f t="shared" si="21"/>
        <v>4264200</v>
      </c>
      <c r="AN254" s="133"/>
      <c r="AO254" s="144">
        <f t="shared" si="22"/>
        <v>0</v>
      </c>
      <c r="AP254" s="133"/>
      <c r="AQ254" s="150">
        <v>43102</v>
      </c>
      <c r="AR254" s="133" t="s">
        <v>739</v>
      </c>
      <c r="AS254" s="150">
        <v>43102</v>
      </c>
      <c r="AT254" s="133" t="s">
        <v>740</v>
      </c>
      <c r="AU254" s="220"/>
      <c r="AV254" s="220"/>
      <c r="AW254" s="220"/>
    </row>
    <row r="255" spans="1:49" s="221" customFormat="1" ht="370.5" x14ac:dyDescent="0.25">
      <c r="A255" s="63">
        <f t="shared" si="25"/>
        <v>68</v>
      </c>
      <c r="B255" s="128" t="str">
        <f t="shared" si="23"/>
        <v>208-68</v>
      </c>
      <c r="C255" s="129" t="s">
        <v>713</v>
      </c>
      <c r="D255" s="130" t="s">
        <v>714</v>
      </c>
      <c r="E255" s="145" t="s">
        <v>725</v>
      </c>
      <c r="F255" s="111" t="s">
        <v>52</v>
      </c>
      <c r="G255" s="145" t="s">
        <v>53</v>
      </c>
      <c r="H255" s="111" t="s">
        <v>733</v>
      </c>
      <c r="I255" s="111" t="s">
        <v>55</v>
      </c>
      <c r="J255" s="111" t="s">
        <v>56</v>
      </c>
      <c r="K255" s="63">
        <v>801116</v>
      </c>
      <c r="L255" s="111" t="s">
        <v>720</v>
      </c>
      <c r="M255" s="111" t="s">
        <v>58</v>
      </c>
      <c r="N255" s="111" t="s">
        <v>59</v>
      </c>
      <c r="O255" s="111" t="s">
        <v>728</v>
      </c>
      <c r="P255" s="227" t="s">
        <v>789</v>
      </c>
      <c r="Q255" s="134">
        <f t="shared" si="24"/>
        <v>2487450</v>
      </c>
      <c r="R255" s="146">
        <v>1</v>
      </c>
      <c r="S255" s="136">
        <v>28605675</v>
      </c>
      <c r="T255" s="137" t="s">
        <v>747</v>
      </c>
      <c r="U255" s="148" t="s">
        <v>445</v>
      </c>
      <c r="V255" s="148" t="s">
        <v>64</v>
      </c>
      <c r="W255" s="153">
        <v>11.5</v>
      </c>
      <c r="X255" s="133">
        <v>47</v>
      </c>
      <c r="Y255" s="81">
        <v>43102</v>
      </c>
      <c r="Z255" s="154">
        <v>28605675</v>
      </c>
      <c r="AA255" s="140"/>
      <c r="AB255" s="141">
        <v>54</v>
      </c>
      <c r="AC255" s="150">
        <v>43103</v>
      </c>
      <c r="AD255" s="143">
        <v>28605675</v>
      </c>
      <c r="AE255" s="143">
        <f t="shared" si="20"/>
        <v>0</v>
      </c>
      <c r="AF255" s="133">
        <v>15</v>
      </c>
      <c r="AG255" s="81">
        <v>43112</v>
      </c>
      <c r="AH255" s="143">
        <v>28605675</v>
      </c>
      <c r="AI255" s="63" t="s">
        <v>791</v>
      </c>
      <c r="AJ255" s="63">
        <v>11</v>
      </c>
      <c r="AK255" s="143">
        <f t="shared" si="19"/>
        <v>0</v>
      </c>
      <c r="AL255" s="143">
        <v>18655875</v>
      </c>
      <c r="AM255" s="143">
        <f t="shared" si="21"/>
        <v>9949800</v>
      </c>
      <c r="AN255" s="133"/>
      <c r="AO255" s="144">
        <f t="shared" si="22"/>
        <v>0</v>
      </c>
      <c r="AP255" s="133"/>
      <c r="AQ255" s="150">
        <v>43102</v>
      </c>
      <c r="AR255" s="133" t="s">
        <v>739</v>
      </c>
      <c r="AS255" s="150">
        <v>43102</v>
      </c>
      <c r="AT255" s="133" t="s">
        <v>740</v>
      </c>
      <c r="AU255" s="220"/>
      <c r="AV255" s="220"/>
      <c r="AW255" s="220"/>
    </row>
    <row r="256" spans="1:49" s="221" customFormat="1" ht="399" x14ac:dyDescent="0.25">
      <c r="A256" s="63">
        <f t="shared" si="25"/>
        <v>69</v>
      </c>
      <c r="B256" s="128" t="str">
        <f t="shared" si="23"/>
        <v>208-69</v>
      </c>
      <c r="C256" s="129" t="s">
        <v>713</v>
      </c>
      <c r="D256" s="130" t="s">
        <v>714</v>
      </c>
      <c r="E256" s="131" t="s">
        <v>715</v>
      </c>
      <c r="F256" s="111" t="s">
        <v>52</v>
      </c>
      <c r="G256" s="145" t="s">
        <v>53</v>
      </c>
      <c r="H256" s="111" t="s">
        <v>733</v>
      </c>
      <c r="I256" s="111" t="s">
        <v>55</v>
      </c>
      <c r="J256" s="111" t="s">
        <v>56</v>
      </c>
      <c r="K256" s="63">
        <v>801116</v>
      </c>
      <c r="L256" s="111" t="s">
        <v>720</v>
      </c>
      <c r="M256" s="111" t="s">
        <v>58</v>
      </c>
      <c r="N256" s="111" t="s">
        <v>59</v>
      </c>
      <c r="O256" s="111" t="s">
        <v>728</v>
      </c>
      <c r="P256" s="227" t="s">
        <v>789</v>
      </c>
      <c r="Q256" s="134">
        <f t="shared" si="24"/>
        <v>1066050</v>
      </c>
      <c r="R256" s="146">
        <v>1</v>
      </c>
      <c r="S256" s="136">
        <v>12259575</v>
      </c>
      <c r="T256" s="137" t="s">
        <v>747</v>
      </c>
      <c r="U256" s="148" t="s">
        <v>445</v>
      </c>
      <c r="V256" s="148" t="s">
        <v>64</v>
      </c>
      <c r="W256" s="153">
        <v>11.5</v>
      </c>
      <c r="X256" s="133">
        <v>46</v>
      </c>
      <c r="Y256" s="81">
        <v>43102</v>
      </c>
      <c r="Z256" s="154">
        <v>12259575</v>
      </c>
      <c r="AA256" s="140"/>
      <c r="AB256" s="141">
        <v>53</v>
      </c>
      <c r="AC256" s="150">
        <v>43103</v>
      </c>
      <c r="AD256" s="143">
        <v>12259575</v>
      </c>
      <c r="AE256" s="143">
        <f t="shared" si="20"/>
        <v>0</v>
      </c>
      <c r="AF256" s="133">
        <v>183</v>
      </c>
      <c r="AG256" s="81">
        <v>43118</v>
      </c>
      <c r="AH256" s="143">
        <v>12259575</v>
      </c>
      <c r="AI256" s="63" t="s">
        <v>792</v>
      </c>
      <c r="AJ256" s="63">
        <v>137</v>
      </c>
      <c r="AK256" s="143">
        <f t="shared" si="19"/>
        <v>0</v>
      </c>
      <c r="AL256" s="143">
        <v>7782165</v>
      </c>
      <c r="AM256" s="143">
        <f t="shared" si="21"/>
        <v>4477410</v>
      </c>
      <c r="AN256" s="133"/>
      <c r="AO256" s="144">
        <f t="shared" si="22"/>
        <v>0</v>
      </c>
      <c r="AP256" s="133"/>
      <c r="AQ256" s="150">
        <v>43102</v>
      </c>
      <c r="AR256" s="133" t="s">
        <v>739</v>
      </c>
      <c r="AS256" s="150">
        <v>43102</v>
      </c>
      <c r="AT256" s="133" t="s">
        <v>740</v>
      </c>
      <c r="AU256" s="220"/>
      <c r="AV256" s="220"/>
      <c r="AW256" s="220"/>
    </row>
    <row r="257" spans="1:49" s="221" customFormat="1" ht="370.5" x14ac:dyDescent="0.25">
      <c r="A257" s="63">
        <f t="shared" si="25"/>
        <v>70</v>
      </c>
      <c r="B257" s="128" t="str">
        <f t="shared" si="23"/>
        <v>208-70</v>
      </c>
      <c r="C257" s="129" t="s">
        <v>713</v>
      </c>
      <c r="D257" s="130" t="s">
        <v>714</v>
      </c>
      <c r="E257" s="145" t="s">
        <v>725</v>
      </c>
      <c r="F257" s="111" t="s">
        <v>52</v>
      </c>
      <c r="G257" s="145" t="s">
        <v>53</v>
      </c>
      <c r="H257" s="111" t="s">
        <v>733</v>
      </c>
      <c r="I257" s="111" t="s">
        <v>55</v>
      </c>
      <c r="J257" s="111" t="s">
        <v>56</v>
      </c>
      <c r="K257" s="63">
        <v>801116</v>
      </c>
      <c r="L257" s="111" t="s">
        <v>720</v>
      </c>
      <c r="M257" s="111" t="s">
        <v>58</v>
      </c>
      <c r="N257" s="111" t="s">
        <v>59</v>
      </c>
      <c r="O257" s="111" t="s">
        <v>728</v>
      </c>
      <c r="P257" s="227" t="s">
        <v>789</v>
      </c>
      <c r="Q257" s="134">
        <f t="shared" si="24"/>
        <v>2487450</v>
      </c>
      <c r="R257" s="146">
        <v>1</v>
      </c>
      <c r="S257" s="136">
        <v>28605675</v>
      </c>
      <c r="T257" s="137" t="s">
        <v>747</v>
      </c>
      <c r="U257" s="148" t="s">
        <v>445</v>
      </c>
      <c r="V257" s="148" t="s">
        <v>64</v>
      </c>
      <c r="W257" s="153">
        <v>11.5</v>
      </c>
      <c r="X257" s="133">
        <v>45</v>
      </c>
      <c r="Y257" s="81">
        <v>43102</v>
      </c>
      <c r="Z257" s="154">
        <v>28605675</v>
      </c>
      <c r="AA257" s="140"/>
      <c r="AB257" s="141">
        <v>53</v>
      </c>
      <c r="AC257" s="150">
        <v>43103</v>
      </c>
      <c r="AD257" s="143">
        <v>28605675</v>
      </c>
      <c r="AE257" s="143">
        <f t="shared" si="20"/>
        <v>0</v>
      </c>
      <c r="AF257" s="133">
        <v>183</v>
      </c>
      <c r="AG257" s="81">
        <v>43118</v>
      </c>
      <c r="AH257" s="143">
        <v>28605675</v>
      </c>
      <c r="AI257" s="63" t="s">
        <v>792</v>
      </c>
      <c r="AJ257" s="63">
        <v>137</v>
      </c>
      <c r="AK257" s="143">
        <f t="shared" si="19"/>
        <v>0</v>
      </c>
      <c r="AL257" s="143">
        <v>18158385</v>
      </c>
      <c r="AM257" s="143">
        <f t="shared" si="21"/>
        <v>10447290</v>
      </c>
      <c r="AN257" s="133"/>
      <c r="AO257" s="144">
        <f t="shared" si="22"/>
        <v>0</v>
      </c>
      <c r="AP257" s="133"/>
      <c r="AQ257" s="150">
        <v>43102</v>
      </c>
      <c r="AR257" s="133" t="s">
        <v>739</v>
      </c>
      <c r="AS257" s="150">
        <v>43102</v>
      </c>
      <c r="AT257" s="133" t="s">
        <v>740</v>
      </c>
      <c r="AU257" s="220"/>
      <c r="AV257" s="220"/>
      <c r="AW257" s="220"/>
    </row>
    <row r="258" spans="1:49" s="221" customFormat="1" ht="399" x14ac:dyDescent="0.25">
      <c r="A258" s="63">
        <f t="shared" si="25"/>
        <v>71</v>
      </c>
      <c r="B258" s="128" t="str">
        <f t="shared" si="23"/>
        <v>208-71</v>
      </c>
      <c r="C258" s="129" t="s">
        <v>713</v>
      </c>
      <c r="D258" s="130" t="s">
        <v>714</v>
      </c>
      <c r="E258" s="131" t="s">
        <v>715</v>
      </c>
      <c r="F258" s="111" t="s">
        <v>52</v>
      </c>
      <c r="G258" s="145" t="s">
        <v>53</v>
      </c>
      <c r="H258" s="111" t="s">
        <v>733</v>
      </c>
      <c r="I258" s="111" t="s">
        <v>55</v>
      </c>
      <c r="J258" s="111" t="s">
        <v>56</v>
      </c>
      <c r="K258" s="63">
        <v>801116</v>
      </c>
      <c r="L258" s="111" t="s">
        <v>720</v>
      </c>
      <c r="M258" s="111" t="s">
        <v>58</v>
      </c>
      <c r="N258" s="111" t="s">
        <v>59</v>
      </c>
      <c r="O258" s="111" t="s">
        <v>728</v>
      </c>
      <c r="P258" s="227" t="s">
        <v>789</v>
      </c>
      <c r="Q258" s="134">
        <f t="shared" si="24"/>
        <v>1066050</v>
      </c>
      <c r="R258" s="146">
        <v>1</v>
      </c>
      <c r="S258" s="136">
        <v>12259575</v>
      </c>
      <c r="T258" s="137" t="s">
        <v>747</v>
      </c>
      <c r="U258" s="148" t="s">
        <v>445</v>
      </c>
      <c r="V258" s="148" t="s">
        <v>64</v>
      </c>
      <c r="W258" s="153">
        <v>11.5</v>
      </c>
      <c r="X258" s="133">
        <v>44</v>
      </c>
      <c r="Y258" s="81">
        <v>43102</v>
      </c>
      <c r="Z258" s="154">
        <v>12259575</v>
      </c>
      <c r="AA258" s="140"/>
      <c r="AB258" s="141">
        <v>51</v>
      </c>
      <c r="AC258" s="150">
        <v>43103</v>
      </c>
      <c r="AD258" s="143">
        <v>12259575</v>
      </c>
      <c r="AE258" s="143">
        <f t="shared" si="20"/>
        <v>0</v>
      </c>
      <c r="AF258" s="133">
        <v>257</v>
      </c>
      <c r="AG258" s="81">
        <v>43119</v>
      </c>
      <c r="AH258" s="143">
        <v>12259575</v>
      </c>
      <c r="AI258" s="63" t="s">
        <v>793</v>
      </c>
      <c r="AJ258" s="63">
        <v>225</v>
      </c>
      <c r="AK258" s="143">
        <f t="shared" si="19"/>
        <v>0</v>
      </c>
      <c r="AL258" s="143">
        <v>7782165</v>
      </c>
      <c r="AM258" s="143">
        <f t="shared" si="21"/>
        <v>4477410</v>
      </c>
      <c r="AN258" s="133"/>
      <c r="AO258" s="144">
        <f t="shared" si="22"/>
        <v>0</v>
      </c>
      <c r="AP258" s="133"/>
      <c r="AQ258" s="150">
        <v>43102</v>
      </c>
      <c r="AR258" s="133" t="s">
        <v>739</v>
      </c>
      <c r="AS258" s="150">
        <v>43102</v>
      </c>
      <c r="AT258" s="133" t="s">
        <v>740</v>
      </c>
      <c r="AU258" s="220"/>
      <c r="AV258" s="220"/>
      <c r="AW258" s="220"/>
    </row>
    <row r="259" spans="1:49" s="221" customFormat="1" ht="370.5" x14ac:dyDescent="0.25">
      <c r="A259" s="63">
        <f t="shared" si="25"/>
        <v>72</v>
      </c>
      <c r="B259" s="128" t="str">
        <f t="shared" si="23"/>
        <v>208-72</v>
      </c>
      <c r="C259" s="129" t="s">
        <v>713</v>
      </c>
      <c r="D259" s="130" t="s">
        <v>714</v>
      </c>
      <c r="E259" s="145" t="s">
        <v>725</v>
      </c>
      <c r="F259" s="111" t="s">
        <v>52</v>
      </c>
      <c r="G259" s="145" t="s">
        <v>53</v>
      </c>
      <c r="H259" s="111" t="s">
        <v>733</v>
      </c>
      <c r="I259" s="111" t="s">
        <v>55</v>
      </c>
      <c r="J259" s="111" t="s">
        <v>56</v>
      </c>
      <c r="K259" s="63">
        <v>801116</v>
      </c>
      <c r="L259" s="111" t="s">
        <v>720</v>
      </c>
      <c r="M259" s="111" t="s">
        <v>58</v>
      </c>
      <c r="N259" s="111" t="s">
        <v>59</v>
      </c>
      <c r="O259" s="111" t="s">
        <v>728</v>
      </c>
      <c r="P259" s="227" t="s">
        <v>789</v>
      </c>
      <c r="Q259" s="134">
        <f t="shared" si="24"/>
        <v>2487450</v>
      </c>
      <c r="R259" s="146">
        <v>1</v>
      </c>
      <c r="S259" s="136">
        <v>28605675</v>
      </c>
      <c r="T259" s="137" t="s">
        <v>747</v>
      </c>
      <c r="U259" s="148" t="s">
        <v>445</v>
      </c>
      <c r="V259" s="148" t="s">
        <v>64</v>
      </c>
      <c r="W259" s="153">
        <v>11.5</v>
      </c>
      <c r="X259" s="133">
        <v>43</v>
      </c>
      <c r="Y259" s="81">
        <v>43102</v>
      </c>
      <c r="Z259" s="154">
        <v>28605675</v>
      </c>
      <c r="AA259" s="140"/>
      <c r="AB259" s="141">
        <v>51</v>
      </c>
      <c r="AC259" s="150">
        <v>43103</v>
      </c>
      <c r="AD259" s="143">
        <v>28605675</v>
      </c>
      <c r="AE259" s="143">
        <f t="shared" si="20"/>
        <v>0</v>
      </c>
      <c r="AF259" s="133">
        <v>257</v>
      </c>
      <c r="AG259" s="81">
        <v>43119</v>
      </c>
      <c r="AH259" s="143">
        <v>28605675</v>
      </c>
      <c r="AI259" s="63" t="s">
        <v>793</v>
      </c>
      <c r="AJ259" s="63">
        <v>225</v>
      </c>
      <c r="AK259" s="143">
        <f t="shared" si="19"/>
        <v>0</v>
      </c>
      <c r="AL259" s="143">
        <v>18158385</v>
      </c>
      <c r="AM259" s="143">
        <f t="shared" si="21"/>
        <v>10447290</v>
      </c>
      <c r="AN259" s="133"/>
      <c r="AO259" s="144">
        <f t="shared" si="22"/>
        <v>0</v>
      </c>
      <c r="AP259" s="133"/>
      <c r="AQ259" s="150">
        <v>43102</v>
      </c>
      <c r="AR259" s="133" t="s">
        <v>739</v>
      </c>
      <c r="AS259" s="150">
        <v>43102</v>
      </c>
      <c r="AT259" s="133" t="s">
        <v>740</v>
      </c>
      <c r="AU259" s="220"/>
      <c r="AV259" s="220"/>
      <c r="AW259" s="220"/>
    </row>
    <row r="260" spans="1:49" s="221" customFormat="1" ht="399" x14ac:dyDescent="0.25">
      <c r="A260" s="63">
        <f t="shared" si="25"/>
        <v>73</v>
      </c>
      <c r="B260" s="128" t="str">
        <f t="shared" si="23"/>
        <v>208-73</v>
      </c>
      <c r="C260" s="129" t="s">
        <v>713</v>
      </c>
      <c r="D260" s="130" t="s">
        <v>714</v>
      </c>
      <c r="E260" s="131" t="s">
        <v>715</v>
      </c>
      <c r="F260" s="111" t="s">
        <v>52</v>
      </c>
      <c r="G260" s="145" t="s">
        <v>53</v>
      </c>
      <c r="H260" s="111" t="s">
        <v>733</v>
      </c>
      <c r="I260" s="111" t="s">
        <v>55</v>
      </c>
      <c r="J260" s="111" t="s">
        <v>56</v>
      </c>
      <c r="K260" s="63">
        <v>801116</v>
      </c>
      <c r="L260" s="111" t="s">
        <v>720</v>
      </c>
      <c r="M260" s="111" t="s">
        <v>58</v>
      </c>
      <c r="N260" s="111" t="s">
        <v>59</v>
      </c>
      <c r="O260" s="111" t="s">
        <v>728</v>
      </c>
      <c r="P260" s="227" t="s">
        <v>789</v>
      </c>
      <c r="Q260" s="134">
        <f t="shared" si="24"/>
        <v>1019700</v>
      </c>
      <c r="R260" s="146">
        <v>1</v>
      </c>
      <c r="S260" s="136">
        <f>12259575-533025</f>
        <v>11726550</v>
      </c>
      <c r="T260" s="137" t="s">
        <v>747</v>
      </c>
      <c r="U260" s="148" t="s">
        <v>445</v>
      </c>
      <c r="V260" s="148" t="s">
        <v>64</v>
      </c>
      <c r="W260" s="153">
        <v>11.5</v>
      </c>
      <c r="X260" s="133">
        <v>42</v>
      </c>
      <c r="Y260" s="81">
        <v>43102</v>
      </c>
      <c r="Z260" s="154">
        <v>12259575</v>
      </c>
      <c r="AA260" s="140"/>
      <c r="AB260" s="141">
        <v>49</v>
      </c>
      <c r="AC260" s="150">
        <v>43103</v>
      </c>
      <c r="AD260" s="143">
        <v>11726550</v>
      </c>
      <c r="AE260" s="143">
        <f t="shared" si="20"/>
        <v>0</v>
      </c>
      <c r="AF260" s="133">
        <v>499</v>
      </c>
      <c r="AG260" s="81">
        <v>43126</v>
      </c>
      <c r="AH260" s="143">
        <v>11726550</v>
      </c>
      <c r="AI260" s="63" t="s">
        <v>794</v>
      </c>
      <c r="AJ260" s="63">
        <v>409</v>
      </c>
      <c r="AK260" s="143">
        <f t="shared" si="19"/>
        <v>0</v>
      </c>
      <c r="AL260" s="143">
        <v>7533420</v>
      </c>
      <c r="AM260" s="143">
        <f t="shared" si="21"/>
        <v>4193130</v>
      </c>
      <c r="AN260" s="133"/>
      <c r="AO260" s="144">
        <f t="shared" si="22"/>
        <v>0</v>
      </c>
      <c r="AP260" s="133"/>
      <c r="AQ260" s="150">
        <v>43102</v>
      </c>
      <c r="AR260" s="133" t="s">
        <v>739</v>
      </c>
      <c r="AS260" s="150">
        <v>43102</v>
      </c>
      <c r="AT260" s="133" t="s">
        <v>740</v>
      </c>
      <c r="AU260" s="220"/>
      <c r="AV260" s="220"/>
      <c r="AW260" s="220"/>
    </row>
    <row r="261" spans="1:49" s="221" customFormat="1" ht="370.5" x14ac:dyDescent="0.25">
      <c r="A261" s="63">
        <f t="shared" si="25"/>
        <v>74</v>
      </c>
      <c r="B261" s="128" t="str">
        <f t="shared" si="23"/>
        <v>208-74</v>
      </c>
      <c r="C261" s="129" t="s">
        <v>713</v>
      </c>
      <c r="D261" s="130" t="s">
        <v>714</v>
      </c>
      <c r="E261" s="145" t="s">
        <v>725</v>
      </c>
      <c r="F261" s="111" t="s">
        <v>52</v>
      </c>
      <c r="G261" s="145" t="s">
        <v>53</v>
      </c>
      <c r="H261" s="111" t="s">
        <v>733</v>
      </c>
      <c r="I261" s="111" t="s">
        <v>55</v>
      </c>
      <c r="J261" s="111" t="s">
        <v>56</v>
      </c>
      <c r="K261" s="63">
        <v>801116</v>
      </c>
      <c r="L261" s="111" t="s">
        <v>720</v>
      </c>
      <c r="M261" s="111" t="s">
        <v>58</v>
      </c>
      <c r="N261" s="111" t="s">
        <v>59</v>
      </c>
      <c r="O261" s="111" t="s">
        <v>728</v>
      </c>
      <c r="P261" s="227" t="s">
        <v>789</v>
      </c>
      <c r="Q261" s="134">
        <f t="shared" si="24"/>
        <v>2379300</v>
      </c>
      <c r="R261" s="146">
        <v>1</v>
      </c>
      <c r="S261" s="136">
        <f>28605675-1243725</f>
        <v>27361950</v>
      </c>
      <c r="T261" s="137" t="s">
        <v>747</v>
      </c>
      <c r="U261" s="148" t="s">
        <v>445</v>
      </c>
      <c r="V261" s="148" t="s">
        <v>64</v>
      </c>
      <c r="W261" s="153">
        <v>11.5</v>
      </c>
      <c r="X261" s="133">
        <v>41</v>
      </c>
      <c r="Y261" s="81">
        <v>43102</v>
      </c>
      <c r="Z261" s="154">
        <v>28605675</v>
      </c>
      <c r="AA261" s="140"/>
      <c r="AB261" s="141">
        <v>49</v>
      </c>
      <c r="AC261" s="150">
        <v>43103</v>
      </c>
      <c r="AD261" s="143">
        <v>27361950</v>
      </c>
      <c r="AE261" s="143">
        <f t="shared" si="20"/>
        <v>0</v>
      </c>
      <c r="AF261" s="133">
        <v>499</v>
      </c>
      <c r="AG261" s="81">
        <v>43126</v>
      </c>
      <c r="AH261" s="143">
        <v>27361950</v>
      </c>
      <c r="AI261" s="63" t="s">
        <v>794</v>
      </c>
      <c r="AJ261" s="63">
        <v>409</v>
      </c>
      <c r="AK261" s="143">
        <f t="shared" si="19"/>
        <v>0</v>
      </c>
      <c r="AL261" s="143">
        <v>17577980</v>
      </c>
      <c r="AM261" s="143">
        <f t="shared" si="21"/>
        <v>9783970</v>
      </c>
      <c r="AN261" s="133"/>
      <c r="AO261" s="144">
        <f t="shared" si="22"/>
        <v>0</v>
      </c>
      <c r="AP261" s="133"/>
      <c r="AQ261" s="150">
        <v>43102</v>
      </c>
      <c r="AR261" s="133" t="s">
        <v>739</v>
      </c>
      <c r="AS261" s="150">
        <v>43102</v>
      </c>
      <c r="AT261" s="133" t="s">
        <v>740</v>
      </c>
      <c r="AU261" s="220"/>
      <c r="AV261" s="220"/>
      <c r="AW261" s="220"/>
    </row>
    <row r="262" spans="1:49" s="221" customFormat="1" ht="399" x14ac:dyDescent="0.25">
      <c r="A262" s="63">
        <f t="shared" si="25"/>
        <v>75</v>
      </c>
      <c r="B262" s="128" t="str">
        <f t="shared" si="23"/>
        <v>208-75</v>
      </c>
      <c r="C262" s="129" t="s">
        <v>713</v>
      </c>
      <c r="D262" s="130" t="s">
        <v>714</v>
      </c>
      <c r="E262" s="131" t="s">
        <v>715</v>
      </c>
      <c r="F262" s="111" t="s">
        <v>52</v>
      </c>
      <c r="G262" s="145" t="s">
        <v>53</v>
      </c>
      <c r="H262" s="111" t="s">
        <v>733</v>
      </c>
      <c r="I262" s="111" t="s">
        <v>55</v>
      </c>
      <c r="J262" s="111" t="s">
        <v>56</v>
      </c>
      <c r="K262" s="63">
        <v>801116</v>
      </c>
      <c r="L262" s="111" t="s">
        <v>720</v>
      </c>
      <c r="M262" s="111" t="s">
        <v>58</v>
      </c>
      <c r="N262" s="111" t="s">
        <v>59</v>
      </c>
      <c r="O262" s="111" t="s">
        <v>728</v>
      </c>
      <c r="P262" s="227" t="s">
        <v>795</v>
      </c>
      <c r="Q262" s="134">
        <f t="shared" si="24"/>
        <v>1359600</v>
      </c>
      <c r="R262" s="146">
        <v>1</v>
      </c>
      <c r="S262" s="136">
        <v>15635400</v>
      </c>
      <c r="T262" s="137" t="s">
        <v>747</v>
      </c>
      <c r="U262" s="148" t="s">
        <v>445</v>
      </c>
      <c r="V262" s="148" t="s">
        <v>64</v>
      </c>
      <c r="W262" s="153">
        <v>11.5</v>
      </c>
      <c r="X262" s="133">
        <v>40</v>
      </c>
      <c r="Y262" s="81">
        <v>43102</v>
      </c>
      <c r="Z262" s="154">
        <v>15635400</v>
      </c>
      <c r="AA262" s="140"/>
      <c r="AB262" s="141">
        <v>46</v>
      </c>
      <c r="AC262" s="150">
        <v>43103</v>
      </c>
      <c r="AD262" s="143">
        <v>15635400</v>
      </c>
      <c r="AE262" s="143">
        <f t="shared" si="20"/>
        <v>0</v>
      </c>
      <c r="AF262" s="133">
        <v>10</v>
      </c>
      <c r="AG262" s="81">
        <v>43112</v>
      </c>
      <c r="AH262" s="143">
        <v>15635400</v>
      </c>
      <c r="AI262" s="63" t="s">
        <v>796</v>
      </c>
      <c r="AJ262" s="63">
        <v>10</v>
      </c>
      <c r="AK262" s="143">
        <f t="shared" ref="AK262:AK325" si="26">AD262-AH262</f>
        <v>0</v>
      </c>
      <c r="AL262" s="143">
        <v>10197000</v>
      </c>
      <c r="AM262" s="143">
        <f t="shared" si="21"/>
        <v>5438400</v>
      </c>
      <c r="AN262" s="133"/>
      <c r="AO262" s="144">
        <f t="shared" si="22"/>
        <v>0</v>
      </c>
      <c r="AP262" s="133"/>
      <c r="AQ262" s="150">
        <v>43102</v>
      </c>
      <c r="AR262" s="133" t="s">
        <v>739</v>
      </c>
      <c r="AS262" s="150">
        <v>43102</v>
      </c>
      <c r="AT262" s="133" t="s">
        <v>740</v>
      </c>
      <c r="AU262" s="220"/>
      <c r="AV262" s="220"/>
      <c r="AW262" s="220"/>
    </row>
    <row r="263" spans="1:49" s="221" customFormat="1" ht="370.5" x14ac:dyDescent="0.25">
      <c r="A263" s="63">
        <f t="shared" si="25"/>
        <v>76</v>
      </c>
      <c r="B263" s="128" t="str">
        <f t="shared" si="23"/>
        <v>208-76</v>
      </c>
      <c r="C263" s="129" t="s">
        <v>713</v>
      </c>
      <c r="D263" s="130" t="s">
        <v>714</v>
      </c>
      <c r="E263" s="145" t="s">
        <v>725</v>
      </c>
      <c r="F263" s="111" t="s">
        <v>52</v>
      </c>
      <c r="G263" s="145" t="s">
        <v>53</v>
      </c>
      <c r="H263" s="111" t="s">
        <v>733</v>
      </c>
      <c r="I263" s="111" t="s">
        <v>55</v>
      </c>
      <c r="J263" s="111" t="s">
        <v>56</v>
      </c>
      <c r="K263" s="63">
        <v>801116</v>
      </c>
      <c r="L263" s="111" t="s">
        <v>720</v>
      </c>
      <c r="M263" s="111" t="s">
        <v>58</v>
      </c>
      <c r="N263" s="111" t="s">
        <v>59</v>
      </c>
      <c r="O263" s="111" t="s">
        <v>728</v>
      </c>
      <c r="P263" s="227" t="s">
        <v>795</v>
      </c>
      <c r="Q263" s="134">
        <f t="shared" si="24"/>
        <v>3172400</v>
      </c>
      <c r="R263" s="146">
        <v>1</v>
      </c>
      <c r="S263" s="136">
        <v>36482600</v>
      </c>
      <c r="T263" s="137" t="s">
        <v>747</v>
      </c>
      <c r="U263" s="148" t="s">
        <v>445</v>
      </c>
      <c r="V263" s="148" t="s">
        <v>64</v>
      </c>
      <c r="W263" s="153">
        <v>11.5</v>
      </c>
      <c r="X263" s="133">
        <v>39</v>
      </c>
      <c r="Y263" s="81">
        <v>43102</v>
      </c>
      <c r="Z263" s="154">
        <v>36482600</v>
      </c>
      <c r="AA263" s="140"/>
      <c r="AB263" s="141">
        <v>46</v>
      </c>
      <c r="AC263" s="150">
        <v>43103</v>
      </c>
      <c r="AD263" s="143">
        <v>36482600</v>
      </c>
      <c r="AE263" s="143">
        <f t="shared" si="20"/>
        <v>0</v>
      </c>
      <c r="AF263" s="133">
        <v>10</v>
      </c>
      <c r="AG263" s="81">
        <v>43112</v>
      </c>
      <c r="AH263" s="143">
        <v>36482600</v>
      </c>
      <c r="AI263" s="63" t="s">
        <v>796</v>
      </c>
      <c r="AJ263" s="63">
        <v>10</v>
      </c>
      <c r="AK263" s="143">
        <f t="shared" si="26"/>
        <v>0</v>
      </c>
      <c r="AL263" s="143">
        <v>23793000</v>
      </c>
      <c r="AM263" s="143">
        <f t="shared" si="21"/>
        <v>12689600</v>
      </c>
      <c r="AN263" s="133"/>
      <c r="AO263" s="144">
        <f t="shared" si="22"/>
        <v>0</v>
      </c>
      <c r="AP263" s="133"/>
      <c r="AQ263" s="150">
        <v>43102</v>
      </c>
      <c r="AR263" s="133" t="s">
        <v>739</v>
      </c>
      <c r="AS263" s="150">
        <v>43102</v>
      </c>
      <c r="AT263" s="133" t="s">
        <v>740</v>
      </c>
      <c r="AU263" s="220"/>
      <c r="AV263" s="220"/>
      <c r="AW263" s="220"/>
    </row>
    <row r="264" spans="1:49" s="221" customFormat="1" ht="399" x14ac:dyDescent="0.25">
      <c r="A264" s="63">
        <f t="shared" si="25"/>
        <v>77</v>
      </c>
      <c r="B264" s="128" t="str">
        <f t="shared" si="23"/>
        <v>208-77</v>
      </c>
      <c r="C264" s="129" t="s">
        <v>713</v>
      </c>
      <c r="D264" s="130" t="s">
        <v>714</v>
      </c>
      <c r="E264" s="131" t="s">
        <v>715</v>
      </c>
      <c r="F264" s="111" t="s">
        <v>52</v>
      </c>
      <c r="G264" s="145" t="s">
        <v>53</v>
      </c>
      <c r="H264" s="111" t="s">
        <v>733</v>
      </c>
      <c r="I264" s="111" t="s">
        <v>55</v>
      </c>
      <c r="J264" s="111" t="s">
        <v>56</v>
      </c>
      <c r="K264" s="63">
        <v>801116</v>
      </c>
      <c r="L264" s="111" t="s">
        <v>720</v>
      </c>
      <c r="M264" s="111" t="s">
        <v>58</v>
      </c>
      <c r="N264" s="111" t="s">
        <v>59</v>
      </c>
      <c r="O264" s="111" t="s">
        <v>728</v>
      </c>
      <c r="P264" s="227" t="s">
        <v>797</v>
      </c>
      <c r="Q264" s="134">
        <f t="shared" si="24"/>
        <v>927000</v>
      </c>
      <c r="R264" s="146">
        <v>1</v>
      </c>
      <c r="S264" s="136">
        <v>10660500</v>
      </c>
      <c r="T264" s="137" t="s">
        <v>747</v>
      </c>
      <c r="U264" s="148" t="s">
        <v>445</v>
      </c>
      <c r="V264" s="148" t="s">
        <v>64</v>
      </c>
      <c r="W264" s="153">
        <v>11.5</v>
      </c>
      <c r="X264" s="133">
        <v>38</v>
      </c>
      <c r="Y264" s="81">
        <v>43102</v>
      </c>
      <c r="Z264" s="154">
        <v>10660500</v>
      </c>
      <c r="AA264" s="140"/>
      <c r="AB264" s="141">
        <v>44</v>
      </c>
      <c r="AC264" s="150">
        <v>43103</v>
      </c>
      <c r="AD264" s="143">
        <v>10660500</v>
      </c>
      <c r="AE264" s="143">
        <f t="shared" si="20"/>
        <v>0</v>
      </c>
      <c r="AF264" s="133">
        <v>159</v>
      </c>
      <c r="AG264" s="81">
        <v>43118</v>
      </c>
      <c r="AH264" s="143">
        <v>10660500</v>
      </c>
      <c r="AI264" s="63" t="s">
        <v>73</v>
      </c>
      <c r="AJ264" s="63">
        <v>126</v>
      </c>
      <c r="AK264" s="143">
        <f t="shared" si="26"/>
        <v>0</v>
      </c>
      <c r="AL264" s="143">
        <v>6365400</v>
      </c>
      <c r="AM264" s="143">
        <f t="shared" si="21"/>
        <v>4295100</v>
      </c>
      <c r="AN264" s="133"/>
      <c r="AO264" s="144">
        <f t="shared" si="22"/>
        <v>0</v>
      </c>
      <c r="AP264" s="133"/>
      <c r="AQ264" s="150">
        <v>43102</v>
      </c>
      <c r="AR264" s="133" t="s">
        <v>739</v>
      </c>
      <c r="AS264" s="150">
        <v>43102</v>
      </c>
      <c r="AT264" s="133" t="s">
        <v>740</v>
      </c>
      <c r="AU264" s="220"/>
      <c r="AV264" s="220"/>
      <c r="AW264" s="220"/>
    </row>
    <row r="265" spans="1:49" s="221" customFormat="1" ht="370.5" x14ac:dyDescent="0.25">
      <c r="A265" s="63">
        <f t="shared" si="25"/>
        <v>78</v>
      </c>
      <c r="B265" s="128" t="str">
        <f t="shared" si="23"/>
        <v>208-78</v>
      </c>
      <c r="C265" s="129" t="s">
        <v>713</v>
      </c>
      <c r="D265" s="130" t="s">
        <v>714</v>
      </c>
      <c r="E265" s="145" t="s">
        <v>725</v>
      </c>
      <c r="F265" s="111" t="s">
        <v>52</v>
      </c>
      <c r="G265" s="145" t="s">
        <v>53</v>
      </c>
      <c r="H265" s="111" t="s">
        <v>733</v>
      </c>
      <c r="I265" s="111" t="s">
        <v>55</v>
      </c>
      <c r="J265" s="111" t="s">
        <v>56</v>
      </c>
      <c r="K265" s="63">
        <v>801116</v>
      </c>
      <c r="L265" s="111" t="s">
        <v>720</v>
      </c>
      <c r="M265" s="111" t="s">
        <v>58</v>
      </c>
      <c r="N265" s="111" t="s">
        <v>59</v>
      </c>
      <c r="O265" s="111" t="s">
        <v>728</v>
      </c>
      <c r="P265" s="227" t="s">
        <v>797</v>
      </c>
      <c r="Q265" s="134">
        <f t="shared" si="24"/>
        <v>2163000</v>
      </c>
      <c r="R265" s="146">
        <v>1</v>
      </c>
      <c r="S265" s="136">
        <v>24874500</v>
      </c>
      <c r="T265" s="137" t="s">
        <v>747</v>
      </c>
      <c r="U265" s="148" t="s">
        <v>445</v>
      </c>
      <c r="V265" s="148" t="s">
        <v>64</v>
      </c>
      <c r="W265" s="153">
        <v>11.5</v>
      </c>
      <c r="X265" s="133">
        <v>37</v>
      </c>
      <c r="Y265" s="81">
        <v>43102</v>
      </c>
      <c r="Z265" s="154">
        <v>24874500</v>
      </c>
      <c r="AA265" s="140"/>
      <c r="AB265" s="141">
        <v>44</v>
      </c>
      <c r="AC265" s="150">
        <v>43103</v>
      </c>
      <c r="AD265" s="143">
        <v>24874500</v>
      </c>
      <c r="AE265" s="143">
        <f t="shared" si="20"/>
        <v>0</v>
      </c>
      <c r="AF265" s="133">
        <v>159</v>
      </c>
      <c r="AG265" s="81">
        <v>43118</v>
      </c>
      <c r="AH265" s="143">
        <v>24874500</v>
      </c>
      <c r="AI265" s="63" t="s">
        <v>73</v>
      </c>
      <c r="AJ265" s="63">
        <v>126</v>
      </c>
      <c r="AK265" s="143">
        <f t="shared" si="26"/>
        <v>0</v>
      </c>
      <c r="AL265" s="143">
        <v>14852599.999999998</v>
      </c>
      <c r="AM265" s="143">
        <f t="shared" si="21"/>
        <v>10021900.000000002</v>
      </c>
      <c r="AN265" s="133"/>
      <c r="AO265" s="144">
        <f t="shared" si="22"/>
        <v>0</v>
      </c>
      <c r="AP265" s="133"/>
      <c r="AQ265" s="150">
        <v>43102</v>
      </c>
      <c r="AR265" s="133" t="s">
        <v>739</v>
      </c>
      <c r="AS265" s="150">
        <v>43102</v>
      </c>
      <c r="AT265" s="133" t="s">
        <v>740</v>
      </c>
      <c r="AU265" s="220"/>
      <c r="AV265" s="220"/>
      <c r="AW265" s="220"/>
    </row>
    <row r="266" spans="1:49" s="221" customFormat="1" ht="399" x14ac:dyDescent="0.25">
      <c r="A266" s="63">
        <f t="shared" si="25"/>
        <v>79</v>
      </c>
      <c r="B266" s="128" t="str">
        <f t="shared" si="23"/>
        <v>208-79</v>
      </c>
      <c r="C266" s="129" t="s">
        <v>713</v>
      </c>
      <c r="D266" s="130" t="s">
        <v>714</v>
      </c>
      <c r="E266" s="131" t="s">
        <v>715</v>
      </c>
      <c r="F266" s="111" t="s">
        <v>52</v>
      </c>
      <c r="G266" s="145" t="s">
        <v>53</v>
      </c>
      <c r="H266" s="111" t="s">
        <v>733</v>
      </c>
      <c r="I266" s="111" t="s">
        <v>55</v>
      </c>
      <c r="J266" s="111" t="s">
        <v>56</v>
      </c>
      <c r="K266" s="63">
        <v>801116</v>
      </c>
      <c r="L266" s="111" t="s">
        <v>720</v>
      </c>
      <c r="M266" s="111" t="s">
        <v>58</v>
      </c>
      <c r="N266" s="111" t="s">
        <v>59</v>
      </c>
      <c r="O266" s="111" t="s">
        <v>728</v>
      </c>
      <c r="P266" s="227" t="s">
        <v>795</v>
      </c>
      <c r="Q266" s="134">
        <f t="shared" si="24"/>
        <v>1854000</v>
      </c>
      <c r="R266" s="146">
        <v>1</v>
      </c>
      <c r="S266" s="136">
        <v>21321000</v>
      </c>
      <c r="T266" s="137" t="s">
        <v>747</v>
      </c>
      <c r="U266" s="148" t="s">
        <v>445</v>
      </c>
      <c r="V266" s="148" t="s">
        <v>64</v>
      </c>
      <c r="W266" s="153">
        <v>11.5</v>
      </c>
      <c r="X266" s="133">
        <v>36</v>
      </c>
      <c r="Y266" s="81">
        <v>43102</v>
      </c>
      <c r="Z266" s="154">
        <v>21321000</v>
      </c>
      <c r="AA266" s="140"/>
      <c r="AB266" s="141">
        <v>40</v>
      </c>
      <c r="AC266" s="150">
        <v>43103</v>
      </c>
      <c r="AD266" s="143">
        <v>21321000</v>
      </c>
      <c r="AE266" s="143">
        <f t="shared" si="20"/>
        <v>0</v>
      </c>
      <c r="AF266" s="133">
        <v>142</v>
      </c>
      <c r="AG266" s="81">
        <v>43117</v>
      </c>
      <c r="AH266" s="143">
        <v>21321000</v>
      </c>
      <c r="AI266" s="63" t="s">
        <v>798</v>
      </c>
      <c r="AJ266" s="63">
        <v>147</v>
      </c>
      <c r="AK266" s="143">
        <f t="shared" si="26"/>
        <v>0</v>
      </c>
      <c r="AL266" s="143">
        <v>13781400</v>
      </c>
      <c r="AM266" s="143">
        <f t="shared" si="21"/>
        <v>7539600</v>
      </c>
      <c r="AN266" s="133"/>
      <c r="AO266" s="144">
        <f t="shared" si="22"/>
        <v>0</v>
      </c>
      <c r="AP266" s="133"/>
      <c r="AQ266" s="150">
        <v>43102</v>
      </c>
      <c r="AR266" s="133" t="s">
        <v>739</v>
      </c>
      <c r="AS266" s="150">
        <v>43102</v>
      </c>
      <c r="AT266" s="133" t="s">
        <v>740</v>
      </c>
      <c r="AU266" s="220"/>
      <c r="AV266" s="220"/>
      <c r="AW266" s="220"/>
    </row>
    <row r="267" spans="1:49" s="221" customFormat="1" ht="370.5" x14ac:dyDescent="0.25">
      <c r="A267" s="63">
        <f t="shared" si="25"/>
        <v>80</v>
      </c>
      <c r="B267" s="128" t="str">
        <f t="shared" si="23"/>
        <v>208-80</v>
      </c>
      <c r="C267" s="129" t="s">
        <v>713</v>
      </c>
      <c r="D267" s="130" t="s">
        <v>714</v>
      </c>
      <c r="E267" s="145" t="s">
        <v>725</v>
      </c>
      <c r="F267" s="111" t="s">
        <v>52</v>
      </c>
      <c r="G267" s="145" t="s">
        <v>53</v>
      </c>
      <c r="H267" s="111" t="s">
        <v>733</v>
      </c>
      <c r="I267" s="111" t="s">
        <v>55</v>
      </c>
      <c r="J267" s="111" t="s">
        <v>56</v>
      </c>
      <c r="K267" s="63">
        <v>801116</v>
      </c>
      <c r="L267" s="111" t="s">
        <v>720</v>
      </c>
      <c r="M267" s="111" t="s">
        <v>58</v>
      </c>
      <c r="N267" s="111" t="s">
        <v>59</v>
      </c>
      <c r="O267" s="111" t="s">
        <v>728</v>
      </c>
      <c r="P267" s="227" t="s">
        <v>795</v>
      </c>
      <c r="Q267" s="134">
        <f t="shared" si="24"/>
        <v>4326000</v>
      </c>
      <c r="R267" s="146">
        <v>1</v>
      </c>
      <c r="S267" s="136">
        <v>49749000</v>
      </c>
      <c r="T267" s="137" t="s">
        <v>747</v>
      </c>
      <c r="U267" s="148" t="s">
        <v>445</v>
      </c>
      <c r="V267" s="148" t="s">
        <v>64</v>
      </c>
      <c r="W267" s="153">
        <v>11.5</v>
      </c>
      <c r="X267" s="133">
        <v>35</v>
      </c>
      <c r="Y267" s="81">
        <v>43102</v>
      </c>
      <c r="Z267" s="154">
        <v>49749000</v>
      </c>
      <c r="AA267" s="140"/>
      <c r="AB267" s="141">
        <v>40</v>
      </c>
      <c r="AC267" s="150">
        <v>43103</v>
      </c>
      <c r="AD267" s="143">
        <v>49749000</v>
      </c>
      <c r="AE267" s="143">
        <f t="shared" si="20"/>
        <v>0</v>
      </c>
      <c r="AF267" s="133">
        <v>142</v>
      </c>
      <c r="AG267" s="81">
        <v>43117</v>
      </c>
      <c r="AH267" s="143">
        <v>49749000</v>
      </c>
      <c r="AI267" s="63" t="s">
        <v>798</v>
      </c>
      <c r="AJ267" s="63">
        <v>147</v>
      </c>
      <c r="AK267" s="143">
        <f t="shared" si="26"/>
        <v>0</v>
      </c>
      <c r="AL267" s="143">
        <v>32156599.999999996</v>
      </c>
      <c r="AM267" s="143">
        <f t="shared" si="21"/>
        <v>17592400.000000004</v>
      </c>
      <c r="AN267" s="133"/>
      <c r="AO267" s="144">
        <f t="shared" si="22"/>
        <v>0</v>
      </c>
      <c r="AP267" s="133"/>
      <c r="AQ267" s="150">
        <v>43102</v>
      </c>
      <c r="AR267" s="133" t="s">
        <v>739</v>
      </c>
      <c r="AS267" s="150">
        <v>43102</v>
      </c>
      <c r="AT267" s="133" t="s">
        <v>740</v>
      </c>
      <c r="AU267" s="220"/>
      <c r="AV267" s="220"/>
      <c r="AW267" s="220"/>
    </row>
    <row r="268" spans="1:49" s="221" customFormat="1" ht="399" x14ac:dyDescent="0.25">
      <c r="A268" s="63">
        <f t="shared" si="25"/>
        <v>81</v>
      </c>
      <c r="B268" s="128" t="str">
        <f t="shared" si="23"/>
        <v>208-81</v>
      </c>
      <c r="C268" s="129" t="s">
        <v>713</v>
      </c>
      <c r="D268" s="130" t="s">
        <v>714</v>
      </c>
      <c r="E268" s="131" t="s">
        <v>715</v>
      </c>
      <c r="F268" s="111" t="s">
        <v>52</v>
      </c>
      <c r="G268" s="145" t="s">
        <v>53</v>
      </c>
      <c r="H268" s="111" t="s">
        <v>733</v>
      </c>
      <c r="I268" s="111" t="s">
        <v>55</v>
      </c>
      <c r="J268" s="111" t="s">
        <v>56</v>
      </c>
      <c r="K268" s="63">
        <v>801116</v>
      </c>
      <c r="L268" s="111" t="s">
        <v>720</v>
      </c>
      <c r="M268" s="111" t="s">
        <v>58</v>
      </c>
      <c r="N268" s="111" t="s">
        <v>59</v>
      </c>
      <c r="O268" s="111" t="s">
        <v>728</v>
      </c>
      <c r="P268" s="227" t="s">
        <v>795</v>
      </c>
      <c r="Q268" s="134">
        <f t="shared" si="24"/>
        <v>0</v>
      </c>
      <c r="R268" s="146">
        <v>1</v>
      </c>
      <c r="S268" s="136">
        <f>11726550-11726550</f>
        <v>0</v>
      </c>
      <c r="T268" s="137" t="s">
        <v>747</v>
      </c>
      <c r="U268" s="148" t="s">
        <v>445</v>
      </c>
      <c r="V268" s="148" t="s">
        <v>64</v>
      </c>
      <c r="W268" s="153">
        <v>11.5</v>
      </c>
      <c r="X268" s="133" t="s">
        <v>799</v>
      </c>
      <c r="Y268" s="81"/>
      <c r="Z268" s="154"/>
      <c r="AA268" s="140"/>
      <c r="AB268" s="141"/>
      <c r="AC268" s="142"/>
      <c r="AD268" s="143"/>
      <c r="AE268" s="143">
        <f t="shared" si="20"/>
        <v>0</v>
      </c>
      <c r="AF268" s="133"/>
      <c r="AG268" s="85"/>
      <c r="AH268" s="143"/>
      <c r="AI268" s="63"/>
      <c r="AJ268" s="63"/>
      <c r="AK268" s="143">
        <f t="shared" si="26"/>
        <v>0</v>
      </c>
      <c r="AL268" s="143"/>
      <c r="AM268" s="143">
        <f t="shared" si="21"/>
        <v>0</v>
      </c>
      <c r="AN268" s="133"/>
      <c r="AO268" s="144">
        <f t="shared" si="22"/>
        <v>0</v>
      </c>
      <c r="AP268" s="133"/>
      <c r="AQ268" s="150"/>
      <c r="AR268" s="133"/>
      <c r="AS268" s="150"/>
      <c r="AT268" s="133"/>
      <c r="AU268" s="220"/>
      <c r="AV268" s="220"/>
      <c r="AW268" s="220"/>
    </row>
    <row r="269" spans="1:49" s="221" customFormat="1" ht="370.5" x14ac:dyDescent="0.25">
      <c r="A269" s="63">
        <f t="shared" si="25"/>
        <v>82</v>
      </c>
      <c r="B269" s="128" t="str">
        <f t="shared" si="23"/>
        <v>208-82</v>
      </c>
      <c r="C269" s="129" t="s">
        <v>713</v>
      </c>
      <c r="D269" s="130" t="s">
        <v>714</v>
      </c>
      <c r="E269" s="145" t="s">
        <v>725</v>
      </c>
      <c r="F269" s="111" t="s">
        <v>52</v>
      </c>
      <c r="G269" s="145" t="s">
        <v>53</v>
      </c>
      <c r="H269" s="111" t="s">
        <v>733</v>
      </c>
      <c r="I269" s="111" t="s">
        <v>55</v>
      </c>
      <c r="J269" s="111" t="s">
        <v>56</v>
      </c>
      <c r="K269" s="63">
        <v>801116</v>
      </c>
      <c r="L269" s="111" t="s">
        <v>720</v>
      </c>
      <c r="M269" s="111" t="s">
        <v>58</v>
      </c>
      <c r="N269" s="111" t="s">
        <v>59</v>
      </c>
      <c r="O269" s="111" t="s">
        <v>728</v>
      </c>
      <c r="P269" s="227" t="s">
        <v>795</v>
      </c>
      <c r="Q269" s="134">
        <f t="shared" si="24"/>
        <v>0</v>
      </c>
      <c r="R269" s="146">
        <v>1</v>
      </c>
      <c r="S269" s="136">
        <f>27361950-27361950</f>
        <v>0</v>
      </c>
      <c r="T269" s="137" t="s">
        <v>747</v>
      </c>
      <c r="U269" s="148" t="s">
        <v>445</v>
      </c>
      <c r="V269" s="148" t="s">
        <v>64</v>
      </c>
      <c r="W269" s="153">
        <v>11.5</v>
      </c>
      <c r="X269" s="133" t="s">
        <v>800</v>
      </c>
      <c r="Y269" s="81"/>
      <c r="Z269" s="154"/>
      <c r="AA269" s="140"/>
      <c r="AB269" s="141"/>
      <c r="AC269" s="142"/>
      <c r="AD269" s="143"/>
      <c r="AE269" s="143">
        <f t="shared" si="20"/>
        <v>0</v>
      </c>
      <c r="AF269" s="133"/>
      <c r="AG269" s="85"/>
      <c r="AH269" s="143"/>
      <c r="AI269" s="63"/>
      <c r="AJ269" s="63"/>
      <c r="AK269" s="143">
        <f t="shared" si="26"/>
        <v>0</v>
      </c>
      <c r="AL269" s="143"/>
      <c r="AM269" s="143">
        <f t="shared" si="21"/>
        <v>0</v>
      </c>
      <c r="AN269" s="133"/>
      <c r="AO269" s="144">
        <f t="shared" si="22"/>
        <v>0</v>
      </c>
      <c r="AP269" s="133"/>
      <c r="AQ269" s="150"/>
      <c r="AR269" s="133"/>
      <c r="AS269" s="150"/>
      <c r="AT269" s="133"/>
      <c r="AU269" s="220"/>
      <c r="AV269" s="220"/>
      <c r="AW269" s="220"/>
    </row>
    <row r="270" spans="1:49" s="221" customFormat="1" ht="399" x14ac:dyDescent="0.25">
      <c r="A270" s="63">
        <f t="shared" si="25"/>
        <v>83</v>
      </c>
      <c r="B270" s="128" t="str">
        <f t="shared" si="23"/>
        <v>208-83</v>
      </c>
      <c r="C270" s="129" t="s">
        <v>713</v>
      </c>
      <c r="D270" s="130" t="s">
        <v>714</v>
      </c>
      <c r="E270" s="131" t="s">
        <v>715</v>
      </c>
      <c r="F270" s="111" t="s">
        <v>52</v>
      </c>
      <c r="G270" s="145" t="s">
        <v>53</v>
      </c>
      <c r="H270" s="111" t="s">
        <v>733</v>
      </c>
      <c r="I270" s="111" t="s">
        <v>55</v>
      </c>
      <c r="J270" s="111" t="s">
        <v>56</v>
      </c>
      <c r="K270" s="63">
        <v>801116</v>
      </c>
      <c r="L270" s="111" t="s">
        <v>720</v>
      </c>
      <c r="M270" s="111" t="s">
        <v>58</v>
      </c>
      <c r="N270" s="111" t="s">
        <v>59</v>
      </c>
      <c r="O270" s="111" t="s">
        <v>728</v>
      </c>
      <c r="P270" s="227" t="s">
        <v>795</v>
      </c>
      <c r="Q270" s="134">
        <f t="shared" si="24"/>
        <v>1699500</v>
      </c>
      <c r="R270" s="146">
        <v>1</v>
      </c>
      <c r="S270" s="136">
        <v>19544250</v>
      </c>
      <c r="T270" s="137" t="s">
        <v>747</v>
      </c>
      <c r="U270" s="148" t="s">
        <v>445</v>
      </c>
      <c r="V270" s="148" t="s">
        <v>64</v>
      </c>
      <c r="W270" s="153">
        <v>11.5</v>
      </c>
      <c r="X270" s="133">
        <v>32</v>
      </c>
      <c r="Y270" s="81">
        <v>43102</v>
      </c>
      <c r="Z270" s="154">
        <v>19544250</v>
      </c>
      <c r="AA270" s="140"/>
      <c r="AB270" s="141">
        <v>34</v>
      </c>
      <c r="AC270" s="150">
        <v>43103</v>
      </c>
      <c r="AD270" s="143">
        <v>19544250</v>
      </c>
      <c r="AE270" s="143">
        <f t="shared" si="20"/>
        <v>0</v>
      </c>
      <c r="AF270" s="133">
        <v>186</v>
      </c>
      <c r="AG270" s="81">
        <v>43118</v>
      </c>
      <c r="AH270" s="143">
        <v>19544250</v>
      </c>
      <c r="AI270" s="63" t="s">
        <v>801</v>
      </c>
      <c r="AJ270" s="63">
        <v>149</v>
      </c>
      <c r="AK270" s="143">
        <f t="shared" si="26"/>
        <v>0</v>
      </c>
      <c r="AL270" s="143">
        <v>12406350</v>
      </c>
      <c r="AM270" s="143">
        <f t="shared" si="21"/>
        <v>7137900</v>
      </c>
      <c r="AN270" s="133"/>
      <c r="AO270" s="144">
        <f t="shared" si="22"/>
        <v>0</v>
      </c>
      <c r="AP270" s="133"/>
      <c r="AQ270" s="150">
        <v>43102</v>
      </c>
      <c r="AR270" s="133" t="s">
        <v>739</v>
      </c>
      <c r="AS270" s="150">
        <v>43102</v>
      </c>
      <c r="AT270" s="133" t="s">
        <v>740</v>
      </c>
      <c r="AU270" s="220"/>
      <c r="AV270" s="220"/>
      <c r="AW270" s="220"/>
    </row>
    <row r="271" spans="1:49" s="221" customFormat="1" ht="370.5" x14ac:dyDescent="0.25">
      <c r="A271" s="63">
        <f t="shared" si="25"/>
        <v>84</v>
      </c>
      <c r="B271" s="128" t="str">
        <f t="shared" si="23"/>
        <v>208-84</v>
      </c>
      <c r="C271" s="129" t="s">
        <v>713</v>
      </c>
      <c r="D271" s="130" t="s">
        <v>714</v>
      </c>
      <c r="E271" s="145" t="s">
        <v>725</v>
      </c>
      <c r="F271" s="111" t="s">
        <v>52</v>
      </c>
      <c r="G271" s="145" t="s">
        <v>53</v>
      </c>
      <c r="H271" s="111" t="s">
        <v>733</v>
      </c>
      <c r="I271" s="111" t="s">
        <v>55</v>
      </c>
      <c r="J271" s="111" t="s">
        <v>56</v>
      </c>
      <c r="K271" s="63">
        <v>801116</v>
      </c>
      <c r="L271" s="111" t="s">
        <v>720</v>
      </c>
      <c r="M271" s="111" t="s">
        <v>58</v>
      </c>
      <c r="N271" s="111" t="s">
        <v>59</v>
      </c>
      <c r="O271" s="111" t="s">
        <v>728</v>
      </c>
      <c r="P271" s="227" t="s">
        <v>795</v>
      </c>
      <c r="Q271" s="134">
        <f t="shared" si="24"/>
        <v>3965499.9999999995</v>
      </c>
      <c r="R271" s="146">
        <v>1</v>
      </c>
      <c r="S271" s="136">
        <v>45603249.999999993</v>
      </c>
      <c r="T271" s="137" t="s">
        <v>747</v>
      </c>
      <c r="U271" s="148" t="s">
        <v>445</v>
      </c>
      <c r="V271" s="148" t="s">
        <v>64</v>
      </c>
      <c r="W271" s="153">
        <v>11.5</v>
      </c>
      <c r="X271" s="133">
        <v>31</v>
      </c>
      <c r="Y271" s="81">
        <v>43102</v>
      </c>
      <c r="Z271" s="154">
        <v>45603249.999999993</v>
      </c>
      <c r="AA271" s="140"/>
      <c r="AB271" s="141">
        <v>34</v>
      </c>
      <c r="AC271" s="150">
        <v>43103</v>
      </c>
      <c r="AD271" s="143">
        <v>45603249.999999993</v>
      </c>
      <c r="AE271" s="143">
        <f t="shared" si="20"/>
        <v>0</v>
      </c>
      <c r="AF271" s="133">
        <v>186</v>
      </c>
      <c r="AG271" s="81">
        <v>43118</v>
      </c>
      <c r="AH271" s="143">
        <v>45603249.999999993</v>
      </c>
      <c r="AI271" s="63" t="s">
        <v>801</v>
      </c>
      <c r="AJ271" s="63">
        <v>149</v>
      </c>
      <c r="AK271" s="143">
        <f t="shared" si="26"/>
        <v>0</v>
      </c>
      <c r="AL271" s="143">
        <v>28948150</v>
      </c>
      <c r="AM271" s="143">
        <f t="shared" si="21"/>
        <v>16655099.999999993</v>
      </c>
      <c r="AN271" s="133"/>
      <c r="AO271" s="144">
        <f t="shared" si="22"/>
        <v>0</v>
      </c>
      <c r="AP271" s="133"/>
      <c r="AQ271" s="150">
        <v>43102</v>
      </c>
      <c r="AR271" s="133" t="s">
        <v>739</v>
      </c>
      <c r="AS271" s="150">
        <v>43102</v>
      </c>
      <c r="AT271" s="133" t="s">
        <v>740</v>
      </c>
      <c r="AU271" s="220"/>
      <c r="AV271" s="220"/>
      <c r="AW271" s="220"/>
    </row>
    <row r="272" spans="1:49" s="221" customFormat="1" ht="399" x14ac:dyDescent="0.25">
      <c r="A272" s="63">
        <f t="shared" si="25"/>
        <v>85</v>
      </c>
      <c r="B272" s="128" t="str">
        <f t="shared" si="23"/>
        <v>208-85</v>
      </c>
      <c r="C272" s="129" t="s">
        <v>713</v>
      </c>
      <c r="D272" s="130" t="s">
        <v>714</v>
      </c>
      <c r="E272" s="131" t="s">
        <v>715</v>
      </c>
      <c r="F272" s="111" t="s">
        <v>52</v>
      </c>
      <c r="G272" s="145" t="s">
        <v>53</v>
      </c>
      <c r="H272" s="111" t="s">
        <v>733</v>
      </c>
      <c r="I272" s="111" t="s">
        <v>55</v>
      </c>
      <c r="J272" s="111" t="s">
        <v>56</v>
      </c>
      <c r="K272" s="63">
        <v>801116</v>
      </c>
      <c r="L272" s="111" t="s">
        <v>720</v>
      </c>
      <c r="M272" s="111" t="s">
        <v>58</v>
      </c>
      <c r="N272" s="111" t="s">
        <v>59</v>
      </c>
      <c r="O272" s="111" t="s">
        <v>728</v>
      </c>
      <c r="P272" s="227" t="s">
        <v>795</v>
      </c>
      <c r="Q272" s="134">
        <f t="shared" si="24"/>
        <v>1699500</v>
      </c>
      <c r="R272" s="146">
        <v>1</v>
      </c>
      <c r="S272" s="136">
        <v>19544250</v>
      </c>
      <c r="T272" s="137" t="s">
        <v>747</v>
      </c>
      <c r="U272" s="148" t="s">
        <v>445</v>
      </c>
      <c r="V272" s="148" t="s">
        <v>64</v>
      </c>
      <c r="W272" s="153">
        <v>11.5</v>
      </c>
      <c r="X272" s="133">
        <v>30</v>
      </c>
      <c r="Y272" s="81">
        <v>43102</v>
      </c>
      <c r="Z272" s="154">
        <v>19544250</v>
      </c>
      <c r="AA272" s="140"/>
      <c r="AB272" s="141">
        <v>33</v>
      </c>
      <c r="AC272" s="150">
        <v>43102</v>
      </c>
      <c r="AD272" s="143">
        <v>19544250</v>
      </c>
      <c r="AE272" s="143">
        <f t="shared" si="20"/>
        <v>0</v>
      </c>
      <c r="AF272" s="133">
        <v>173</v>
      </c>
      <c r="AG272" s="81">
        <v>43118</v>
      </c>
      <c r="AH272" s="143">
        <v>19544250</v>
      </c>
      <c r="AI272" s="63" t="s">
        <v>802</v>
      </c>
      <c r="AJ272" s="63">
        <v>138</v>
      </c>
      <c r="AK272" s="143">
        <f t="shared" si="26"/>
        <v>0</v>
      </c>
      <c r="AL272" s="143">
        <v>12632949.9</v>
      </c>
      <c r="AM272" s="143">
        <f t="shared" si="21"/>
        <v>6911300.0999999996</v>
      </c>
      <c r="AN272" s="133"/>
      <c r="AO272" s="144">
        <f t="shared" si="22"/>
        <v>0</v>
      </c>
      <c r="AP272" s="133"/>
      <c r="AQ272" s="150">
        <v>43102</v>
      </c>
      <c r="AR272" s="133" t="s">
        <v>739</v>
      </c>
      <c r="AS272" s="150">
        <v>43102</v>
      </c>
      <c r="AT272" s="133" t="s">
        <v>740</v>
      </c>
      <c r="AU272" s="220"/>
      <c r="AV272" s="220"/>
      <c r="AW272" s="220"/>
    </row>
    <row r="273" spans="1:49" s="221" customFormat="1" ht="370.5" x14ac:dyDescent="0.25">
      <c r="A273" s="63">
        <f t="shared" si="25"/>
        <v>86</v>
      </c>
      <c r="B273" s="128" t="str">
        <f t="shared" si="23"/>
        <v>208-86</v>
      </c>
      <c r="C273" s="129" t="s">
        <v>713</v>
      </c>
      <c r="D273" s="130" t="s">
        <v>714</v>
      </c>
      <c r="E273" s="145" t="s">
        <v>725</v>
      </c>
      <c r="F273" s="111" t="s">
        <v>52</v>
      </c>
      <c r="G273" s="145" t="s">
        <v>53</v>
      </c>
      <c r="H273" s="111" t="s">
        <v>733</v>
      </c>
      <c r="I273" s="111" t="s">
        <v>55</v>
      </c>
      <c r="J273" s="111" t="s">
        <v>56</v>
      </c>
      <c r="K273" s="63">
        <v>801116</v>
      </c>
      <c r="L273" s="111" t="s">
        <v>720</v>
      </c>
      <c r="M273" s="111" t="s">
        <v>58</v>
      </c>
      <c r="N273" s="111" t="s">
        <v>59</v>
      </c>
      <c r="O273" s="111" t="s">
        <v>728</v>
      </c>
      <c r="P273" s="227" t="s">
        <v>795</v>
      </c>
      <c r="Q273" s="134">
        <f t="shared" si="24"/>
        <v>3965499.9999999995</v>
      </c>
      <c r="R273" s="146">
        <v>1</v>
      </c>
      <c r="S273" s="136">
        <v>45603249.999999993</v>
      </c>
      <c r="T273" s="137" t="s">
        <v>747</v>
      </c>
      <c r="U273" s="148" t="s">
        <v>445</v>
      </c>
      <c r="V273" s="148" t="s">
        <v>64</v>
      </c>
      <c r="W273" s="153">
        <v>11.5</v>
      </c>
      <c r="X273" s="133">
        <v>29</v>
      </c>
      <c r="Y273" s="81">
        <v>43102</v>
      </c>
      <c r="Z273" s="154">
        <v>45603249.999999993</v>
      </c>
      <c r="AA273" s="140"/>
      <c r="AB273" s="141">
        <v>33</v>
      </c>
      <c r="AC273" s="150">
        <v>43102</v>
      </c>
      <c r="AD273" s="143">
        <v>45603249.999999993</v>
      </c>
      <c r="AE273" s="143">
        <f t="shared" si="20"/>
        <v>0</v>
      </c>
      <c r="AF273" s="133">
        <v>173</v>
      </c>
      <c r="AG273" s="81">
        <v>43118</v>
      </c>
      <c r="AH273" s="143">
        <v>45603249.999999993</v>
      </c>
      <c r="AI273" s="63" t="s">
        <v>802</v>
      </c>
      <c r="AJ273" s="63">
        <v>138</v>
      </c>
      <c r="AK273" s="143">
        <f t="shared" si="26"/>
        <v>0</v>
      </c>
      <c r="AL273" s="143">
        <v>29476883.099999998</v>
      </c>
      <c r="AM273" s="143">
        <f t="shared" si="21"/>
        <v>16126366.899999995</v>
      </c>
      <c r="AN273" s="133"/>
      <c r="AO273" s="144">
        <f t="shared" si="22"/>
        <v>0</v>
      </c>
      <c r="AP273" s="133"/>
      <c r="AQ273" s="150">
        <v>43102</v>
      </c>
      <c r="AR273" s="133" t="s">
        <v>739</v>
      </c>
      <c r="AS273" s="150">
        <v>43102</v>
      </c>
      <c r="AT273" s="133" t="s">
        <v>740</v>
      </c>
      <c r="AU273" s="220"/>
      <c r="AV273" s="220"/>
      <c r="AW273" s="220"/>
    </row>
    <row r="274" spans="1:49" s="221" customFormat="1" ht="399" x14ac:dyDescent="0.25">
      <c r="A274" s="63">
        <f t="shared" si="25"/>
        <v>87</v>
      </c>
      <c r="B274" s="128" t="str">
        <f t="shared" si="23"/>
        <v>208-87</v>
      </c>
      <c r="C274" s="129" t="s">
        <v>713</v>
      </c>
      <c r="D274" s="130" t="s">
        <v>714</v>
      </c>
      <c r="E274" s="131" t="s">
        <v>715</v>
      </c>
      <c r="F274" s="111" t="s">
        <v>52</v>
      </c>
      <c r="G274" s="145" t="s">
        <v>53</v>
      </c>
      <c r="H274" s="111" t="s">
        <v>733</v>
      </c>
      <c r="I274" s="111" t="s">
        <v>55</v>
      </c>
      <c r="J274" s="111" t="s">
        <v>56</v>
      </c>
      <c r="K274" s="63">
        <v>801116</v>
      </c>
      <c r="L274" s="111" t="s">
        <v>720</v>
      </c>
      <c r="M274" s="111" t="s">
        <v>58</v>
      </c>
      <c r="N274" s="111" t="s">
        <v>59</v>
      </c>
      <c r="O274" s="111" t="s">
        <v>728</v>
      </c>
      <c r="P274" s="227" t="s">
        <v>803</v>
      </c>
      <c r="Q274" s="134">
        <f t="shared" si="24"/>
        <v>2008500</v>
      </c>
      <c r="R274" s="146">
        <v>1</v>
      </c>
      <c r="S274" s="136">
        <f>17376615+4716885</f>
        <v>22093500</v>
      </c>
      <c r="T274" s="137" t="s">
        <v>747</v>
      </c>
      <c r="U274" s="148" t="s">
        <v>445</v>
      </c>
      <c r="V274" s="148" t="s">
        <v>64</v>
      </c>
      <c r="W274" s="153">
        <v>11</v>
      </c>
      <c r="X274" s="133" t="s">
        <v>804</v>
      </c>
      <c r="Y274" s="81">
        <v>43123</v>
      </c>
      <c r="Z274" s="154">
        <v>22093500</v>
      </c>
      <c r="AA274" s="140"/>
      <c r="AB274" s="141">
        <v>559</v>
      </c>
      <c r="AC274" s="150">
        <v>43123</v>
      </c>
      <c r="AD274" s="151">
        <f>17376615+4716885</f>
        <v>22093500</v>
      </c>
      <c r="AE274" s="143">
        <f t="shared" si="20"/>
        <v>0</v>
      </c>
      <c r="AF274" s="133">
        <v>483</v>
      </c>
      <c r="AG274" s="81">
        <v>43126</v>
      </c>
      <c r="AH274" s="151">
        <f>17376615+4716885</f>
        <v>22093500</v>
      </c>
      <c r="AI274" s="63" t="s">
        <v>805</v>
      </c>
      <c r="AJ274" s="63">
        <v>405</v>
      </c>
      <c r="AK274" s="143">
        <f t="shared" si="26"/>
        <v>0</v>
      </c>
      <c r="AL274" s="143">
        <v>14193399.9</v>
      </c>
      <c r="AM274" s="143">
        <f t="shared" si="21"/>
        <v>7900100.0999999996</v>
      </c>
      <c r="AN274" s="133"/>
      <c r="AO274" s="144">
        <f t="shared" si="22"/>
        <v>0</v>
      </c>
      <c r="AP274" s="133"/>
      <c r="AQ274" s="150">
        <v>43123</v>
      </c>
      <c r="AR274" s="133" t="s">
        <v>739</v>
      </c>
      <c r="AS274" s="150">
        <v>43123</v>
      </c>
      <c r="AT274" s="133" t="s">
        <v>740</v>
      </c>
      <c r="AU274" s="220"/>
      <c r="AV274" s="220"/>
      <c r="AW274" s="220"/>
    </row>
    <row r="275" spans="1:49" s="221" customFormat="1" ht="370.5" x14ac:dyDescent="0.25">
      <c r="A275" s="63">
        <f t="shared" si="25"/>
        <v>88</v>
      </c>
      <c r="B275" s="128" t="str">
        <f t="shared" si="23"/>
        <v>208-88</v>
      </c>
      <c r="C275" s="129" t="s">
        <v>713</v>
      </c>
      <c r="D275" s="130" t="s">
        <v>714</v>
      </c>
      <c r="E275" s="145" t="s">
        <v>725</v>
      </c>
      <c r="F275" s="111" t="s">
        <v>52</v>
      </c>
      <c r="G275" s="145" t="s">
        <v>53</v>
      </c>
      <c r="H275" s="111" t="s">
        <v>733</v>
      </c>
      <c r="I275" s="111" t="s">
        <v>55</v>
      </c>
      <c r="J275" s="111" t="s">
        <v>56</v>
      </c>
      <c r="K275" s="63">
        <v>801116</v>
      </c>
      <c r="L275" s="111" t="s">
        <v>720</v>
      </c>
      <c r="M275" s="111" t="s">
        <v>58</v>
      </c>
      <c r="N275" s="111" t="s">
        <v>59</v>
      </c>
      <c r="O275" s="111" t="s">
        <v>728</v>
      </c>
      <c r="P275" s="227" t="s">
        <v>803</v>
      </c>
      <c r="Q275" s="134">
        <f t="shared" si="24"/>
        <v>4686500</v>
      </c>
      <c r="R275" s="146">
        <v>1</v>
      </c>
      <c r="S275" s="136">
        <f>40545435+11006065</f>
        <v>51551500</v>
      </c>
      <c r="T275" s="137" t="s">
        <v>747</v>
      </c>
      <c r="U275" s="148" t="s">
        <v>445</v>
      </c>
      <c r="V275" s="148" t="s">
        <v>64</v>
      </c>
      <c r="W275" s="153">
        <v>11</v>
      </c>
      <c r="X275" s="133" t="s">
        <v>806</v>
      </c>
      <c r="Y275" s="81">
        <v>43123</v>
      </c>
      <c r="Z275" s="154">
        <v>51551500</v>
      </c>
      <c r="AA275" s="140"/>
      <c r="AB275" s="141">
        <v>559</v>
      </c>
      <c r="AC275" s="150">
        <v>43123</v>
      </c>
      <c r="AD275" s="151">
        <f>40545435+11006065</f>
        <v>51551500</v>
      </c>
      <c r="AE275" s="143">
        <f t="shared" si="20"/>
        <v>0</v>
      </c>
      <c r="AF275" s="133">
        <v>483</v>
      </c>
      <c r="AG275" s="81">
        <v>43126</v>
      </c>
      <c r="AH275" s="151">
        <f>40545435+11006065</f>
        <v>51551500</v>
      </c>
      <c r="AI275" s="63" t="s">
        <v>805</v>
      </c>
      <c r="AJ275" s="63">
        <v>405</v>
      </c>
      <c r="AK275" s="143">
        <f t="shared" si="26"/>
        <v>0</v>
      </c>
      <c r="AL275" s="143">
        <v>33117933.099999998</v>
      </c>
      <c r="AM275" s="143">
        <f t="shared" si="21"/>
        <v>18433566.900000002</v>
      </c>
      <c r="AN275" s="133"/>
      <c r="AO275" s="144">
        <f t="shared" si="22"/>
        <v>0</v>
      </c>
      <c r="AP275" s="133"/>
      <c r="AQ275" s="150">
        <v>43123</v>
      </c>
      <c r="AR275" s="133" t="s">
        <v>739</v>
      </c>
      <c r="AS275" s="150">
        <v>43123</v>
      </c>
      <c r="AT275" s="133" t="s">
        <v>740</v>
      </c>
      <c r="AU275" s="220"/>
      <c r="AV275" s="220"/>
      <c r="AW275" s="220"/>
    </row>
    <row r="276" spans="1:49" s="221" customFormat="1" ht="399" x14ac:dyDescent="0.25">
      <c r="A276" s="63">
        <f t="shared" si="25"/>
        <v>89</v>
      </c>
      <c r="B276" s="128" t="str">
        <f t="shared" si="23"/>
        <v>208-89</v>
      </c>
      <c r="C276" s="129" t="s">
        <v>713</v>
      </c>
      <c r="D276" s="130" t="s">
        <v>714</v>
      </c>
      <c r="E276" s="131" t="s">
        <v>715</v>
      </c>
      <c r="F276" s="111" t="s">
        <v>52</v>
      </c>
      <c r="G276" s="145" t="s">
        <v>53</v>
      </c>
      <c r="H276" s="111" t="s">
        <v>733</v>
      </c>
      <c r="I276" s="111" t="s">
        <v>55</v>
      </c>
      <c r="J276" s="111" t="s">
        <v>56</v>
      </c>
      <c r="K276" s="63">
        <v>801116</v>
      </c>
      <c r="L276" s="111" t="s">
        <v>720</v>
      </c>
      <c r="M276" s="111" t="s">
        <v>58</v>
      </c>
      <c r="N276" s="111" t="s">
        <v>59</v>
      </c>
      <c r="O276" s="111" t="s">
        <v>728</v>
      </c>
      <c r="P276" s="227" t="s">
        <v>807</v>
      </c>
      <c r="Q276" s="134">
        <f t="shared" si="24"/>
        <v>998070</v>
      </c>
      <c r="R276" s="146">
        <v>1</v>
      </c>
      <c r="S276" s="136">
        <f>14214000-2736195</f>
        <v>11477805</v>
      </c>
      <c r="T276" s="137" t="s">
        <v>747</v>
      </c>
      <c r="U276" s="148" t="s">
        <v>445</v>
      </c>
      <c r="V276" s="148" t="s">
        <v>64</v>
      </c>
      <c r="W276" s="153">
        <v>11.5</v>
      </c>
      <c r="X276" s="133" t="s">
        <v>808</v>
      </c>
      <c r="Y276" s="81">
        <v>43115</v>
      </c>
      <c r="Z276" s="154">
        <v>11477805</v>
      </c>
      <c r="AA276" s="140"/>
      <c r="AB276" s="141">
        <v>509</v>
      </c>
      <c r="AC276" s="150">
        <v>43116</v>
      </c>
      <c r="AD276" s="143">
        <f>14214000-2736195</f>
        <v>11477805</v>
      </c>
      <c r="AE276" s="143">
        <f t="shared" si="20"/>
        <v>0</v>
      </c>
      <c r="AF276" s="133">
        <v>260</v>
      </c>
      <c r="AG276" s="81">
        <v>43119</v>
      </c>
      <c r="AH276" s="143">
        <f>14214000-2736195</f>
        <v>11477805</v>
      </c>
      <c r="AI276" s="63" t="s">
        <v>809</v>
      </c>
      <c r="AJ276" s="63">
        <v>234</v>
      </c>
      <c r="AK276" s="143">
        <f t="shared" si="26"/>
        <v>0</v>
      </c>
      <c r="AL276" s="143">
        <v>7252641.8999999994</v>
      </c>
      <c r="AM276" s="143">
        <f t="shared" si="21"/>
        <v>4225163.1000000006</v>
      </c>
      <c r="AN276" s="133"/>
      <c r="AO276" s="144">
        <f t="shared" si="22"/>
        <v>0</v>
      </c>
      <c r="AP276" s="133"/>
      <c r="AQ276" s="150"/>
      <c r="AR276" s="133"/>
      <c r="AS276" s="150"/>
      <c r="AT276" s="133"/>
      <c r="AU276" s="220"/>
      <c r="AV276" s="220"/>
      <c r="AW276" s="220"/>
    </row>
    <row r="277" spans="1:49" s="221" customFormat="1" ht="370.5" x14ac:dyDescent="0.25">
      <c r="A277" s="63">
        <f t="shared" si="25"/>
        <v>90</v>
      </c>
      <c r="B277" s="128" t="str">
        <f t="shared" si="23"/>
        <v>208-90</v>
      </c>
      <c r="C277" s="129" t="s">
        <v>713</v>
      </c>
      <c r="D277" s="130" t="s">
        <v>714</v>
      </c>
      <c r="E277" s="145" t="s">
        <v>725</v>
      </c>
      <c r="F277" s="111" t="s">
        <v>52</v>
      </c>
      <c r="G277" s="145" t="s">
        <v>53</v>
      </c>
      <c r="H277" s="111" t="s">
        <v>733</v>
      </c>
      <c r="I277" s="111" t="s">
        <v>55</v>
      </c>
      <c r="J277" s="111" t="s">
        <v>56</v>
      </c>
      <c r="K277" s="63">
        <v>801116</v>
      </c>
      <c r="L277" s="111" t="s">
        <v>720</v>
      </c>
      <c r="M277" s="111" t="s">
        <v>58</v>
      </c>
      <c r="N277" s="111" t="s">
        <v>59</v>
      </c>
      <c r="O277" s="111" t="s">
        <v>728</v>
      </c>
      <c r="P277" s="227" t="s">
        <v>807</v>
      </c>
      <c r="Q277" s="134">
        <f t="shared" si="24"/>
        <v>2328830</v>
      </c>
      <c r="R277" s="146">
        <v>1</v>
      </c>
      <c r="S277" s="136">
        <f>33166000-6384455</f>
        <v>26781545</v>
      </c>
      <c r="T277" s="137" t="s">
        <v>747</v>
      </c>
      <c r="U277" s="148" t="s">
        <v>445</v>
      </c>
      <c r="V277" s="148" t="s">
        <v>64</v>
      </c>
      <c r="W277" s="153">
        <v>11.5</v>
      </c>
      <c r="X277" s="133" t="s">
        <v>810</v>
      </c>
      <c r="Y277" s="81">
        <v>43115</v>
      </c>
      <c r="Z277" s="154">
        <v>26781545</v>
      </c>
      <c r="AA277" s="140"/>
      <c r="AB277" s="141">
        <v>509</v>
      </c>
      <c r="AC277" s="150">
        <v>43116</v>
      </c>
      <c r="AD277" s="143">
        <f>33166000-6384455</f>
        <v>26781545</v>
      </c>
      <c r="AE277" s="143">
        <f t="shared" si="20"/>
        <v>0</v>
      </c>
      <c r="AF277" s="133">
        <v>260</v>
      </c>
      <c r="AG277" s="81">
        <v>43119</v>
      </c>
      <c r="AH277" s="143">
        <f>33166000-6384455</f>
        <v>26781545</v>
      </c>
      <c r="AI277" s="63" t="s">
        <v>809</v>
      </c>
      <c r="AJ277" s="63">
        <v>234</v>
      </c>
      <c r="AK277" s="143">
        <f t="shared" si="26"/>
        <v>0</v>
      </c>
      <c r="AL277" s="143">
        <v>16922831.099999998</v>
      </c>
      <c r="AM277" s="143">
        <f t="shared" si="21"/>
        <v>9858713.9000000022</v>
      </c>
      <c r="AN277" s="133"/>
      <c r="AO277" s="144">
        <f t="shared" si="22"/>
        <v>0</v>
      </c>
      <c r="AP277" s="133"/>
      <c r="AQ277" s="150"/>
      <c r="AR277" s="133"/>
      <c r="AS277" s="150"/>
      <c r="AT277" s="133"/>
      <c r="AU277" s="220"/>
      <c r="AV277" s="220"/>
      <c r="AW277" s="220"/>
    </row>
    <row r="278" spans="1:49" s="221" customFormat="1" ht="399" x14ac:dyDescent="0.25">
      <c r="A278" s="63">
        <f t="shared" si="25"/>
        <v>91</v>
      </c>
      <c r="B278" s="128" t="str">
        <f t="shared" si="23"/>
        <v>208-91</v>
      </c>
      <c r="C278" s="129" t="s">
        <v>713</v>
      </c>
      <c r="D278" s="130" t="s">
        <v>714</v>
      </c>
      <c r="E278" s="131" t="s">
        <v>715</v>
      </c>
      <c r="F278" s="111" t="s">
        <v>52</v>
      </c>
      <c r="G278" s="145" t="s">
        <v>53</v>
      </c>
      <c r="H278" s="111" t="s">
        <v>733</v>
      </c>
      <c r="I278" s="111" t="s">
        <v>55</v>
      </c>
      <c r="J278" s="111" t="s">
        <v>56</v>
      </c>
      <c r="K278" s="63">
        <v>801116</v>
      </c>
      <c r="L278" s="111" t="s">
        <v>720</v>
      </c>
      <c r="M278" s="111" t="s">
        <v>58</v>
      </c>
      <c r="N278" s="111" t="s">
        <v>59</v>
      </c>
      <c r="O278" s="111" t="s">
        <v>728</v>
      </c>
      <c r="P278" s="227" t="s">
        <v>795</v>
      </c>
      <c r="Q278" s="134">
        <f t="shared" si="24"/>
        <v>1575900</v>
      </c>
      <c r="R278" s="146">
        <v>1</v>
      </c>
      <c r="S278" s="136">
        <v>18122850</v>
      </c>
      <c r="T278" s="137" t="s">
        <v>747</v>
      </c>
      <c r="U278" s="148" t="s">
        <v>445</v>
      </c>
      <c r="V278" s="148" t="s">
        <v>64</v>
      </c>
      <c r="W278" s="153">
        <v>11.5</v>
      </c>
      <c r="X278" s="133">
        <v>24</v>
      </c>
      <c r="Y278" s="81">
        <v>43102</v>
      </c>
      <c r="Z278" s="154">
        <v>18122850</v>
      </c>
      <c r="AA278" s="140"/>
      <c r="AB278" s="141">
        <v>30</v>
      </c>
      <c r="AC278" s="150">
        <v>43102</v>
      </c>
      <c r="AD278" s="143">
        <v>18122850</v>
      </c>
      <c r="AE278" s="143">
        <f t="shared" si="20"/>
        <v>0</v>
      </c>
      <c r="AF278" s="133">
        <v>11</v>
      </c>
      <c r="AG278" s="81">
        <v>43112</v>
      </c>
      <c r="AH278" s="143">
        <v>18122850</v>
      </c>
      <c r="AI278" s="63" t="s">
        <v>811</v>
      </c>
      <c r="AJ278" s="63">
        <v>14</v>
      </c>
      <c r="AK278" s="143">
        <f t="shared" si="26"/>
        <v>0</v>
      </c>
      <c r="AL278" s="143">
        <v>11819250</v>
      </c>
      <c r="AM278" s="143">
        <f t="shared" si="21"/>
        <v>6303600</v>
      </c>
      <c r="AN278" s="133"/>
      <c r="AO278" s="144">
        <f t="shared" si="22"/>
        <v>0</v>
      </c>
      <c r="AP278" s="133"/>
      <c r="AQ278" s="150">
        <v>43102</v>
      </c>
      <c r="AR278" s="133" t="s">
        <v>739</v>
      </c>
      <c r="AS278" s="150">
        <v>43102</v>
      </c>
      <c r="AT278" s="133" t="s">
        <v>740</v>
      </c>
      <c r="AU278" s="220"/>
      <c r="AV278" s="220"/>
      <c r="AW278" s="220"/>
    </row>
    <row r="279" spans="1:49" s="221" customFormat="1" ht="370.5" x14ac:dyDescent="0.25">
      <c r="A279" s="63">
        <f t="shared" si="25"/>
        <v>92</v>
      </c>
      <c r="B279" s="128" t="str">
        <f t="shared" si="23"/>
        <v>208-92</v>
      </c>
      <c r="C279" s="129" t="s">
        <v>713</v>
      </c>
      <c r="D279" s="130" t="s">
        <v>714</v>
      </c>
      <c r="E279" s="145" t="s">
        <v>725</v>
      </c>
      <c r="F279" s="111" t="s">
        <v>52</v>
      </c>
      <c r="G279" s="145" t="s">
        <v>53</v>
      </c>
      <c r="H279" s="111" t="s">
        <v>733</v>
      </c>
      <c r="I279" s="111" t="s">
        <v>55</v>
      </c>
      <c r="J279" s="111" t="s">
        <v>56</v>
      </c>
      <c r="K279" s="63">
        <v>801116</v>
      </c>
      <c r="L279" s="111" t="s">
        <v>720</v>
      </c>
      <c r="M279" s="111" t="s">
        <v>58</v>
      </c>
      <c r="N279" s="111" t="s">
        <v>59</v>
      </c>
      <c r="O279" s="111" t="s">
        <v>728</v>
      </c>
      <c r="P279" s="227" t="s">
        <v>795</v>
      </c>
      <c r="Q279" s="134">
        <f t="shared" si="24"/>
        <v>3677099.9999999995</v>
      </c>
      <c r="R279" s="146">
        <v>1</v>
      </c>
      <c r="S279" s="136">
        <v>42286649.999999993</v>
      </c>
      <c r="T279" s="137" t="s">
        <v>747</v>
      </c>
      <c r="U279" s="148" t="s">
        <v>445</v>
      </c>
      <c r="V279" s="148" t="s">
        <v>64</v>
      </c>
      <c r="W279" s="153">
        <v>11.5</v>
      </c>
      <c r="X279" s="133">
        <v>23</v>
      </c>
      <c r="Y279" s="81">
        <v>43102</v>
      </c>
      <c r="Z279" s="154">
        <v>42286649.999999993</v>
      </c>
      <c r="AA279" s="140"/>
      <c r="AB279" s="141">
        <v>30</v>
      </c>
      <c r="AC279" s="150">
        <v>43102</v>
      </c>
      <c r="AD279" s="143">
        <v>42286649.999999993</v>
      </c>
      <c r="AE279" s="143">
        <f t="shared" si="20"/>
        <v>0</v>
      </c>
      <c r="AF279" s="133">
        <v>11</v>
      </c>
      <c r="AG279" s="81">
        <v>43112</v>
      </c>
      <c r="AH279" s="143">
        <v>42286649.999999993</v>
      </c>
      <c r="AI279" s="63" t="s">
        <v>811</v>
      </c>
      <c r="AJ279" s="63">
        <v>14</v>
      </c>
      <c r="AK279" s="143">
        <f t="shared" si="26"/>
        <v>0</v>
      </c>
      <c r="AL279" s="143">
        <v>27578250</v>
      </c>
      <c r="AM279" s="143">
        <f t="shared" si="21"/>
        <v>14708399.999999993</v>
      </c>
      <c r="AN279" s="133"/>
      <c r="AO279" s="144">
        <f t="shared" si="22"/>
        <v>0</v>
      </c>
      <c r="AP279" s="133"/>
      <c r="AQ279" s="150">
        <v>43102</v>
      </c>
      <c r="AR279" s="133" t="s">
        <v>739</v>
      </c>
      <c r="AS279" s="150">
        <v>43102</v>
      </c>
      <c r="AT279" s="133" t="s">
        <v>740</v>
      </c>
      <c r="AU279" s="220"/>
      <c r="AV279" s="220"/>
      <c r="AW279" s="220"/>
    </row>
    <row r="280" spans="1:49" s="221" customFormat="1" ht="399" x14ac:dyDescent="0.25">
      <c r="A280" s="63">
        <f t="shared" si="25"/>
        <v>93</v>
      </c>
      <c r="B280" s="128" t="str">
        <f t="shared" si="23"/>
        <v>208-93</v>
      </c>
      <c r="C280" s="129" t="s">
        <v>713</v>
      </c>
      <c r="D280" s="130" t="s">
        <v>714</v>
      </c>
      <c r="E280" s="131" t="s">
        <v>715</v>
      </c>
      <c r="F280" s="111" t="s">
        <v>52</v>
      </c>
      <c r="G280" s="145" t="s">
        <v>53</v>
      </c>
      <c r="H280" s="111" t="s">
        <v>733</v>
      </c>
      <c r="I280" s="111" t="s">
        <v>55</v>
      </c>
      <c r="J280" s="111" t="s">
        <v>56</v>
      </c>
      <c r="K280" s="63">
        <v>801116</v>
      </c>
      <c r="L280" s="111" t="s">
        <v>720</v>
      </c>
      <c r="M280" s="111" t="s">
        <v>58</v>
      </c>
      <c r="N280" s="111" t="s">
        <v>59</v>
      </c>
      <c r="O280" s="111" t="s">
        <v>728</v>
      </c>
      <c r="P280" s="227" t="s">
        <v>795</v>
      </c>
      <c r="Q280" s="134">
        <f t="shared" si="24"/>
        <v>1511010</v>
      </c>
      <c r="R280" s="146">
        <v>1</v>
      </c>
      <c r="S280" s="136">
        <v>17376615</v>
      </c>
      <c r="T280" s="137" t="s">
        <v>747</v>
      </c>
      <c r="U280" s="148" t="s">
        <v>445</v>
      </c>
      <c r="V280" s="148" t="s">
        <v>64</v>
      </c>
      <c r="W280" s="153">
        <v>11.5</v>
      </c>
      <c r="X280" s="133">
        <v>22</v>
      </c>
      <c r="Y280" s="81">
        <v>43102</v>
      </c>
      <c r="Z280" s="154">
        <v>17376615</v>
      </c>
      <c r="AA280" s="140"/>
      <c r="AB280" s="141">
        <v>32</v>
      </c>
      <c r="AC280" s="150">
        <v>43102</v>
      </c>
      <c r="AD280" s="151">
        <v>17376615</v>
      </c>
      <c r="AE280" s="143">
        <f t="shared" si="20"/>
        <v>0</v>
      </c>
      <c r="AF280" s="133">
        <v>504</v>
      </c>
      <c r="AG280" s="81">
        <v>43126</v>
      </c>
      <c r="AH280" s="151">
        <v>17376615</v>
      </c>
      <c r="AI280" s="63" t="s">
        <v>812</v>
      </c>
      <c r="AJ280" s="63">
        <v>414</v>
      </c>
      <c r="AK280" s="143">
        <f t="shared" si="26"/>
        <v>0</v>
      </c>
      <c r="AL280" s="143">
        <v>10677804</v>
      </c>
      <c r="AM280" s="143">
        <f t="shared" si="21"/>
        <v>6698811</v>
      </c>
      <c r="AN280" s="133"/>
      <c r="AO280" s="144">
        <f t="shared" si="22"/>
        <v>0</v>
      </c>
      <c r="AP280" s="133"/>
      <c r="AQ280" s="150">
        <v>43102</v>
      </c>
      <c r="AR280" s="133" t="s">
        <v>739</v>
      </c>
      <c r="AS280" s="150">
        <v>43102</v>
      </c>
      <c r="AT280" s="133" t="s">
        <v>740</v>
      </c>
      <c r="AU280" s="220"/>
      <c r="AV280" s="220"/>
      <c r="AW280" s="220"/>
    </row>
    <row r="281" spans="1:49" s="221" customFormat="1" ht="370.5" x14ac:dyDescent="0.25">
      <c r="A281" s="63">
        <f t="shared" si="25"/>
        <v>94</v>
      </c>
      <c r="B281" s="128" t="str">
        <f t="shared" si="23"/>
        <v>208-94</v>
      </c>
      <c r="C281" s="129" t="s">
        <v>713</v>
      </c>
      <c r="D281" s="130" t="s">
        <v>714</v>
      </c>
      <c r="E281" s="145" t="s">
        <v>725</v>
      </c>
      <c r="F281" s="111" t="s">
        <v>52</v>
      </c>
      <c r="G281" s="145" t="s">
        <v>53</v>
      </c>
      <c r="H281" s="111" t="s">
        <v>733</v>
      </c>
      <c r="I281" s="111" t="s">
        <v>55</v>
      </c>
      <c r="J281" s="111" t="s">
        <v>56</v>
      </c>
      <c r="K281" s="63">
        <v>801116</v>
      </c>
      <c r="L281" s="111" t="s">
        <v>720</v>
      </c>
      <c r="M281" s="111" t="s">
        <v>58</v>
      </c>
      <c r="N281" s="111" t="s">
        <v>59</v>
      </c>
      <c r="O281" s="111" t="s">
        <v>728</v>
      </c>
      <c r="P281" s="227" t="s">
        <v>795</v>
      </c>
      <c r="Q281" s="134">
        <f t="shared" si="24"/>
        <v>3525690</v>
      </c>
      <c r="R281" s="146">
        <v>1</v>
      </c>
      <c r="S281" s="136">
        <v>40545435</v>
      </c>
      <c r="T281" s="137" t="s">
        <v>747</v>
      </c>
      <c r="U281" s="148" t="s">
        <v>445</v>
      </c>
      <c r="V281" s="148" t="s">
        <v>64</v>
      </c>
      <c r="W281" s="153">
        <v>11.5</v>
      </c>
      <c r="X281" s="133">
        <v>21</v>
      </c>
      <c r="Y281" s="81">
        <v>43102</v>
      </c>
      <c r="Z281" s="154">
        <v>40545435</v>
      </c>
      <c r="AA281" s="140"/>
      <c r="AB281" s="141">
        <v>32</v>
      </c>
      <c r="AC281" s="150">
        <v>43102</v>
      </c>
      <c r="AD281" s="151">
        <v>40545435</v>
      </c>
      <c r="AE281" s="143">
        <f t="shared" si="20"/>
        <v>0</v>
      </c>
      <c r="AF281" s="133">
        <v>504</v>
      </c>
      <c r="AG281" s="81">
        <v>43126</v>
      </c>
      <c r="AH281" s="151">
        <v>40545435</v>
      </c>
      <c r="AI281" s="63" t="s">
        <v>812</v>
      </c>
      <c r="AJ281" s="63">
        <v>414</v>
      </c>
      <c r="AK281" s="143">
        <f t="shared" si="26"/>
        <v>0</v>
      </c>
      <c r="AL281" s="143">
        <v>24914876</v>
      </c>
      <c r="AM281" s="143">
        <f t="shared" si="21"/>
        <v>15630559</v>
      </c>
      <c r="AN281" s="133"/>
      <c r="AO281" s="144">
        <f t="shared" si="22"/>
        <v>0</v>
      </c>
      <c r="AP281" s="133"/>
      <c r="AQ281" s="150">
        <v>43102</v>
      </c>
      <c r="AR281" s="133" t="s">
        <v>739</v>
      </c>
      <c r="AS281" s="150">
        <v>43102</v>
      </c>
      <c r="AT281" s="133" t="s">
        <v>740</v>
      </c>
      <c r="AU281" s="220"/>
      <c r="AV281" s="220"/>
      <c r="AW281" s="220"/>
    </row>
    <row r="282" spans="1:49" s="221" customFormat="1" ht="399" x14ac:dyDescent="0.25">
      <c r="A282" s="63">
        <f t="shared" si="25"/>
        <v>95</v>
      </c>
      <c r="B282" s="128" t="str">
        <f t="shared" si="23"/>
        <v>208-95</v>
      </c>
      <c r="C282" s="129" t="s">
        <v>713</v>
      </c>
      <c r="D282" s="130" t="s">
        <v>714</v>
      </c>
      <c r="E282" s="131" t="s">
        <v>715</v>
      </c>
      <c r="F282" s="111" t="s">
        <v>52</v>
      </c>
      <c r="G282" s="145" t="s">
        <v>53</v>
      </c>
      <c r="H282" s="111" t="s">
        <v>733</v>
      </c>
      <c r="I282" s="111" t="s">
        <v>55</v>
      </c>
      <c r="J282" s="111" t="s">
        <v>56</v>
      </c>
      <c r="K282" s="63">
        <v>801116</v>
      </c>
      <c r="L282" s="111" t="s">
        <v>720</v>
      </c>
      <c r="M282" s="111" t="s">
        <v>58</v>
      </c>
      <c r="N282" s="111" t="s">
        <v>59</v>
      </c>
      <c r="O282" s="111" t="s">
        <v>728</v>
      </c>
      <c r="P282" s="227" t="s">
        <v>803</v>
      </c>
      <c r="Q282" s="134">
        <f t="shared" si="24"/>
        <v>0</v>
      </c>
      <c r="R282" s="146">
        <v>1</v>
      </c>
      <c r="S282" s="136">
        <f>23097750-23097750</f>
        <v>0</v>
      </c>
      <c r="T282" s="137" t="s">
        <v>747</v>
      </c>
      <c r="U282" s="148" t="s">
        <v>445</v>
      </c>
      <c r="V282" s="148" t="s">
        <v>64</v>
      </c>
      <c r="W282" s="153">
        <v>11.5</v>
      </c>
      <c r="X282" s="133" t="s">
        <v>813</v>
      </c>
      <c r="Y282" s="81"/>
      <c r="Z282" s="154"/>
      <c r="AA282" s="140"/>
      <c r="AB282" s="141"/>
      <c r="AC282" s="142"/>
      <c r="AD282" s="143"/>
      <c r="AE282" s="143">
        <f t="shared" si="20"/>
        <v>0</v>
      </c>
      <c r="AF282" s="133"/>
      <c r="AG282" s="85"/>
      <c r="AH282" s="143"/>
      <c r="AI282" s="63"/>
      <c r="AJ282" s="63"/>
      <c r="AK282" s="143">
        <f t="shared" si="26"/>
        <v>0</v>
      </c>
      <c r="AL282" s="143"/>
      <c r="AM282" s="143">
        <f t="shared" si="21"/>
        <v>0</v>
      </c>
      <c r="AN282" s="133"/>
      <c r="AO282" s="144">
        <f t="shared" si="22"/>
        <v>0</v>
      </c>
      <c r="AP282" s="133"/>
      <c r="AQ282" s="150"/>
      <c r="AR282" s="133"/>
      <c r="AS282" s="150"/>
      <c r="AT282" s="133"/>
      <c r="AU282" s="220"/>
      <c r="AV282" s="220"/>
      <c r="AW282" s="220"/>
    </row>
    <row r="283" spans="1:49" s="221" customFormat="1" ht="370.5" x14ac:dyDescent="0.25">
      <c r="A283" s="63">
        <f t="shared" si="25"/>
        <v>96</v>
      </c>
      <c r="B283" s="128" t="str">
        <f t="shared" si="23"/>
        <v>208-96</v>
      </c>
      <c r="C283" s="129" t="s">
        <v>713</v>
      </c>
      <c r="D283" s="130" t="s">
        <v>714</v>
      </c>
      <c r="E283" s="145" t="s">
        <v>725</v>
      </c>
      <c r="F283" s="111" t="s">
        <v>52</v>
      </c>
      <c r="G283" s="145" t="s">
        <v>53</v>
      </c>
      <c r="H283" s="111" t="s">
        <v>733</v>
      </c>
      <c r="I283" s="111" t="s">
        <v>55</v>
      </c>
      <c r="J283" s="111" t="s">
        <v>56</v>
      </c>
      <c r="K283" s="63">
        <v>801116</v>
      </c>
      <c r="L283" s="111" t="s">
        <v>720</v>
      </c>
      <c r="M283" s="111" t="s">
        <v>58</v>
      </c>
      <c r="N283" s="111" t="s">
        <v>59</v>
      </c>
      <c r="O283" s="111" t="s">
        <v>728</v>
      </c>
      <c r="P283" s="227" t="s">
        <v>803</v>
      </c>
      <c r="Q283" s="134">
        <f t="shared" si="24"/>
        <v>0</v>
      </c>
      <c r="R283" s="146">
        <v>1</v>
      </c>
      <c r="S283" s="136">
        <f>53894750-53894750</f>
        <v>0</v>
      </c>
      <c r="T283" s="137" t="s">
        <v>747</v>
      </c>
      <c r="U283" s="148" t="s">
        <v>445</v>
      </c>
      <c r="V283" s="148" t="s">
        <v>64</v>
      </c>
      <c r="W283" s="153">
        <v>11.5</v>
      </c>
      <c r="X283" s="133" t="s">
        <v>814</v>
      </c>
      <c r="Y283" s="81"/>
      <c r="Z283" s="154"/>
      <c r="AA283" s="140"/>
      <c r="AB283" s="141"/>
      <c r="AC283" s="142"/>
      <c r="AD283" s="143"/>
      <c r="AE283" s="143">
        <f t="shared" si="20"/>
        <v>0</v>
      </c>
      <c r="AF283" s="133"/>
      <c r="AG283" s="85"/>
      <c r="AH283" s="143"/>
      <c r="AI283" s="63"/>
      <c r="AJ283" s="63"/>
      <c r="AK283" s="143">
        <f t="shared" si="26"/>
        <v>0</v>
      </c>
      <c r="AL283" s="143"/>
      <c r="AM283" s="143">
        <f t="shared" si="21"/>
        <v>0</v>
      </c>
      <c r="AN283" s="133"/>
      <c r="AO283" s="144">
        <f t="shared" si="22"/>
        <v>0</v>
      </c>
      <c r="AP283" s="133"/>
      <c r="AQ283" s="150"/>
      <c r="AR283" s="133"/>
      <c r="AS283" s="150"/>
      <c r="AT283" s="133"/>
      <c r="AU283" s="220"/>
      <c r="AV283" s="220"/>
      <c r="AW283" s="220"/>
    </row>
    <row r="284" spans="1:49" s="221" customFormat="1" ht="399" x14ac:dyDescent="0.25">
      <c r="A284" s="63">
        <f t="shared" si="25"/>
        <v>97</v>
      </c>
      <c r="B284" s="128" t="str">
        <f t="shared" si="23"/>
        <v>208-97</v>
      </c>
      <c r="C284" s="129" t="s">
        <v>713</v>
      </c>
      <c r="D284" s="130" t="s">
        <v>714</v>
      </c>
      <c r="E284" s="131" t="s">
        <v>715</v>
      </c>
      <c r="F284" s="111" t="s">
        <v>52</v>
      </c>
      <c r="G284" s="145" t="s">
        <v>53</v>
      </c>
      <c r="H284" s="111" t="s">
        <v>733</v>
      </c>
      <c r="I284" s="111" t="s">
        <v>55</v>
      </c>
      <c r="J284" s="111" t="s">
        <v>56</v>
      </c>
      <c r="K284" s="63">
        <v>801116</v>
      </c>
      <c r="L284" s="111" t="s">
        <v>720</v>
      </c>
      <c r="M284" s="111" t="s">
        <v>58</v>
      </c>
      <c r="N284" s="111" t="s">
        <v>59</v>
      </c>
      <c r="O284" s="111" t="s">
        <v>728</v>
      </c>
      <c r="P284" s="227" t="s">
        <v>815</v>
      </c>
      <c r="Q284" s="134">
        <f t="shared" si="24"/>
        <v>1147826.0869565217</v>
      </c>
      <c r="R284" s="146">
        <v>1</v>
      </c>
      <c r="S284" s="136">
        <f>14214000-1014000</f>
        <v>13200000</v>
      </c>
      <c r="T284" s="137" t="s">
        <v>747</v>
      </c>
      <c r="U284" s="148" t="s">
        <v>445</v>
      </c>
      <c r="V284" s="148" t="s">
        <v>64</v>
      </c>
      <c r="W284" s="153">
        <v>11.5</v>
      </c>
      <c r="X284" s="133">
        <v>18</v>
      </c>
      <c r="Y284" s="81">
        <v>43102</v>
      </c>
      <c r="Z284" s="154">
        <v>14214000</v>
      </c>
      <c r="AA284" s="140"/>
      <c r="AB284" s="141">
        <v>25</v>
      </c>
      <c r="AC284" s="150">
        <v>43102</v>
      </c>
      <c r="AD284" s="143">
        <v>13200000</v>
      </c>
      <c r="AE284" s="143">
        <f t="shared" si="20"/>
        <v>0</v>
      </c>
      <c r="AF284" s="133">
        <v>444</v>
      </c>
      <c r="AG284" s="81">
        <v>43125</v>
      </c>
      <c r="AH284" s="143">
        <v>13200000</v>
      </c>
      <c r="AI284" s="63" t="s">
        <v>816</v>
      </c>
      <c r="AJ284" s="63">
        <v>379</v>
      </c>
      <c r="AK284" s="143">
        <f t="shared" si="26"/>
        <v>0</v>
      </c>
      <c r="AL284" s="143">
        <v>8600000.0999999996</v>
      </c>
      <c r="AM284" s="143">
        <f t="shared" si="21"/>
        <v>4599999.9000000004</v>
      </c>
      <c r="AN284" s="133"/>
      <c r="AO284" s="144">
        <f t="shared" si="22"/>
        <v>0</v>
      </c>
      <c r="AP284" s="133"/>
      <c r="AQ284" s="150">
        <v>43102</v>
      </c>
      <c r="AR284" s="133" t="s">
        <v>739</v>
      </c>
      <c r="AS284" s="150">
        <v>43102</v>
      </c>
      <c r="AT284" s="133" t="s">
        <v>740</v>
      </c>
      <c r="AU284" s="220"/>
      <c r="AV284" s="220"/>
      <c r="AW284" s="220"/>
    </row>
    <row r="285" spans="1:49" s="221" customFormat="1" ht="370.5" x14ac:dyDescent="0.25">
      <c r="A285" s="63">
        <f t="shared" si="25"/>
        <v>98</v>
      </c>
      <c r="B285" s="128" t="str">
        <f t="shared" si="23"/>
        <v>208-98</v>
      </c>
      <c r="C285" s="129" t="s">
        <v>713</v>
      </c>
      <c r="D285" s="130" t="s">
        <v>714</v>
      </c>
      <c r="E285" s="145" t="s">
        <v>725</v>
      </c>
      <c r="F285" s="111" t="s">
        <v>52</v>
      </c>
      <c r="G285" s="145" t="s">
        <v>53</v>
      </c>
      <c r="H285" s="111" t="s">
        <v>733</v>
      </c>
      <c r="I285" s="111" t="s">
        <v>55</v>
      </c>
      <c r="J285" s="111" t="s">
        <v>56</v>
      </c>
      <c r="K285" s="63">
        <v>801116</v>
      </c>
      <c r="L285" s="111" t="s">
        <v>720</v>
      </c>
      <c r="M285" s="111" t="s">
        <v>58</v>
      </c>
      <c r="N285" s="111" t="s">
        <v>59</v>
      </c>
      <c r="O285" s="111" t="s">
        <v>728</v>
      </c>
      <c r="P285" s="227" t="s">
        <v>815</v>
      </c>
      <c r="Q285" s="134">
        <f t="shared" si="24"/>
        <v>2678260.8695652173</v>
      </c>
      <c r="R285" s="146">
        <v>1</v>
      </c>
      <c r="S285" s="136">
        <f>33166000-2366000</f>
        <v>30800000</v>
      </c>
      <c r="T285" s="137" t="s">
        <v>747</v>
      </c>
      <c r="U285" s="148" t="s">
        <v>445</v>
      </c>
      <c r="V285" s="148" t="s">
        <v>64</v>
      </c>
      <c r="W285" s="153">
        <v>11.5</v>
      </c>
      <c r="X285" s="133">
        <v>17</v>
      </c>
      <c r="Y285" s="81">
        <v>43102</v>
      </c>
      <c r="Z285" s="154">
        <v>33166000</v>
      </c>
      <c r="AA285" s="140"/>
      <c r="AB285" s="141">
        <v>25</v>
      </c>
      <c r="AC285" s="150">
        <v>43102</v>
      </c>
      <c r="AD285" s="143">
        <v>30799999.999999996</v>
      </c>
      <c r="AE285" s="143">
        <f t="shared" si="20"/>
        <v>0</v>
      </c>
      <c r="AF285" s="133">
        <v>444</v>
      </c>
      <c r="AG285" s="81">
        <v>43125</v>
      </c>
      <c r="AH285" s="143">
        <v>30799999.999999996</v>
      </c>
      <c r="AI285" s="63" t="s">
        <v>816</v>
      </c>
      <c r="AJ285" s="63">
        <v>379</v>
      </c>
      <c r="AK285" s="143">
        <f t="shared" si="26"/>
        <v>0</v>
      </c>
      <c r="AL285" s="143">
        <v>20066666.899999999</v>
      </c>
      <c r="AM285" s="143">
        <f t="shared" si="21"/>
        <v>10733333.099999998</v>
      </c>
      <c r="AN285" s="133"/>
      <c r="AO285" s="144">
        <f t="shared" si="22"/>
        <v>0</v>
      </c>
      <c r="AP285" s="133"/>
      <c r="AQ285" s="150">
        <v>43102</v>
      </c>
      <c r="AR285" s="133" t="s">
        <v>739</v>
      </c>
      <c r="AS285" s="150">
        <v>43102</v>
      </c>
      <c r="AT285" s="133" t="s">
        <v>740</v>
      </c>
      <c r="AU285" s="220"/>
      <c r="AV285" s="220"/>
      <c r="AW285" s="220"/>
    </row>
    <row r="286" spans="1:49" s="221" customFormat="1" ht="399" x14ac:dyDescent="0.25">
      <c r="A286" s="63">
        <f t="shared" si="25"/>
        <v>99</v>
      </c>
      <c r="B286" s="128" t="str">
        <f t="shared" si="23"/>
        <v>208-99</v>
      </c>
      <c r="C286" s="129" t="s">
        <v>713</v>
      </c>
      <c r="D286" s="130" t="s">
        <v>714</v>
      </c>
      <c r="E286" s="131" t="s">
        <v>715</v>
      </c>
      <c r="F286" s="111" t="s">
        <v>52</v>
      </c>
      <c r="G286" s="145" t="s">
        <v>53</v>
      </c>
      <c r="H286" s="111" t="s">
        <v>733</v>
      </c>
      <c r="I286" s="111" t="s">
        <v>55</v>
      </c>
      <c r="J286" s="111" t="s">
        <v>56</v>
      </c>
      <c r="K286" s="63">
        <v>801116</v>
      </c>
      <c r="L286" s="111" t="s">
        <v>720</v>
      </c>
      <c r="M286" s="111" t="s">
        <v>58</v>
      </c>
      <c r="N286" s="111" t="s">
        <v>59</v>
      </c>
      <c r="O286" s="111" t="s">
        <v>728</v>
      </c>
      <c r="P286" s="227" t="s">
        <v>817</v>
      </c>
      <c r="Q286" s="134">
        <f t="shared" si="24"/>
        <v>709356.52173913049</v>
      </c>
      <c r="R286" s="146">
        <v>1</v>
      </c>
      <c r="S286" s="136">
        <f>15635400-7477800</f>
        <v>8157600</v>
      </c>
      <c r="T286" s="137" t="s">
        <v>747</v>
      </c>
      <c r="U286" s="148" t="s">
        <v>445</v>
      </c>
      <c r="V286" s="148" t="s">
        <v>64</v>
      </c>
      <c r="W286" s="153">
        <v>11.5</v>
      </c>
      <c r="X286" s="133">
        <v>16</v>
      </c>
      <c r="Y286" s="81">
        <v>43102</v>
      </c>
      <c r="Z286" s="154">
        <v>15635400</v>
      </c>
      <c r="AA286" s="140"/>
      <c r="AB286" s="141">
        <v>21</v>
      </c>
      <c r="AC286" s="150">
        <v>43102</v>
      </c>
      <c r="AD286" s="143">
        <v>8157600</v>
      </c>
      <c r="AE286" s="143">
        <f t="shared" si="20"/>
        <v>0</v>
      </c>
      <c r="AF286" s="133">
        <v>312</v>
      </c>
      <c r="AG286" s="81">
        <v>43122</v>
      </c>
      <c r="AH286" s="143">
        <v>8157600</v>
      </c>
      <c r="AI286" s="63" t="s">
        <v>818</v>
      </c>
      <c r="AJ286" s="63">
        <v>226</v>
      </c>
      <c r="AK286" s="143">
        <f t="shared" si="26"/>
        <v>0</v>
      </c>
      <c r="AL286" s="143">
        <v>8157600</v>
      </c>
      <c r="AM286" s="143">
        <f t="shared" si="21"/>
        <v>0</v>
      </c>
      <c r="AN286" s="133"/>
      <c r="AO286" s="144">
        <f t="shared" si="22"/>
        <v>0</v>
      </c>
      <c r="AP286" s="133"/>
      <c r="AQ286" s="150">
        <v>43102</v>
      </c>
      <c r="AR286" s="133" t="s">
        <v>739</v>
      </c>
      <c r="AS286" s="150">
        <v>43102</v>
      </c>
      <c r="AT286" s="133" t="s">
        <v>740</v>
      </c>
      <c r="AU286" s="220"/>
      <c r="AV286" s="220"/>
      <c r="AW286" s="220"/>
    </row>
    <row r="287" spans="1:49" s="221" customFormat="1" ht="370.5" x14ac:dyDescent="0.25">
      <c r="A287" s="63">
        <f t="shared" si="25"/>
        <v>100</v>
      </c>
      <c r="B287" s="128" t="str">
        <f t="shared" si="23"/>
        <v>208-100</v>
      </c>
      <c r="C287" s="129" t="s">
        <v>713</v>
      </c>
      <c r="D287" s="130" t="s">
        <v>714</v>
      </c>
      <c r="E287" s="145" t="s">
        <v>725</v>
      </c>
      <c r="F287" s="111" t="s">
        <v>52</v>
      </c>
      <c r="G287" s="145" t="s">
        <v>53</v>
      </c>
      <c r="H287" s="111" t="s">
        <v>733</v>
      </c>
      <c r="I287" s="111" t="s">
        <v>55</v>
      </c>
      <c r="J287" s="111" t="s">
        <v>56</v>
      </c>
      <c r="K287" s="63">
        <v>801116</v>
      </c>
      <c r="L287" s="111" t="s">
        <v>720</v>
      </c>
      <c r="M287" s="111" t="s">
        <v>58</v>
      </c>
      <c r="N287" s="111" t="s">
        <v>59</v>
      </c>
      <c r="O287" s="111" t="s">
        <v>728</v>
      </c>
      <c r="P287" s="227" t="s">
        <v>817</v>
      </c>
      <c r="Q287" s="134">
        <f t="shared" si="24"/>
        <v>1655165.2173913044</v>
      </c>
      <c r="R287" s="146">
        <v>1</v>
      </c>
      <c r="S287" s="136">
        <f>36482600-17448200</f>
        <v>19034400</v>
      </c>
      <c r="T287" s="137" t="s">
        <v>747</v>
      </c>
      <c r="U287" s="148" t="s">
        <v>445</v>
      </c>
      <c r="V287" s="148" t="s">
        <v>64</v>
      </c>
      <c r="W287" s="153">
        <v>11.5</v>
      </c>
      <c r="X287" s="133">
        <v>15</v>
      </c>
      <c r="Y287" s="81">
        <v>43102</v>
      </c>
      <c r="Z287" s="154">
        <v>36482600</v>
      </c>
      <c r="AA287" s="140"/>
      <c r="AB287" s="141">
        <v>21</v>
      </c>
      <c r="AC287" s="150">
        <v>43102</v>
      </c>
      <c r="AD287" s="143">
        <v>19034400</v>
      </c>
      <c r="AE287" s="143">
        <f t="shared" si="20"/>
        <v>0</v>
      </c>
      <c r="AF287" s="133">
        <v>312</v>
      </c>
      <c r="AG287" s="81">
        <v>43122</v>
      </c>
      <c r="AH287" s="143">
        <v>19034400</v>
      </c>
      <c r="AI287" s="63" t="s">
        <v>818</v>
      </c>
      <c r="AJ287" s="63">
        <v>226</v>
      </c>
      <c r="AK287" s="143">
        <f t="shared" si="26"/>
        <v>0</v>
      </c>
      <c r="AL287" s="143">
        <v>19034400</v>
      </c>
      <c r="AM287" s="143">
        <f t="shared" si="21"/>
        <v>0</v>
      </c>
      <c r="AN287" s="133"/>
      <c r="AO287" s="144">
        <f t="shared" si="22"/>
        <v>0</v>
      </c>
      <c r="AP287" s="133"/>
      <c r="AQ287" s="150">
        <v>43102</v>
      </c>
      <c r="AR287" s="133" t="s">
        <v>739</v>
      </c>
      <c r="AS287" s="150">
        <v>43102</v>
      </c>
      <c r="AT287" s="133" t="s">
        <v>740</v>
      </c>
      <c r="AU287" s="220"/>
      <c r="AV287" s="220"/>
      <c r="AW287" s="220"/>
    </row>
    <row r="288" spans="1:49" s="221" customFormat="1" ht="399" x14ac:dyDescent="0.25">
      <c r="A288" s="63">
        <f t="shared" si="25"/>
        <v>101</v>
      </c>
      <c r="B288" s="128" t="str">
        <f t="shared" si="23"/>
        <v>208-101</v>
      </c>
      <c r="C288" s="129" t="s">
        <v>713</v>
      </c>
      <c r="D288" s="130" t="s">
        <v>714</v>
      </c>
      <c r="E288" s="131" t="s">
        <v>715</v>
      </c>
      <c r="F288" s="111" t="s">
        <v>52</v>
      </c>
      <c r="G288" s="145" t="s">
        <v>53</v>
      </c>
      <c r="H288" s="111" t="s">
        <v>733</v>
      </c>
      <c r="I288" s="111" t="s">
        <v>55</v>
      </c>
      <c r="J288" s="111" t="s">
        <v>56</v>
      </c>
      <c r="K288" s="63">
        <v>801116</v>
      </c>
      <c r="L288" s="111" t="s">
        <v>720</v>
      </c>
      <c r="M288" s="111" t="s">
        <v>58</v>
      </c>
      <c r="N288" s="111" t="s">
        <v>59</v>
      </c>
      <c r="O288" s="111" t="s">
        <v>728</v>
      </c>
      <c r="P288" s="227" t="s">
        <v>819</v>
      </c>
      <c r="Q288" s="134">
        <f t="shared" si="24"/>
        <v>2364521.7391304346</v>
      </c>
      <c r="R288" s="146">
        <v>1</v>
      </c>
      <c r="S288" s="136">
        <f>28428000-1236000</f>
        <v>27192000</v>
      </c>
      <c r="T288" s="137" t="s">
        <v>747</v>
      </c>
      <c r="U288" s="148" t="s">
        <v>445</v>
      </c>
      <c r="V288" s="148" t="s">
        <v>64</v>
      </c>
      <c r="W288" s="153">
        <v>11.5</v>
      </c>
      <c r="X288" s="133">
        <v>14</v>
      </c>
      <c r="Y288" s="81">
        <v>43102</v>
      </c>
      <c r="Z288" s="154">
        <v>28428000</v>
      </c>
      <c r="AA288" s="140"/>
      <c r="AB288" s="141">
        <v>18</v>
      </c>
      <c r="AC288" s="150">
        <v>43102</v>
      </c>
      <c r="AD288" s="143">
        <v>27192000</v>
      </c>
      <c r="AE288" s="143">
        <f t="shared" si="20"/>
        <v>0</v>
      </c>
      <c r="AF288" s="133">
        <v>465</v>
      </c>
      <c r="AG288" s="81">
        <v>43126</v>
      </c>
      <c r="AH288" s="143">
        <v>27192000</v>
      </c>
      <c r="AI288" s="63" t="s">
        <v>820</v>
      </c>
      <c r="AJ288" s="63">
        <v>392</v>
      </c>
      <c r="AK288" s="143">
        <f t="shared" si="26"/>
        <v>0</v>
      </c>
      <c r="AL288" s="143">
        <v>17715999.899999999</v>
      </c>
      <c r="AM288" s="143">
        <f t="shared" si="21"/>
        <v>9476000.1000000015</v>
      </c>
      <c r="AN288" s="133"/>
      <c r="AO288" s="144">
        <f t="shared" si="22"/>
        <v>0</v>
      </c>
      <c r="AP288" s="133"/>
      <c r="AQ288" s="150">
        <v>43102</v>
      </c>
      <c r="AR288" s="133" t="s">
        <v>739</v>
      </c>
      <c r="AS288" s="150">
        <v>43102</v>
      </c>
      <c r="AT288" s="133" t="s">
        <v>740</v>
      </c>
      <c r="AU288" s="220"/>
      <c r="AV288" s="220"/>
      <c r="AW288" s="220"/>
    </row>
    <row r="289" spans="1:49" s="221" customFormat="1" ht="370.5" x14ac:dyDescent="0.25">
      <c r="A289" s="63">
        <f t="shared" si="25"/>
        <v>102</v>
      </c>
      <c r="B289" s="128" t="str">
        <f t="shared" si="23"/>
        <v>208-102</v>
      </c>
      <c r="C289" s="129" t="s">
        <v>713</v>
      </c>
      <c r="D289" s="130" t="s">
        <v>714</v>
      </c>
      <c r="E289" s="145" t="s">
        <v>725</v>
      </c>
      <c r="F289" s="111" t="s">
        <v>52</v>
      </c>
      <c r="G289" s="145" t="s">
        <v>53</v>
      </c>
      <c r="H289" s="111" t="s">
        <v>733</v>
      </c>
      <c r="I289" s="111" t="s">
        <v>55</v>
      </c>
      <c r="J289" s="111" t="s">
        <v>56</v>
      </c>
      <c r="K289" s="63">
        <v>801116</v>
      </c>
      <c r="L289" s="111" t="s">
        <v>720</v>
      </c>
      <c r="M289" s="111" t="s">
        <v>58</v>
      </c>
      <c r="N289" s="111" t="s">
        <v>59</v>
      </c>
      <c r="O289" s="111" t="s">
        <v>728</v>
      </c>
      <c r="P289" s="227" t="s">
        <v>819</v>
      </c>
      <c r="Q289" s="134">
        <f t="shared" si="24"/>
        <v>5517217.3913043477</v>
      </c>
      <c r="R289" s="146">
        <v>1</v>
      </c>
      <c r="S289" s="136">
        <f>66332000-2884000</f>
        <v>63448000</v>
      </c>
      <c r="T289" s="137" t="s">
        <v>747</v>
      </c>
      <c r="U289" s="148" t="s">
        <v>445</v>
      </c>
      <c r="V289" s="148" t="s">
        <v>64</v>
      </c>
      <c r="W289" s="153">
        <v>11.5</v>
      </c>
      <c r="X289" s="133">
        <v>13</v>
      </c>
      <c r="Y289" s="81">
        <v>43102</v>
      </c>
      <c r="Z289" s="154">
        <v>66332000</v>
      </c>
      <c r="AA289" s="140"/>
      <c r="AB289" s="141">
        <v>18</v>
      </c>
      <c r="AC289" s="150">
        <v>43102</v>
      </c>
      <c r="AD289" s="143">
        <v>63447999.999999993</v>
      </c>
      <c r="AE289" s="143">
        <f t="shared" si="20"/>
        <v>0</v>
      </c>
      <c r="AF289" s="133">
        <v>465</v>
      </c>
      <c r="AG289" s="81">
        <v>43126</v>
      </c>
      <c r="AH289" s="143">
        <v>63447999.999999993</v>
      </c>
      <c r="AI289" s="63" t="s">
        <v>820</v>
      </c>
      <c r="AJ289" s="63">
        <v>392</v>
      </c>
      <c r="AK289" s="143">
        <f t="shared" si="26"/>
        <v>0</v>
      </c>
      <c r="AL289" s="143">
        <v>41337333.099999994</v>
      </c>
      <c r="AM289" s="143">
        <f t="shared" si="21"/>
        <v>22110666.899999999</v>
      </c>
      <c r="AN289" s="133"/>
      <c r="AO289" s="144">
        <f t="shared" si="22"/>
        <v>0</v>
      </c>
      <c r="AP289" s="133"/>
      <c r="AQ289" s="150">
        <v>43102</v>
      </c>
      <c r="AR289" s="133" t="s">
        <v>739</v>
      </c>
      <c r="AS289" s="150">
        <v>43102</v>
      </c>
      <c r="AT289" s="133" t="s">
        <v>740</v>
      </c>
      <c r="AU289" s="220"/>
      <c r="AV289" s="220"/>
      <c r="AW289" s="220"/>
    </row>
    <row r="290" spans="1:49" s="221" customFormat="1" ht="399" x14ac:dyDescent="0.25">
      <c r="A290" s="63">
        <f t="shared" si="25"/>
        <v>103</v>
      </c>
      <c r="B290" s="128" t="str">
        <f t="shared" si="23"/>
        <v>208-103</v>
      </c>
      <c r="C290" s="129" t="s">
        <v>713</v>
      </c>
      <c r="D290" s="130" t="s">
        <v>714</v>
      </c>
      <c r="E290" s="131" t="s">
        <v>715</v>
      </c>
      <c r="F290" s="111" t="s">
        <v>52</v>
      </c>
      <c r="G290" s="145" t="s">
        <v>53</v>
      </c>
      <c r="H290" s="111" t="s">
        <v>733</v>
      </c>
      <c r="I290" s="111" t="s">
        <v>55</v>
      </c>
      <c r="J290" s="111" t="s">
        <v>56</v>
      </c>
      <c r="K290" s="63">
        <v>801116</v>
      </c>
      <c r="L290" s="111" t="s">
        <v>720</v>
      </c>
      <c r="M290" s="111" t="s">
        <v>58</v>
      </c>
      <c r="N290" s="111" t="s">
        <v>59</v>
      </c>
      <c r="O290" s="111" t="s">
        <v>728</v>
      </c>
      <c r="P290" s="227" t="s">
        <v>795</v>
      </c>
      <c r="Q290" s="134">
        <f t="shared" si="24"/>
        <v>1066050</v>
      </c>
      <c r="R290" s="146">
        <v>1</v>
      </c>
      <c r="S290" s="136">
        <v>12259575</v>
      </c>
      <c r="T290" s="137" t="s">
        <v>747</v>
      </c>
      <c r="U290" s="148" t="s">
        <v>445</v>
      </c>
      <c r="V290" s="148" t="s">
        <v>64</v>
      </c>
      <c r="W290" s="153">
        <v>11.5</v>
      </c>
      <c r="X290" s="133">
        <v>12</v>
      </c>
      <c r="Y290" s="81">
        <v>43102</v>
      </c>
      <c r="Z290" s="154">
        <v>12259575</v>
      </c>
      <c r="AA290" s="140"/>
      <c r="AB290" s="141">
        <v>16</v>
      </c>
      <c r="AC290" s="150">
        <v>43102</v>
      </c>
      <c r="AD290" s="143">
        <v>12259575</v>
      </c>
      <c r="AE290" s="143">
        <f t="shared" si="20"/>
        <v>0</v>
      </c>
      <c r="AF290" s="133">
        <v>496</v>
      </c>
      <c r="AG290" s="81">
        <v>43126</v>
      </c>
      <c r="AH290" s="143">
        <v>12259575</v>
      </c>
      <c r="AI290" s="63" t="s">
        <v>821</v>
      </c>
      <c r="AJ290" s="63">
        <v>425</v>
      </c>
      <c r="AK290" s="143">
        <f t="shared" si="26"/>
        <v>0</v>
      </c>
      <c r="AL290" s="143">
        <v>7533420</v>
      </c>
      <c r="AM290" s="143">
        <f t="shared" si="21"/>
        <v>4726155</v>
      </c>
      <c r="AN290" s="133"/>
      <c r="AO290" s="144">
        <f t="shared" si="22"/>
        <v>0</v>
      </c>
      <c r="AP290" s="133"/>
      <c r="AQ290" s="150">
        <v>43102</v>
      </c>
      <c r="AR290" s="133" t="s">
        <v>739</v>
      </c>
      <c r="AS290" s="150">
        <v>43102</v>
      </c>
      <c r="AT290" s="133" t="s">
        <v>740</v>
      </c>
      <c r="AU290" s="220"/>
      <c r="AV290" s="220"/>
      <c r="AW290" s="220"/>
    </row>
    <row r="291" spans="1:49" s="221" customFormat="1" ht="370.5" x14ac:dyDescent="0.25">
      <c r="A291" s="63">
        <f t="shared" si="25"/>
        <v>104</v>
      </c>
      <c r="B291" s="128" t="str">
        <f t="shared" si="23"/>
        <v>208-104</v>
      </c>
      <c r="C291" s="129" t="s">
        <v>713</v>
      </c>
      <c r="D291" s="130" t="s">
        <v>714</v>
      </c>
      <c r="E291" s="145" t="s">
        <v>725</v>
      </c>
      <c r="F291" s="111" t="s">
        <v>52</v>
      </c>
      <c r="G291" s="145" t="s">
        <v>53</v>
      </c>
      <c r="H291" s="111" t="s">
        <v>733</v>
      </c>
      <c r="I291" s="111" t="s">
        <v>55</v>
      </c>
      <c r="J291" s="111" t="s">
        <v>56</v>
      </c>
      <c r="K291" s="63">
        <v>801116</v>
      </c>
      <c r="L291" s="111" t="s">
        <v>720</v>
      </c>
      <c r="M291" s="111" t="s">
        <v>58</v>
      </c>
      <c r="N291" s="111" t="s">
        <v>59</v>
      </c>
      <c r="O291" s="111" t="s">
        <v>728</v>
      </c>
      <c r="P291" s="227" t="s">
        <v>795</v>
      </c>
      <c r="Q291" s="134">
        <f t="shared" si="24"/>
        <v>2487450</v>
      </c>
      <c r="R291" s="146">
        <v>1</v>
      </c>
      <c r="S291" s="136">
        <v>28605675</v>
      </c>
      <c r="T291" s="137" t="s">
        <v>747</v>
      </c>
      <c r="U291" s="148" t="s">
        <v>445</v>
      </c>
      <c r="V291" s="148" t="s">
        <v>64</v>
      </c>
      <c r="W291" s="153">
        <v>11.5</v>
      </c>
      <c r="X291" s="133">
        <v>11</v>
      </c>
      <c r="Y291" s="81">
        <v>43102</v>
      </c>
      <c r="Z291" s="154">
        <v>28605675</v>
      </c>
      <c r="AA291" s="140"/>
      <c r="AB291" s="141">
        <v>16</v>
      </c>
      <c r="AC291" s="150">
        <v>43102</v>
      </c>
      <c r="AD291" s="143">
        <v>28605675</v>
      </c>
      <c r="AE291" s="143">
        <f t="shared" si="20"/>
        <v>0</v>
      </c>
      <c r="AF291" s="133">
        <v>496</v>
      </c>
      <c r="AG291" s="81">
        <v>43126</v>
      </c>
      <c r="AH291" s="143">
        <v>28605675</v>
      </c>
      <c r="AI291" s="63" t="s">
        <v>821</v>
      </c>
      <c r="AJ291" s="63">
        <v>425</v>
      </c>
      <c r="AK291" s="143">
        <f t="shared" si="26"/>
        <v>0</v>
      </c>
      <c r="AL291" s="143">
        <v>17577980</v>
      </c>
      <c r="AM291" s="143">
        <f t="shared" si="21"/>
        <v>11027695</v>
      </c>
      <c r="AN291" s="133"/>
      <c r="AO291" s="144">
        <f t="shared" si="22"/>
        <v>0</v>
      </c>
      <c r="AP291" s="133"/>
      <c r="AQ291" s="150">
        <v>43102</v>
      </c>
      <c r="AR291" s="133" t="s">
        <v>739</v>
      </c>
      <c r="AS291" s="150">
        <v>43102</v>
      </c>
      <c r="AT291" s="133" t="s">
        <v>740</v>
      </c>
      <c r="AU291" s="220"/>
      <c r="AV291" s="220"/>
      <c r="AW291" s="220"/>
    </row>
    <row r="292" spans="1:49" s="221" customFormat="1" ht="399" x14ac:dyDescent="0.25">
      <c r="A292" s="63">
        <f t="shared" si="25"/>
        <v>105</v>
      </c>
      <c r="B292" s="128" t="str">
        <f t="shared" si="23"/>
        <v>208-105</v>
      </c>
      <c r="C292" s="129" t="s">
        <v>713</v>
      </c>
      <c r="D292" s="130" t="s">
        <v>714</v>
      </c>
      <c r="E292" s="131" t="s">
        <v>715</v>
      </c>
      <c r="F292" s="111" t="s">
        <v>52</v>
      </c>
      <c r="G292" s="145" t="s">
        <v>53</v>
      </c>
      <c r="H292" s="111" t="s">
        <v>733</v>
      </c>
      <c r="I292" s="111" t="s">
        <v>55</v>
      </c>
      <c r="J292" s="111" t="s">
        <v>56</v>
      </c>
      <c r="K292" s="63">
        <v>801116</v>
      </c>
      <c r="L292" s="111" t="s">
        <v>720</v>
      </c>
      <c r="M292" s="111" t="s">
        <v>58</v>
      </c>
      <c r="N292" s="111" t="s">
        <v>59</v>
      </c>
      <c r="O292" s="111" t="s">
        <v>728</v>
      </c>
      <c r="P292" s="227" t="s">
        <v>822</v>
      </c>
      <c r="Q292" s="134">
        <f t="shared" si="24"/>
        <v>998070</v>
      </c>
      <c r="R292" s="146">
        <v>1</v>
      </c>
      <c r="S292" s="136">
        <v>11477805</v>
      </c>
      <c r="T292" s="137" t="s">
        <v>747</v>
      </c>
      <c r="U292" s="148" t="s">
        <v>445</v>
      </c>
      <c r="V292" s="148" t="s">
        <v>64</v>
      </c>
      <c r="W292" s="153">
        <v>11.5</v>
      </c>
      <c r="X292" s="133">
        <v>10</v>
      </c>
      <c r="Y292" s="81">
        <v>43102</v>
      </c>
      <c r="Z292" s="154">
        <v>11477805</v>
      </c>
      <c r="AA292" s="140"/>
      <c r="AB292" s="141">
        <v>93</v>
      </c>
      <c r="AC292" s="150">
        <v>43103</v>
      </c>
      <c r="AD292" s="143">
        <v>11477805</v>
      </c>
      <c r="AE292" s="143">
        <f t="shared" si="20"/>
        <v>0</v>
      </c>
      <c r="AF292" s="133">
        <v>4</v>
      </c>
      <c r="AG292" s="81">
        <v>43112</v>
      </c>
      <c r="AH292" s="143">
        <v>11477805</v>
      </c>
      <c r="AI292" s="63" t="s">
        <v>823</v>
      </c>
      <c r="AJ292" s="63">
        <v>7</v>
      </c>
      <c r="AK292" s="143">
        <f t="shared" si="26"/>
        <v>0</v>
      </c>
      <c r="AL292" s="143">
        <v>7518794.0999999996</v>
      </c>
      <c r="AM292" s="143">
        <f t="shared" si="21"/>
        <v>3959010.9000000004</v>
      </c>
      <c r="AN292" s="133"/>
      <c r="AO292" s="144">
        <f t="shared" si="22"/>
        <v>0</v>
      </c>
      <c r="AP292" s="133"/>
      <c r="AQ292" s="150">
        <v>43102</v>
      </c>
      <c r="AR292" s="133" t="s">
        <v>739</v>
      </c>
      <c r="AS292" s="150">
        <v>43102</v>
      </c>
      <c r="AT292" s="133" t="s">
        <v>740</v>
      </c>
      <c r="AU292" s="220"/>
      <c r="AV292" s="220"/>
      <c r="AW292" s="220"/>
    </row>
    <row r="293" spans="1:49" s="221" customFormat="1" ht="370.5" x14ac:dyDescent="0.25">
      <c r="A293" s="63">
        <f t="shared" si="25"/>
        <v>106</v>
      </c>
      <c r="B293" s="128" t="str">
        <f t="shared" si="23"/>
        <v>208-106</v>
      </c>
      <c r="C293" s="129" t="s">
        <v>713</v>
      </c>
      <c r="D293" s="130" t="s">
        <v>714</v>
      </c>
      <c r="E293" s="145" t="s">
        <v>725</v>
      </c>
      <c r="F293" s="111" t="s">
        <v>52</v>
      </c>
      <c r="G293" s="145" t="s">
        <v>53</v>
      </c>
      <c r="H293" s="111" t="s">
        <v>733</v>
      </c>
      <c r="I293" s="111" t="s">
        <v>55</v>
      </c>
      <c r="J293" s="111" t="s">
        <v>56</v>
      </c>
      <c r="K293" s="63">
        <v>801116</v>
      </c>
      <c r="L293" s="111" t="s">
        <v>720</v>
      </c>
      <c r="M293" s="111" t="s">
        <v>58</v>
      </c>
      <c r="N293" s="111" t="s">
        <v>59</v>
      </c>
      <c r="O293" s="111" t="s">
        <v>728</v>
      </c>
      <c r="P293" s="227" t="s">
        <v>822</v>
      </c>
      <c r="Q293" s="134">
        <f t="shared" si="24"/>
        <v>2328830</v>
      </c>
      <c r="R293" s="146">
        <v>1</v>
      </c>
      <c r="S293" s="136">
        <v>26781545</v>
      </c>
      <c r="T293" s="137" t="s">
        <v>747</v>
      </c>
      <c r="U293" s="148" t="s">
        <v>445</v>
      </c>
      <c r="V293" s="148" t="s">
        <v>64</v>
      </c>
      <c r="W293" s="153">
        <v>11.5</v>
      </c>
      <c r="X293" s="133">
        <v>9</v>
      </c>
      <c r="Y293" s="81">
        <v>43102</v>
      </c>
      <c r="Z293" s="154">
        <v>26781545</v>
      </c>
      <c r="AA293" s="140"/>
      <c r="AB293" s="141">
        <v>93</v>
      </c>
      <c r="AC293" s="150">
        <v>43103</v>
      </c>
      <c r="AD293" s="143">
        <v>26781545</v>
      </c>
      <c r="AE293" s="143">
        <f t="shared" si="20"/>
        <v>0</v>
      </c>
      <c r="AF293" s="133">
        <v>4</v>
      </c>
      <c r="AG293" s="81">
        <v>43112</v>
      </c>
      <c r="AH293" s="143">
        <v>26781545</v>
      </c>
      <c r="AI293" s="63" t="s">
        <v>823</v>
      </c>
      <c r="AJ293" s="63">
        <v>7</v>
      </c>
      <c r="AK293" s="143">
        <f t="shared" si="26"/>
        <v>0</v>
      </c>
      <c r="AL293" s="143">
        <v>17543852.899999999</v>
      </c>
      <c r="AM293" s="143">
        <f t="shared" si="21"/>
        <v>9237692.1000000015</v>
      </c>
      <c r="AN293" s="133"/>
      <c r="AO293" s="144">
        <f t="shared" si="22"/>
        <v>0</v>
      </c>
      <c r="AP293" s="133"/>
      <c r="AQ293" s="150">
        <v>43102</v>
      </c>
      <c r="AR293" s="133" t="s">
        <v>739</v>
      </c>
      <c r="AS293" s="150">
        <v>43102</v>
      </c>
      <c r="AT293" s="133" t="s">
        <v>740</v>
      </c>
      <c r="AU293" s="220"/>
      <c r="AV293" s="220"/>
      <c r="AW293" s="220"/>
    </row>
    <row r="294" spans="1:49" s="221" customFormat="1" ht="399" x14ac:dyDescent="0.25">
      <c r="A294" s="63">
        <f t="shared" si="25"/>
        <v>107</v>
      </c>
      <c r="B294" s="128" t="str">
        <f t="shared" si="23"/>
        <v>208-107</v>
      </c>
      <c r="C294" s="129" t="s">
        <v>713</v>
      </c>
      <c r="D294" s="130" t="s">
        <v>714</v>
      </c>
      <c r="E294" s="131" t="s">
        <v>715</v>
      </c>
      <c r="F294" s="111" t="s">
        <v>52</v>
      </c>
      <c r="G294" s="145" t="s">
        <v>53</v>
      </c>
      <c r="H294" s="111" t="s">
        <v>733</v>
      </c>
      <c r="I294" s="111" t="s">
        <v>55</v>
      </c>
      <c r="J294" s="111" t="s">
        <v>56</v>
      </c>
      <c r="K294" s="149">
        <v>801116</v>
      </c>
      <c r="L294" s="111" t="s">
        <v>720</v>
      </c>
      <c r="M294" s="111" t="s">
        <v>58</v>
      </c>
      <c r="N294" s="111" t="s">
        <v>59</v>
      </c>
      <c r="O294" s="111" t="s">
        <v>728</v>
      </c>
      <c r="P294" s="227" t="s">
        <v>342</v>
      </c>
      <c r="Q294" s="134">
        <f t="shared" si="24"/>
        <v>361328.4347826087</v>
      </c>
      <c r="R294" s="146">
        <v>1</v>
      </c>
      <c r="S294" s="136">
        <f>4344171-188894</f>
        <v>4155277</v>
      </c>
      <c r="T294" s="137" t="s">
        <v>747</v>
      </c>
      <c r="U294" s="148" t="s">
        <v>445</v>
      </c>
      <c r="V294" s="148" t="s">
        <v>64</v>
      </c>
      <c r="W294" s="153">
        <v>11.5</v>
      </c>
      <c r="X294" s="133">
        <v>8</v>
      </c>
      <c r="Y294" s="81">
        <v>43102</v>
      </c>
      <c r="Z294" s="154">
        <v>4344171</v>
      </c>
      <c r="AA294" s="140"/>
      <c r="AB294" s="141">
        <v>11</v>
      </c>
      <c r="AC294" s="150">
        <v>43102</v>
      </c>
      <c r="AD294" s="157">
        <v>4155277</v>
      </c>
      <c r="AE294" s="143">
        <f t="shared" si="20"/>
        <v>0</v>
      </c>
      <c r="AF294" s="133">
        <v>177</v>
      </c>
      <c r="AG294" s="81">
        <v>43118</v>
      </c>
      <c r="AH294" s="143">
        <v>4155277.5</v>
      </c>
      <c r="AI294" s="63" t="s">
        <v>344</v>
      </c>
      <c r="AJ294" s="63">
        <v>160</v>
      </c>
      <c r="AK294" s="143">
        <f t="shared" si="26"/>
        <v>-0.5</v>
      </c>
      <c r="AL294" s="143">
        <v>2807960.1</v>
      </c>
      <c r="AM294" s="143">
        <f t="shared" si="21"/>
        <v>1347317.4</v>
      </c>
      <c r="AN294" s="133"/>
      <c r="AO294" s="144">
        <f t="shared" si="22"/>
        <v>-0.5</v>
      </c>
      <c r="AP294" s="133"/>
      <c r="AQ294" s="150">
        <v>43102</v>
      </c>
      <c r="AR294" s="133" t="s">
        <v>739</v>
      </c>
      <c r="AS294" s="150">
        <v>43102</v>
      </c>
      <c r="AT294" s="133" t="s">
        <v>740</v>
      </c>
      <c r="AU294" s="220"/>
      <c r="AV294" s="220"/>
      <c r="AW294" s="220"/>
    </row>
    <row r="295" spans="1:49" s="221" customFormat="1" ht="370.5" x14ac:dyDescent="0.25">
      <c r="A295" s="63">
        <f t="shared" si="25"/>
        <v>108</v>
      </c>
      <c r="B295" s="128" t="str">
        <f t="shared" si="23"/>
        <v>208-108</v>
      </c>
      <c r="C295" s="129" t="s">
        <v>713</v>
      </c>
      <c r="D295" s="130" t="s">
        <v>714</v>
      </c>
      <c r="E295" s="145" t="s">
        <v>725</v>
      </c>
      <c r="F295" s="111" t="s">
        <v>52</v>
      </c>
      <c r="G295" s="145" t="s">
        <v>53</v>
      </c>
      <c r="H295" s="111" t="s">
        <v>733</v>
      </c>
      <c r="I295" s="111" t="s">
        <v>55</v>
      </c>
      <c r="J295" s="111" t="s">
        <v>56</v>
      </c>
      <c r="K295" s="149">
        <v>801116</v>
      </c>
      <c r="L295" s="111" t="s">
        <v>720</v>
      </c>
      <c r="M295" s="111" t="s">
        <v>58</v>
      </c>
      <c r="N295" s="111" t="s">
        <v>59</v>
      </c>
      <c r="O295" s="111" t="s">
        <v>728</v>
      </c>
      <c r="P295" s="227" t="s">
        <v>342</v>
      </c>
      <c r="Q295" s="134">
        <f t="shared" si="24"/>
        <v>843099.82608695654</v>
      </c>
      <c r="R295" s="146">
        <v>1</v>
      </c>
      <c r="S295" s="136">
        <f>10136399-440751</f>
        <v>9695648</v>
      </c>
      <c r="T295" s="137" t="s">
        <v>747</v>
      </c>
      <c r="U295" s="148" t="s">
        <v>445</v>
      </c>
      <c r="V295" s="148" t="s">
        <v>64</v>
      </c>
      <c r="W295" s="153">
        <v>11.5</v>
      </c>
      <c r="X295" s="133">
        <v>7</v>
      </c>
      <c r="Y295" s="81">
        <v>43102</v>
      </c>
      <c r="Z295" s="154">
        <v>10136399</v>
      </c>
      <c r="AA295" s="140"/>
      <c r="AB295" s="141">
        <v>11</v>
      </c>
      <c r="AC295" s="150">
        <v>43102</v>
      </c>
      <c r="AD295" s="157">
        <v>9695648</v>
      </c>
      <c r="AE295" s="143">
        <f t="shared" si="20"/>
        <v>0</v>
      </c>
      <c r="AF295" s="133">
        <v>177</v>
      </c>
      <c r="AG295" s="81">
        <v>43118</v>
      </c>
      <c r="AH295" s="143">
        <v>9695647.5</v>
      </c>
      <c r="AI295" s="63" t="s">
        <v>344</v>
      </c>
      <c r="AJ295" s="63">
        <v>160</v>
      </c>
      <c r="AK295" s="143">
        <f t="shared" si="26"/>
        <v>0.5</v>
      </c>
      <c r="AL295" s="143">
        <v>6551906.8999999994</v>
      </c>
      <c r="AM295" s="143">
        <f t="shared" si="21"/>
        <v>3143740.6000000006</v>
      </c>
      <c r="AN295" s="133"/>
      <c r="AO295" s="144">
        <f t="shared" si="22"/>
        <v>0.5</v>
      </c>
      <c r="AP295" s="133"/>
      <c r="AQ295" s="150">
        <v>43102</v>
      </c>
      <c r="AR295" s="133" t="s">
        <v>739</v>
      </c>
      <c r="AS295" s="150">
        <v>43102</v>
      </c>
      <c r="AT295" s="133" t="s">
        <v>740</v>
      </c>
      <c r="AU295" s="220"/>
      <c r="AV295" s="220"/>
      <c r="AW295" s="220"/>
    </row>
    <row r="296" spans="1:49" s="221" customFormat="1" ht="399" x14ac:dyDescent="0.25">
      <c r="A296" s="63">
        <f t="shared" si="25"/>
        <v>109</v>
      </c>
      <c r="B296" s="128" t="str">
        <f t="shared" si="23"/>
        <v>208-109</v>
      </c>
      <c r="C296" s="129" t="s">
        <v>713</v>
      </c>
      <c r="D296" s="130" t="s">
        <v>714</v>
      </c>
      <c r="E296" s="131" t="s">
        <v>715</v>
      </c>
      <c r="F296" s="111" t="s">
        <v>52</v>
      </c>
      <c r="G296" s="145" t="s">
        <v>53</v>
      </c>
      <c r="H296" s="111" t="s">
        <v>733</v>
      </c>
      <c r="I296" s="111" t="s">
        <v>55</v>
      </c>
      <c r="J296" s="111" t="s">
        <v>56</v>
      </c>
      <c r="K296" s="63">
        <v>801116</v>
      </c>
      <c r="L296" s="111" t="s">
        <v>720</v>
      </c>
      <c r="M296" s="111" t="s">
        <v>58</v>
      </c>
      <c r="N296" s="111" t="s">
        <v>59</v>
      </c>
      <c r="O296" s="111" t="s">
        <v>728</v>
      </c>
      <c r="P296" s="227" t="s">
        <v>824</v>
      </c>
      <c r="Q296" s="134">
        <f t="shared" si="24"/>
        <v>295565.21739130432</v>
      </c>
      <c r="R296" s="146">
        <v>1</v>
      </c>
      <c r="S296" s="136">
        <f>3553500-154500</f>
        <v>3399000</v>
      </c>
      <c r="T296" s="137" t="s">
        <v>747</v>
      </c>
      <c r="U296" s="148" t="s">
        <v>445</v>
      </c>
      <c r="V296" s="148" t="s">
        <v>64</v>
      </c>
      <c r="W296" s="153">
        <v>11.5</v>
      </c>
      <c r="X296" s="133" t="s">
        <v>825</v>
      </c>
      <c r="Y296" s="81">
        <v>43115</v>
      </c>
      <c r="Z296" s="154">
        <v>3553500</v>
      </c>
      <c r="AA296" s="140"/>
      <c r="AB296" s="141">
        <v>502</v>
      </c>
      <c r="AC296" s="150">
        <v>43116</v>
      </c>
      <c r="AD296" s="143">
        <v>3399000</v>
      </c>
      <c r="AE296" s="143">
        <f t="shared" si="20"/>
        <v>0</v>
      </c>
      <c r="AF296" s="133">
        <v>404</v>
      </c>
      <c r="AG296" s="81">
        <v>43124</v>
      </c>
      <c r="AH296" s="143">
        <v>3399000</v>
      </c>
      <c r="AI296" s="63" t="s">
        <v>348</v>
      </c>
      <c r="AJ296" s="63">
        <v>304</v>
      </c>
      <c r="AK296" s="143">
        <f t="shared" si="26"/>
        <v>0</v>
      </c>
      <c r="AL296" s="143">
        <v>2235099.9</v>
      </c>
      <c r="AM296" s="143">
        <f t="shared" si="21"/>
        <v>1163900.1000000001</v>
      </c>
      <c r="AN296" s="133"/>
      <c r="AO296" s="144">
        <f t="shared" si="22"/>
        <v>0</v>
      </c>
      <c r="AP296" s="133"/>
      <c r="AQ296" s="63" t="s">
        <v>826</v>
      </c>
      <c r="AR296" s="133" t="s">
        <v>739</v>
      </c>
      <c r="AS296" s="63" t="s">
        <v>826</v>
      </c>
      <c r="AT296" s="133" t="s">
        <v>740</v>
      </c>
      <c r="AU296" s="220"/>
      <c r="AV296" s="220"/>
      <c r="AW296" s="220"/>
    </row>
    <row r="297" spans="1:49" s="221" customFormat="1" ht="370.5" x14ac:dyDescent="0.25">
      <c r="A297" s="63">
        <f t="shared" si="25"/>
        <v>110</v>
      </c>
      <c r="B297" s="128" t="str">
        <f t="shared" si="23"/>
        <v>208-110</v>
      </c>
      <c r="C297" s="129" t="s">
        <v>713</v>
      </c>
      <c r="D297" s="130" t="s">
        <v>714</v>
      </c>
      <c r="E297" s="145" t="s">
        <v>725</v>
      </c>
      <c r="F297" s="111" t="s">
        <v>52</v>
      </c>
      <c r="G297" s="145" t="s">
        <v>53</v>
      </c>
      <c r="H297" s="111" t="s">
        <v>733</v>
      </c>
      <c r="I297" s="111" t="s">
        <v>55</v>
      </c>
      <c r="J297" s="111" t="s">
        <v>56</v>
      </c>
      <c r="K297" s="63">
        <v>801116</v>
      </c>
      <c r="L297" s="111" t="s">
        <v>720</v>
      </c>
      <c r="M297" s="111" t="s">
        <v>58</v>
      </c>
      <c r="N297" s="111" t="s">
        <v>59</v>
      </c>
      <c r="O297" s="111" t="s">
        <v>728</v>
      </c>
      <c r="P297" s="227" t="s">
        <v>824</v>
      </c>
      <c r="Q297" s="134">
        <f t="shared" si="24"/>
        <v>689652.17391304346</v>
      </c>
      <c r="R297" s="146">
        <v>1</v>
      </c>
      <c r="S297" s="136">
        <f>8291500-360500</f>
        <v>7931000</v>
      </c>
      <c r="T297" s="137" t="s">
        <v>747</v>
      </c>
      <c r="U297" s="148" t="s">
        <v>445</v>
      </c>
      <c r="V297" s="148" t="s">
        <v>64</v>
      </c>
      <c r="W297" s="153">
        <v>11.5</v>
      </c>
      <c r="X297" s="133" t="s">
        <v>827</v>
      </c>
      <c r="Y297" s="81">
        <v>43115</v>
      </c>
      <c r="Z297" s="154">
        <v>8291500</v>
      </c>
      <c r="AA297" s="140"/>
      <c r="AB297" s="141">
        <v>502</v>
      </c>
      <c r="AC297" s="150">
        <v>43116</v>
      </c>
      <c r="AD297" s="143">
        <v>7930999.9999999991</v>
      </c>
      <c r="AE297" s="143">
        <f t="shared" si="20"/>
        <v>0</v>
      </c>
      <c r="AF297" s="133">
        <v>404</v>
      </c>
      <c r="AG297" s="81">
        <v>43124</v>
      </c>
      <c r="AH297" s="143">
        <v>7930999.9999999991</v>
      </c>
      <c r="AI297" s="63" t="s">
        <v>348</v>
      </c>
      <c r="AJ297" s="63">
        <v>304</v>
      </c>
      <c r="AK297" s="143">
        <f t="shared" si="26"/>
        <v>0</v>
      </c>
      <c r="AL297" s="143">
        <v>5215233.0999999996</v>
      </c>
      <c r="AM297" s="143">
        <f t="shared" si="21"/>
        <v>2715766.8999999994</v>
      </c>
      <c r="AN297" s="133"/>
      <c r="AO297" s="144">
        <f t="shared" si="22"/>
        <v>0</v>
      </c>
      <c r="AP297" s="133"/>
      <c r="AQ297" s="63" t="s">
        <v>826</v>
      </c>
      <c r="AR297" s="133" t="s">
        <v>739</v>
      </c>
      <c r="AS297" s="63" t="s">
        <v>826</v>
      </c>
      <c r="AT297" s="133" t="s">
        <v>740</v>
      </c>
      <c r="AU297" s="220"/>
      <c r="AV297" s="220"/>
      <c r="AW297" s="220"/>
    </row>
    <row r="298" spans="1:49" s="221" customFormat="1" ht="399" x14ac:dyDescent="0.25">
      <c r="A298" s="63">
        <f t="shared" si="25"/>
        <v>111</v>
      </c>
      <c r="B298" s="128" t="str">
        <f t="shared" si="23"/>
        <v>208-111</v>
      </c>
      <c r="C298" s="129" t="s">
        <v>713</v>
      </c>
      <c r="D298" s="130" t="s">
        <v>714</v>
      </c>
      <c r="E298" s="131" t="s">
        <v>715</v>
      </c>
      <c r="F298" s="111" t="s">
        <v>52</v>
      </c>
      <c r="G298" s="145" t="s">
        <v>53</v>
      </c>
      <c r="H298" s="111" t="s">
        <v>733</v>
      </c>
      <c r="I298" s="111" t="s">
        <v>55</v>
      </c>
      <c r="J298" s="111" t="s">
        <v>56</v>
      </c>
      <c r="K298" s="149">
        <v>801116</v>
      </c>
      <c r="L298" s="111" t="s">
        <v>720</v>
      </c>
      <c r="M298" s="111" t="s">
        <v>58</v>
      </c>
      <c r="N298" s="111" t="s">
        <v>59</v>
      </c>
      <c r="O298" s="111" t="s">
        <v>728</v>
      </c>
      <c r="P298" s="227" t="s">
        <v>386</v>
      </c>
      <c r="Q298" s="134">
        <f t="shared" si="24"/>
        <v>254924.95652173914</v>
      </c>
      <c r="R298" s="146">
        <v>1</v>
      </c>
      <c r="S298" s="136">
        <f>3064911-133274</f>
        <v>2931637</v>
      </c>
      <c r="T298" s="137" t="s">
        <v>747</v>
      </c>
      <c r="U298" s="148" t="s">
        <v>445</v>
      </c>
      <c r="V298" s="148" t="s">
        <v>64</v>
      </c>
      <c r="W298" s="153">
        <v>11.5</v>
      </c>
      <c r="X298" s="133">
        <v>4</v>
      </c>
      <c r="Y298" s="81">
        <v>43102</v>
      </c>
      <c r="Z298" s="154">
        <v>3064911</v>
      </c>
      <c r="AA298" s="140"/>
      <c r="AB298" s="141">
        <v>5</v>
      </c>
      <c r="AC298" s="150">
        <v>43102</v>
      </c>
      <c r="AD298" s="151">
        <v>2931637</v>
      </c>
      <c r="AE298" s="143">
        <f t="shared" si="20"/>
        <v>0</v>
      </c>
      <c r="AF298" s="133">
        <v>293</v>
      </c>
      <c r="AG298" s="81">
        <v>43122</v>
      </c>
      <c r="AH298" s="151">
        <v>2931637.5</v>
      </c>
      <c r="AI298" s="63" t="s">
        <v>388</v>
      </c>
      <c r="AJ298" s="63">
        <v>261</v>
      </c>
      <c r="AK298" s="143">
        <f t="shared" si="26"/>
        <v>-0.5</v>
      </c>
      <c r="AL298" s="143">
        <v>1945548.5999999999</v>
      </c>
      <c r="AM298" s="143">
        <f t="shared" si="21"/>
        <v>986088.90000000014</v>
      </c>
      <c r="AN298" s="133"/>
      <c r="AO298" s="144">
        <f t="shared" si="22"/>
        <v>-0.5</v>
      </c>
      <c r="AP298" s="133"/>
      <c r="AQ298" s="150">
        <v>43102</v>
      </c>
      <c r="AR298" s="133" t="s">
        <v>739</v>
      </c>
      <c r="AS298" s="150">
        <v>43102</v>
      </c>
      <c r="AT298" s="133" t="s">
        <v>740</v>
      </c>
      <c r="AU298" s="220"/>
      <c r="AV298" s="220"/>
      <c r="AW298" s="220"/>
    </row>
    <row r="299" spans="1:49" s="221" customFormat="1" ht="370.5" x14ac:dyDescent="0.25">
      <c r="A299" s="63">
        <f t="shared" si="25"/>
        <v>112</v>
      </c>
      <c r="B299" s="128" t="str">
        <f t="shared" si="23"/>
        <v>208-112</v>
      </c>
      <c r="C299" s="129" t="s">
        <v>713</v>
      </c>
      <c r="D299" s="130" t="s">
        <v>714</v>
      </c>
      <c r="E299" s="145" t="s">
        <v>725</v>
      </c>
      <c r="F299" s="111" t="s">
        <v>52</v>
      </c>
      <c r="G299" s="145" t="s">
        <v>53</v>
      </c>
      <c r="H299" s="111" t="s">
        <v>733</v>
      </c>
      <c r="I299" s="111" t="s">
        <v>55</v>
      </c>
      <c r="J299" s="111" t="s">
        <v>56</v>
      </c>
      <c r="K299" s="149">
        <v>801116</v>
      </c>
      <c r="L299" s="111" t="s">
        <v>720</v>
      </c>
      <c r="M299" s="111" t="s">
        <v>58</v>
      </c>
      <c r="N299" s="111" t="s">
        <v>59</v>
      </c>
      <c r="O299" s="111" t="s">
        <v>728</v>
      </c>
      <c r="P299" s="227" t="s">
        <v>386</v>
      </c>
      <c r="Q299" s="134">
        <f t="shared" si="24"/>
        <v>594825.04347826086</v>
      </c>
      <c r="R299" s="146">
        <v>1</v>
      </c>
      <c r="S299" s="136">
        <f>7151459-310971</f>
        <v>6840488</v>
      </c>
      <c r="T299" s="137" t="s">
        <v>747</v>
      </c>
      <c r="U299" s="148" t="s">
        <v>445</v>
      </c>
      <c r="V299" s="148" t="s">
        <v>64</v>
      </c>
      <c r="W299" s="153">
        <v>11.5</v>
      </c>
      <c r="X299" s="133">
        <v>3</v>
      </c>
      <c r="Y299" s="81">
        <v>43102</v>
      </c>
      <c r="Z299" s="154">
        <v>7151459</v>
      </c>
      <c r="AA299" s="140"/>
      <c r="AB299" s="141">
        <v>5</v>
      </c>
      <c r="AC299" s="150">
        <v>43102</v>
      </c>
      <c r="AD299" s="151">
        <v>6840488</v>
      </c>
      <c r="AE299" s="143">
        <f t="shared" si="20"/>
        <v>0</v>
      </c>
      <c r="AF299" s="133">
        <v>293</v>
      </c>
      <c r="AG299" s="81">
        <v>43122</v>
      </c>
      <c r="AH299" s="151">
        <v>6840487.5</v>
      </c>
      <c r="AI299" s="63" t="s">
        <v>388</v>
      </c>
      <c r="AJ299" s="63">
        <v>261</v>
      </c>
      <c r="AK299" s="143">
        <f t="shared" si="26"/>
        <v>0.5</v>
      </c>
      <c r="AL299" s="143">
        <v>4539613.3999999994</v>
      </c>
      <c r="AM299" s="143">
        <f t="shared" si="21"/>
        <v>2300874.1000000006</v>
      </c>
      <c r="AN299" s="133"/>
      <c r="AO299" s="144">
        <f t="shared" si="22"/>
        <v>0.5</v>
      </c>
      <c r="AP299" s="133"/>
      <c r="AQ299" s="150">
        <v>43102</v>
      </c>
      <c r="AR299" s="133" t="s">
        <v>739</v>
      </c>
      <c r="AS299" s="150">
        <v>43102</v>
      </c>
      <c r="AT299" s="133" t="s">
        <v>740</v>
      </c>
      <c r="AU299" s="220"/>
      <c r="AV299" s="220"/>
      <c r="AW299" s="220"/>
    </row>
    <row r="300" spans="1:49" s="221" customFormat="1" ht="399" x14ac:dyDescent="0.25">
      <c r="A300" s="63">
        <f t="shared" si="25"/>
        <v>113</v>
      </c>
      <c r="B300" s="128" t="str">
        <f t="shared" si="23"/>
        <v>208-113</v>
      </c>
      <c r="C300" s="129" t="s">
        <v>713</v>
      </c>
      <c r="D300" s="130" t="s">
        <v>714</v>
      </c>
      <c r="E300" s="131" t="s">
        <v>715</v>
      </c>
      <c r="F300" s="111" t="s">
        <v>52</v>
      </c>
      <c r="G300" s="145" t="s">
        <v>53</v>
      </c>
      <c r="H300" s="111" t="s">
        <v>733</v>
      </c>
      <c r="I300" s="111" t="s">
        <v>55</v>
      </c>
      <c r="J300" s="111" t="s">
        <v>56</v>
      </c>
      <c r="K300" s="63">
        <v>801116</v>
      </c>
      <c r="L300" s="111" t="s">
        <v>720</v>
      </c>
      <c r="M300" s="111" t="s">
        <v>58</v>
      </c>
      <c r="N300" s="111" t="s">
        <v>59</v>
      </c>
      <c r="O300" s="111" t="s">
        <v>728</v>
      </c>
      <c r="P300" s="227" t="s">
        <v>828</v>
      </c>
      <c r="Q300" s="134">
        <f t="shared" si="24"/>
        <v>618000</v>
      </c>
      <c r="R300" s="146">
        <v>1</v>
      </c>
      <c r="S300" s="136">
        <v>7107000</v>
      </c>
      <c r="T300" s="137" t="s">
        <v>747</v>
      </c>
      <c r="U300" s="148" t="s">
        <v>445</v>
      </c>
      <c r="V300" s="148" t="s">
        <v>64</v>
      </c>
      <c r="W300" s="153">
        <v>11.5</v>
      </c>
      <c r="X300" s="133">
        <v>2</v>
      </c>
      <c r="Y300" s="81">
        <v>43102</v>
      </c>
      <c r="Z300" s="154">
        <v>7107000</v>
      </c>
      <c r="AA300" s="140"/>
      <c r="AB300" s="141">
        <v>3</v>
      </c>
      <c r="AC300" s="150">
        <v>43102</v>
      </c>
      <c r="AD300" s="143">
        <v>7107000</v>
      </c>
      <c r="AE300" s="143">
        <f t="shared" si="20"/>
        <v>0</v>
      </c>
      <c r="AF300" s="133">
        <v>152</v>
      </c>
      <c r="AG300" s="81">
        <v>43117</v>
      </c>
      <c r="AH300" s="143">
        <v>7107000</v>
      </c>
      <c r="AI300" s="63" t="s">
        <v>324</v>
      </c>
      <c r="AJ300" s="63">
        <v>155</v>
      </c>
      <c r="AK300" s="143">
        <f t="shared" si="26"/>
        <v>0</v>
      </c>
      <c r="AL300" s="143">
        <v>4593800.7</v>
      </c>
      <c r="AM300" s="143">
        <f t="shared" si="21"/>
        <v>2513199.2999999998</v>
      </c>
      <c r="AN300" s="133"/>
      <c r="AO300" s="144">
        <f t="shared" si="22"/>
        <v>0</v>
      </c>
      <c r="AP300" s="133"/>
      <c r="AQ300" s="150">
        <v>43102</v>
      </c>
      <c r="AR300" s="133" t="s">
        <v>739</v>
      </c>
      <c r="AS300" s="150">
        <v>43102</v>
      </c>
      <c r="AT300" s="133" t="s">
        <v>740</v>
      </c>
      <c r="AU300" s="220"/>
      <c r="AV300" s="220"/>
      <c r="AW300" s="220"/>
    </row>
    <row r="301" spans="1:49" s="221" customFormat="1" ht="370.5" x14ac:dyDescent="0.25">
      <c r="A301" s="63">
        <f t="shared" si="25"/>
        <v>114</v>
      </c>
      <c r="B301" s="128" t="str">
        <f t="shared" si="23"/>
        <v>208-114</v>
      </c>
      <c r="C301" s="129" t="s">
        <v>713</v>
      </c>
      <c r="D301" s="130" t="s">
        <v>714</v>
      </c>
      <c r="E301" s="145" t="s">
        <v>725</v>
      </c>
      <c r="F301" s="111" t="s">
        <v>52</v>
      </c>
      <c r="G301" s="145" t="s">
        <v>53</v>
      </c>
      <c r="H301" s="111" t="s">
        <v>733</v>
      </c>
      <c r="I301" s="111" t="s">
        <v>55</v>
      </c>
      <c r="J301" s="111" t="s">
        <v>56</v>
      </c>
      <c r="K301" s="63">
        <v>801116</v>
      </c>
      <c r="L301" s="111" t="s">
        <v>720</v>
      </c>
      <c r="M301" s="111" t="s">
        <v>58</v>
      </c>
      <c r="N301" s="111" t="s">
        <v>59</v>
      </c>
      <c r="O301" s="111" t="s">
        <v>728</v>
      </c>
      <c r="P301" s="227" t="s">
        <v>828</v>
      </c>
      <c r="Q301" s="134">
        <f t="shared" si="24"/>
        <v>1442000</v>
      </c>
      <c r="R301" s="146">
        <v>1</v>
      </c>
      <c r="S301" s="136">
        <v>16583000</v>
      </c>
      <c r="T301" s="137" t="s">
        <v>747</v>
      </c>
      <c r="U301" s="148" t="s">
        <v>445</v>
      </c>
      <c r="V301" s="148" t="s">
        <v>64</v>
      </c>
      <c r="W301" s="153">
        <v>11.5</v>
      </c>
      <c r="X301" s="133">
        <v>1</v>
      </c>
      <c r="Y301" s="81">
        <v>43102</v>
      </c>
      <c r="Z301" s="154">
        <v>16583000</v>
      </c>
      <c r="AA301" s="140"/>
      <c r="AB301" s="141">
        <v>3</v>
      </c>
      <c r="AC301" s="150">
        <v>43102</v>
      </c>
      <c r="AD301" s="143">
        <v>16583000</v>
      </c>
      <c r="AE301" s="143">
        <f t="shared" si="20"/>
        <v>0</v>
      </c>
      <c r="AF301" s="133">
        <v>152</v>
      </c>
      <c r="AG301" s="81">
        <v>43117</v>
      </c>
      <c r="AH301" s="143">
        <v>16583000</v>
      </c>
      <c r="AI301" s="63" t="s">
        <v>324</v>
      </c>
      <c r="AJ301" s="63">
        <v>155</v>
      </c>
      <c r="AK301" s="143">
        <f t="shared" si="26"/>
        <v>0</v>
      </c>
      <c r="AL301" s="143">
        <v>10718868.299999999</v>
      </c>
      <c r="AM301" s="143">
        <f t="shared" si="21"/>
        <v>5864131.7000000011</v>
      </c>
      <c r="AN301" s="133"/>
      <c r="AO301" s="144">
        <f t="shared" si="22"/>
        <v>0</v>
      </c>
      <c r="AP301" s="133"/>
      <c r="AQ301" s="150">
        <v>43102</v>
      </c>
      <c r="AR301" s="133" t="s">
        <v>739</v>
      </c>
      <c r="AS301" s="150">
        <v>43102</v>
      </c>
      <c r="AT301" s="133" t="s">
        <v>740</v>
      </c>
      <c r="AU301" s="220"/>
      <c r="AV301" s="220"/>
      <c r="AW301" s="220"/>
    </row>
    <row r="302" spans="1:49" s="221" customFormat="1" ht="399" x14ac:dyDescent="0.25">
      <c r="A302" s="63">
        <f t="shared" si="25"/>
        <v>115</v>
      </c>
      <c r="B302" s="128" t="str">
        <f t="shared" si="23"/>
        <v>208-115</v>
      </c>
      <c r="C302" s="129" t="s">
        <v>713</v>
      </c>
      <c r="D302" s="130" t="s">
        <v>714</v>
      </c>
      <c r="E302" s="131" t="s">
        <v>715</v>
      </c>
      <c r="F302" s="111" t="s">
        <v>52</v>
      </c>
      <c r="G302" s="145" t="s">
        <v>53</v>
      </c>
      <c r="H302" s="111" t="s">
        <v>733</v>
      </c>
      <c r="I302" s="111" t="s">
        <v>55</v>
      </c>
      <c r="J302" s="111" t="s">
        <v>56</v>
      </c>
      <c r="K302" s="63">
        <v>801116</v>
      </c>
      <c r="L302" s="111" t="s">
        <v>720</v>
      </c>
      <c r="M302" s="111" t="s">
        <v>58</v>
      </c>
      <c r="N302" s="111" t="s">
        <v>59</v>
      </c>
      <c r="O302" s="111" t="s">
        <v>728</v>
      </c>
      <c r="P302" s="227" t="s">
        <v>829</v>
      </c>
      <c r="Q302" s="134">
        <f t="shared" si="24"/>
        <v>65452626</v>
      </c>
      <c r="R302" s="146">
        <v>1</v>
      </c>
      <c r="S302" s="134">
        <f>78571926-2719200-10400100</f>
        <v>65452626</v>
      </c>
      <c r="T302" s="137" t="s">
        <v>747</v>
      </c>
      <c r="U302" s="148" t="s">
        <v>445</v>
      </c>
      <c r="V302" s="148" t="s">
        <v>830</v>
      </c>
      <c r="W302" s="153">
        <v>1</v>
      </c>
      <c r="X302" s="133"/>
      <c r="Y302" s="63"/>
      <c r="Z302" s="150"/>
      <c r="AA302" s="140"/>
      <c r="AB302" s="141"/>
      <c r="AC302" s="142"/>
      <c r="AD302" s="143"/>
      <c r="AE302" s="143">
        <f t="shared" si="20"/>
        <v>65452626</v>
      </c>
      <c r="AF302" s="133"/>
      <c r="AG302" s="85"/>
      <c r="AH302" s="143"/>
      <c r="AI302" s="63"/>
      <c r="AJ302" s="63"/>
      <c r="AK302" s="143">
        <f t="shared" si="26"/>
        <v>0</v>
      </c>
      <c r="AL302" s="143"/>
      <c r="AM302" s="143">
        <f t="shared" si="21"/>
        <v>0</v>
      </c>
      <c r="AN302" s="133"/>
      <c r="AO302" s="144">
        <f t="shared" si="22"/>
        <v>65452626</v>
      </c>
      <c r="AP302" s="133"/>
      <c r="AQ302" s="133"/>
      <c r="AR302" s="133"/>
      <c r="AS302" s="133"/>
      <c r="AT302" s="133"/>
      <c r="AU302" s="220"/>
      <c r="AV302" s="220"/>
      <c r="AW302" s="220"/>
    </row>
    <row r="303" spans="1:49" s="221" customFormat="1" ht="370.5" x14ac:dyDescent="0.25">
      <c r="A303" s="63">
        <f t="shared" si="25"/>
        <v>116</v>
      </c>
      <c r="B303" s="128" t="str">
        <f t="shared" si="23"/>
        <v>208-116</v>
      </c>
      <c r="C303" s="129" t="s">
        <v>713</v>
      </c>
      <c r="D303" s="130" t="s">
        <v>714</v>
      </c>
      <c r="E303" s="145" t="s">
        <v>725</v>
      </c>
      <c r="F303" s="111" t="s">
        <v>52</v>
      </c>
      <c r="G303" s="145" t="s">
        <v>53</v>
      </c>
      <c r="H303" s="111" t="s">
        <v>733</v>
      </c>
      <c r="I303" s="111" t="s">
        <v>55</v>
      </c>
      <c r="J303" s="111" t="s">
        <v>56</v>
      </c>
      <c r="K303" s="63">
        <v>801116</v>
      </c>
      <c r="L303" s="111" t="s">
        <v>720</v>
      </c>
      <c r="M303" s="111" t="s">
        <v>58</v>
      </c>
      <c r="N303" s="111" t="s">
        <v>59</v>
      </c>
      <c r="O303" s="111" t="s">
        <v>728</v>
      </c>
      <c r="P303" s="227" t="s">
        <v>829</v>
      </c>
      <c r="Q303" s="134">
        <f t="shared" si="24"/>
        <v>152724541</v>
      </c>
      <c r="R303" s="146">
        <v>1</v>
      </c>
      <c r="S303" s="134">
        <f>183337991-1750-6344800-24266900</f>
        <v>152724541</v>
      </c>
      <c r="T303" s="137" t="s">
        <v>747</v>
      </c>
      <c r="U303" s="148" t="s">
        <v>445</v>
      </c>
      <c r="V303" s="148" t="s">
        <v>830</v>
      </c>
      <c r="W303" s="153">
        <v>1</v>
      </c>
      <c r="X303" s="133"/>
      <c r="Y303" s="63"/>
      <c r="Z303" s="136"/>
      <c r="AA303" s="140"/>
      <c r="AB303" s="141"/>
      <c r="AC303" s="142"/>
      <c r="AD303" s="143"/>
      <c r="AE303" s="143">
        <f t="shared" si="20"/>
        <v>152724541</v>
      </c>
      <c r="AF303" s="133"/>
      <c r="AG303" s="85"/>
      <c r="AH303" s="143"/>
      <c r="AI303" s="63"/>
      <c r="AJ303" s="63"/>
      <c r="AK303" s="143">
        <f t="shared" si="26"/>
        <v>0</v>
      </c>
      <c r="AL303" s="143"/>
      <c r="AM303" s="143">
        <f t="shared" si="21"/>
        <v>0</v>
      </c>
      <c r="AN303" s="133"/>
      <c r="AO303" s="144">
        <f t="shared" si="22"/>
        <v>152724541</v>
      </c>
      <c r="AP303" s="133"/>
      <c r="AQ303" s="133"/>
      <c r="AR303" s="133"/>
      <c r="AS303" s="133"/>
      <c r="AT303" s="133"/>
      <c r="AU303" s="220"/>
      <c r="AV303" s="220"/>
      <c r="AW303" s="220"/>
    </row>
    <row r="304" spans="1:49" s="221" customFormat="1" ht="399" x14ac:dyDescent="0.25">
      <c r="A304" s="63">
        <f t="shared" si="25"/>
        <v>117</v>
      </c>
      <c r="B304" s="128" t="str">
        <f t="shared" si="23"/>
        <v>208-117</v>
      </c>
      <c r="C304" s="129" t="s">
        <v>713</v>
      </c>
      <c r="D304" s="130" t="s">
        <v>714</v>
      </c>
      <c r="E304" s="131" t="s">
        <v>715</v>
      </c>
      <c r="F304" s="111" t="s">
        <v>52</v>
      </c>
      <c r="G304" s="145" t="s">
        <v>53</v>
      </c>
      <c r="H304" s="111" t="s">
        <v>733</v>
      </c>
      <c r="I304" s="111" t="s">
        <v>55</v>
      </c>
      <c r="J304" s="111" t="s">
        <v>56</v>
      </c>
      <c r="K304" s="63">
        <v>801116</v>
      </c>
      <c r="L304" s="111" t="s">
        <v>720</v>
      </c>
      <c r="M304" s="111" t="s">
        <v>58</v>
      </c>
      <c r="N304" s="111" t="s">
        <v>59</v>
      </c>
      <c r="O304" s="111" t="s">
        <v>728</v>
      </c>
      <c r="P304" s="227" t="s">
        <v>782</v>
      </c>
      <c r="Q304" s="134">
        <f t="shared" si="24"/>
        <v>0</v>
      </c>
      <c r="R304" s="146">
        <v>1</v>
      </c>
      <c r="S304" s="136">
        <f>11216700-11216700</f>
        <v>0</v>
      </c>
      <c r="T304" s="137" t="s">
        <v>747</v>
      </c>
      <c r="U304" s="148" t="s">
        <v>445</v>
      </c>
      <c r="V304" s="148" t="s">
        <v>64</v>
      </c>
      <c r="W304" s="153">
        <v>11.5</v>
      </c>
      <c r="X304" s="133" t="s">
        <v>831</v>
      </c>
      <c r="Y304" s="81"/>
      <c r="Z304" s="154"/>
      <c r="AA304" s="140"/>
      <c r="AB304" s="141"/>
      <c r="AC304" s="142"/>
      <c r="AD304" s="143"/>
      <c r="AE304" s="143">
        <f t="shared" si="20"/>
        <v>0</v>
      </c>
      <c r="AF304" s="133"/>
      <c r="AG304" s="85"/>
      <c r="AH304" s="143"/>
      <c r="AI304" s="63"/>
      <c r="AJ304" s="63"/>
      <c r="AK304" s="143">
        <f t="shared" si="26"/>
        <v>0</v>
      </c>
      <c r="AL304" s="143"/>
      <c r="AM304" s="143">
        <f t="shared" si="21"/>
        <v>0</v>
      </c>
      <c r="AN304" s="133"/>
      <c r="AO304" s="144">
        <f t="shared" si="22"/>
        <v>0</v>
      </c>
      <c r="AP304" s="133"/>
      <c r="AQ304" s="150">
        <v>43118</v>
      </c>
      <c r="AR304" s="133" t="s">
        <v>739</v>
      </c>
      <c r="AS304" s="150">
        <v>43118</v>
      </c>
      <c r="AT304" s="133" t="s">
        <v>740</v>
      </c>
      <c r="AU304" s="220"/>
      <c r="AV304" s="220"/>
      <c r="AW304" s="220"/>
    </row>
    <row r="305" spans="1:49" s="221" customFormat="1" ht="370.5" x14ac:dyDescent="0.25">
      <c r="A305" s="63">
        <f t="shared" si="25"/>
        <v>118</v>
      </c>
      <c r="B305" s="128" t="str">
        <f t="shared" si="23"/>
        <v>208-118</v>
      </c>
      <c r="C305" s="129" t="s">
        <v>713</v>
      </c>
      <c r="D305" s="130" t="s">
        <v>714</v>
      </c>
      <c r="E305" s="145" t="s">
        <v>725</v>
      </c>
      <c r="F305" s="111" t="s">
        <v>52</v>
      </c>
      <c r="G305" s="145" t="s">
        <v>53</v>
      </c>
      <c r="H305" s="111" t="s">
        <v>733</v>
      </c>
      <c r="I305" s="111" t="s">
        <v>55</v>
      </c>
      <c r="J305" s="111" t="s">
        <v>56</v>
      </c>
      <c r="K305" s="63">
        <v>801116</v>
      </c>
      <c r="L305" s="111" t="s">
        <v>720</v>
      </c>
      <c r="M305" s="111" t="s">
        <v>58</v>
      </c>
      <c r="N305" s="111" t="s">
        <v>59</v>
      </c>
      <c r="O305" s="111" t="s">
        <v>728</v>
      </c>
      <c r="P305" s="226" t="s">
        <v>782</v>
      </c>
      <c r="Q305" s="134">
        <f t="shared" si="24"/>
        <v>0</v>
      </c>
      <c r="R305" s="135">
        <v>1</v>
      </c>
      <c r="S305" s="158">
        <f>26172300-26172300</f>
        <v>0</v>
      </c>
      <c r="T305" s="159" t="s">
        <v>747</v>
      </c>
      <c r="U305" s="138" t="s">
        <v>445</v>
      </c>
      <c r="V305" s="148" t="s">
        <v>64</v>
      </c>
      <c r="W305" s="160">
        <v>11.5</v>
      </c>
      <c r="X305" s="161" t="s">
        <v>832</v>
      </c>
      <c r="Y305" s="228"/>
      <c r="Z305" s="162"/>
      <c r="AA305" s="163"/>
      <c r="AB305" s="164"/>
      <c r="AC305" s="165"/>
      <c r="AD305" s="166"/>
      <c r="AE305" s="143">
        <f t="shared" si="20"/>
        <v>0</v>
      </c>
      <c r="AF305" s="161"/>
      <c r="AG305" s="167"/>
      <c r="AH305" s="166"/>
      <c r="AI305" s="168"/>
      <c r="AJ305" s="168"/>
      <c r="AK305" s="143">
        <f t="shared" si="26"/>
        <v>0</v>
      </c>
      <c r="AL305" s="166"/>
      <c r="AM305" s="166">
        <f t="shared" si="21"/>
        <v>0</v>
      </c>
      <c r="AN305" s="161"/>
      <c r="AO305" s="169">
        <f t="shared" si="22"/>
        <v>0</v>
      </c>
      <c r="AP305" s="161"/>
      <c r="AQ305" s="170">
        <v>43118</v>
      </c>
      <c r="AR305" s="161" t="s">
        <v>739</v>
      </c>
      <c r="AS305" s="170">
        <v>43118</v>
      </c>
      <c r="AT305" s="161" t="s">
        <v>740</v>
      </c>
      <c r="AU305" s="220"/>
      <c r="AV305" s="220"/>
      <c r="AW305" s="220"/>
    </row>
    <row r="306" spans="1:49" s="221" customFormat="1" ht="370.5" x14ac:dyDescent="0.25">
      <c r="A306" s="63">
        <f t="shared" si="25"/>
        <v>119</v>
      </c>
      <c r="B306" s="128" t="str">
        <f t="shared" si="23"/>
        <v>208-119</v>
      </c>
      <c r="C306" s="129" t="s">
        <v>713</v>
      </c>
      <c r="D306" s="130" t="s">
        <v>714</v>
      </c>
      <c r="E306" s="145" t="s">
        <v>725</v>
      </c>
      <c r="F306" s="132" t="s">
        <v>577</v>
      </c>
      <c r="G306" s="131" t="s">
        <v>716</v>
      </c>
      <c r="H306" s="132" t="s">
        <v>717</v>
      </c>
      <c r="I306" s="133" t="s">
        <v>718</v>
      </c>
      <c r="J306" s="111" t="s">
        <v>719</v>
      </c>
      <c r="K306" s="133"/>
      <c r="L306" s="111" t="s">
        <v>720</v>
      </c>
      <c r="M306" s="111" t="s">
        <v>58</v>
      </c>
      <c r="N306" s="111" t="s">
        <v>59</v>
      </c>
      <c r="O306" s="111" t="s">
        <v>721</v>
      </c>
      <c r="P306" s="133" t="s">
        <v>833</v>
      </c>
      <c r="Q306" s="134">
        <v>19967239</v>
      </c>
      <c r="R306" s="133">
        <v>1</v>
      </c>
      <c r="S306" s="136">
        <v>19967239</v>
      </c>
      <c r="T306" s="133"/>
      <c r="U306" s="63" t="s">
        <v>492</v>
      </c>
      <c r="V306" s="207" t="s">
        <v>493</v>
      </c>
      <c r="W306" s="133"/>
      <c r="X306" s="63">
        <v>119</v>
      </c>
      <c r="Y306" s="150">
        <v>43137</v>
      </c>
      <c r="Z306" s="140">
        <v>19967239</v>
      </c>
      <c r="AA306" s="140" t="s">
        <v>834</v>
      </c>
      <c r="AB306" s="171">
        <v>632</v>
      </c>
      <c r="AC306" s="150">
        <v>43137</v>
      </c>
      <c r="AD306" s="143">
        <v>19967239</v>
      </c>
      <c r="AE306" s="143">
        <f t="shared" si="20"/>
        <v>0</v>
      </c>
      <c r="AF306" s="63">
        <v>1281</v>
      </c>
      <c r="AG306" s="81">
        <v>43144</v>
      </c>
      <c r="AH306" s="143">
        <v>19967239</v>
      </c>
      <c r="AI306" s="63" t="s">
        <v>835</v>
      </c>
      <c r="AJ306" s="133">
        <v>597</v>
      </c>
      <c r="AK306" s="143">
        <f t="shared" si="26"/>
        <v>0</v>
      </c>
      <c r="AL306" s="143"/>
      <c r="AM306" s="143">
        <f t="shared" si="21"/>
        <v>19967239</v>
      </c>
      <c r="AN306" s="133"/>
      <c r="AO306" s="133">
        <f t="shared" si="22"/>
        <v>0</v>
      </c>
      <c r="AP306" s="133"/>
      <c r="AQ306" s="133"/>
      <c r="AR306" s="133"/>
      <c r="AS306" s="133"/>
      <c r="AT306" s="133"/>
      <c r="AU306" s="220"/>
      <c r="AV306" s="220"/>
      <c r="AW306" s="220"/>
    </row>
    <row r="307" spans="1:49" s="221" customFormat="1" ht="370.5" x14ac:dyDescent="0.25">
      <c r="A307" s="63">
        <f>A361+1</f>
        <v>11</v>
      </c>
      <c r="B307" s="128" t="str">
        <f t="shared" si="23"/>
        <v>208-11</v>
      </c>
      <c r="C307" s="129" t="s">
        <v>713</v>
      </c>
      <c r="D307" s="130" t="s">
        <v>714</v>
      </c>
      <c r="E307" s="145" t="s">
        <v>725</v>
      </c>
      <c r="F307" s="132" t="s">
        <v>577</v>
      </c>
      <c r="G307" s="131" t="s">
        <v>716</v>
      </c>
      <c r="H307" s="132" t="s">
        <v>717</v>
      </c>
      <c r="I307" s="111" t="s">
        <v>55</v>
      </c>
      <c r="J307" s="111" t="s">
        <v>56</v>
      </c>
      <c r="K307" s="133"/>
      <c r="L307" s="111"/>
      <c r="M307" s="111"/>
      <c r="N307" s="111"/>
      <c r="O307" s="111"/>
      <c r="P307" s="226" t="s">
        <v>836</v>
      </c>
      <c r="Q307" s="134">
        <f t="shared" ref="Q307" si="27">(S307/W307)/R307</f>
        <v>646972888</v>
      </c>
      <c r="R307" s="146">
        <v>1</v>
      </c>
      <c r="S307" s="136">
        <f>1248396593-601423705</f>
        <v>646972888</v>
      </c>
      <c r="T307" s="137"/>
      <c r="U307" s="128" t="s">
        <v>723</v>
      </c>
      <c r="V307" s="138" t="s">
        <v>493</v>
      </c>
      <c r="W307" s="147">
        <v>1</v>
      </c>
      <c r="X307" s="133" t="s">
        <v>837</v>
      </c>
      <c r="Y307" s="81"/>
      <c r="Z307" s="136"/>
      <c r="AA307" s="140"/>
      <c r="AB307" s="141"/>
      <c r="AC307" s="150"/>
      <c r="AD307" s="151"/>
      <c r="AE307" s="143"/>
      <c r="AF307" s="133"/>
      <c r="AG307" s="85"/>
      <c r="AH307" s="143"/>
      <c r="AI307" s="63"/>
      <c r="AJ307" s="63"/>
      <c r="AK307" s="143">
        <f t="shared" si="26"/>
        <v>0</v>
      </c>
      <c r="AL307" s="143"/>
      <c r="AM307" s="143">
        <f t="shared" si="21"/>
        <v>0</v>
      </c>
      <c r="AN307" s="133"/>
      <c r="AO307" s="144">
        <f t="shared" si="22"/>
        <v>646972888</v>
      </c>
      <c r="AP307" s="133"/>
      <c r="AQ307" s="133"/>
      <c r="AR307" s="133"/>
      <c r="AS307" s="133"/>
      <c r="AT307" s="133"/>
      <c r="AU307" s="220"/>
      <c r="AV307" s="220"/>
      <c r="AW307" s="220"/>
    </row>
    <row r="308" spans="1:49" s="221" customFormat="1" ht="399" x14ac:dyDescent="0.25">
      <c r="A308" s="63">
        <v>122</v>
      </c>
      <c r="B308" s="128" t="str">
        <f>+CONCATENATE("208-",A308)</f>
        <v>208-122</v>
      </c>
      <c r="C308" s="129" t="s">
        <v>713</v>
      </c>
      <c r="D308" s="130" t="s">
        <v>714</v>
      </c>
      <c r="E308" s="131" t="s">
        <v>715</v>
      </c>
      <c r="F308" s="132" t="s">
        <v>577</v>
      </c>
      <c r="G308" s="131" t="s">
        <v>716</v>
      </c>
      <c r="H308" s="132" t="s">
        <v>717</v>
      </c>
      <c r="I308" s="111" t="s">
        <v>55</v>
      </c>
      <c r="J308" s="111" t="s">
        <v>56</v>
      </c>
      <c r="K308" s="133"/>
      <c r="L308" s="111" t="s">
        <v>720</v>
      </c>
      <c r="M308" s="111" t="s">
        <v>58</v>
      </c>
      <c r="N308" s="111" t="s">
        <v>59</v>
      </c>
      <c r="O308" s="111" t="s">
        <v>721</v>
      </c>
      <c r="P308" s="226" t="s">
        <v>722</v>
      </c>
      <c r="Q308" s="134">
        <f>(S308/W308)/R308</f>
        <v>0</v>
      </c>
      <c r="R308" s="135">
        <v>1</v>
      </c>
      <c r="S308" s="136">
        <f>646972888-646972888</f>
        <v>0</v>
      </c>
      <c r="T308" s="137" t="s">
        <v>838</v>
      </c>
      <c r="U308" s="128" t="s">
        <v>723</v>
      </c>
      <c r="V308" s="138" t="s">
        <v>724</v>
      </c>
      <c r="W308" s="139">
        <v>7</v>
      </c>
      <c r="X308" s="133"/>
      <c r="Y308" s="63"/>
      <c r="Z308" s="150"/>
      <c r="AA308" s="140"/>
      <c r="AB308" s="141"/>
      <c r="AC308" s="142"/>
      <c r="AD308" s="143"/>
      <c r="AE308" s="143">
        <f t="shared" ref="AE308:AE350" si="28">S308-AD308</f>
        <v>0</v>
      </c>
      <c r="AF308" s="133"/>
      <c r="AG308" s="85"/>
      <c r="AH308" s="143"/>
      <c r="AI308" s="63"/>
      <c r="AJ308" s="63"/>
      <c r="AK308" s="143">
        <f t="shared" si="26"/>
        <v>0</v>
      </c>
      <c r="AL308" s="143"/>
      <c r="AM308" s="143">
        <f t="shared" si="21"/>
        <v>0</v>
      </c>
      <c r="AN308" s="133"/>
      <c r="AO308" s="144">
        <f t="shared" si="22"/>
        <v>0</v>
      </c>
      <c r="AP308" s="133"/>
      <c r="AQ308" s="133"/>
      <c r="AR308" s="133"/>
      <c r="AS308" s="133"/>
      <c r="AT308" s="133"/>
      <c r="AU308" s="220"/>
      <c r="AV308" s="220"/>
      <c r="AW308" s="220"/>
    </row>
    <row r="309" spans="1:49" s="221" customFormat="1" ht="370.5" x14ac:dyDescent="0.25">
      <c r="A309" s="63">
        <f t="shared" ref="A309:A344" si="29">A308+1</f>
        <v>123</v>
      </c>
      <c r="B309" s="128" t="str">
        <f t="shared" ref="B309:B347" si="30">+CONCATENATE("208-",A309)</f>
        <v>208-123</v>
      </c>
      <c r="C309" s="129" t="s">
        <v>713</v>
      </c>
      <c r="D309" s="130" t="s">
        <v>714</v>
      </c>
      <c r="E309" s="145" t="s">
        <v>725</v>
      </c>
      <c r="F309" s="132" t="s">
        <v>577</v>
      </c>
      <c r="G309" s="131" t="s">
        <v>716</v>
      </c>
      <c r="H309" s="132" t="s">
        <v>717</v>
      </c>
      <c r="I309" s="111" t="s">
        <v>55</v>
      </c>
      <c r="J309" s="111" t="s">
        <v>56</v>
      </c>
      <c r="K309" s="133"/>
      <c r="L309" s="111" t="s">
        <v>720</v>
      </c>
      <c r="M309" s="111" t="s">
        <v>58</v>
      </c>
      <c r="N309" s="111" t="s">
        <v>59</v>
      </c>
      <c r="O309" s="111" t="s">
        <v>721</v>
      </c>
      <c r="P309" s="227" t="s">
        <v>726</v>
      </c>
      <c r="Q309" s="134">
        <f t="shared" ref="Q309:Q347" si="31">(S309/W309)/R309</f>
        <v>32403629.857142858</v>
      </c>
      <c r="R309" s="146">
        <v>1</v>
      </c>
      <c r="S309" s="136">
        <f>1509603406+1-424054477-497074618-2500000-108476445-140048757-45018176-65605525</f>
        <v>226825409</v>
      </c>
      <c r="T309" s="137" t="s">
        <v>613</v>
      </c>
      <c r="U309" s="128" t="s">
        <v>723</v>
      </c>
      <c r="V309" s="138" t="s">
        <v>724</v>
      </c>
      <c r="W309" s="147">
        <v>7</v>
      </c>
      <c r="X309" s="133"/>
      <c r="Y309" s="63"/>
      <c r="Z309" s="150"/>
      <c r="AA309" s="140"/>
      <c r="AB309" s="141"/>
      <c r="AC309" s="142"/>
      <c r="AD309" s="143"/>
      <c r="AE309" s="143">
        <f t="shared" si="28"/>
        <v>226825409</v>
      </c>
      <c r="AF309" s="133"/>
      <c r="AG309" s="85"/>
      <c r="AH309" s="143"/>
      <c r="AI309" s="63"/>
      <c r="AJ309" s="63"/>
      <c r="AK309" s="143">
        <f t="shared" si="26"/>
        <v>0</v>
      </c>
      <c r="AL309" s="143"/>
      <c r="AM309" s="143">
        <f t="shared" si="21"/>
        <v>0</v>
      </c>
      <c r="AN309" s="133"/>
      <c r="AO309" s="144">
        <f t="shared" si="22"/>
        <v>226825409</v>
      </c>
      <c r="AP309" s="133"/>
      <c r="AQ309" s="133"/>
      <c r="AR309" s="133"/>
      <c r="AS309" s="133"/>
      <c r="AT309" s="133"/>
      <c r="AU309" s="220"/>
      <c r="AV309" s="220"/>
      <c r="AW309" s="220"/>
    </row>
    <row r="310" spans="1:49" s="221" customFormat="1" ht="409.5" x14ac:dyDescent="0.25">
      <c r="A310" s="63">
        <f t="shared" si="29"/>
        <v>124</v>
      </c>
      <c r="B310" s="128" t="str">
        <f t="shared" si="30"/>
        <v>208-124</v>
      </c>
      <c r="C310" s="129" t="s">
        <v>713</v>
      </c>
      <c r="D310" s="130" t="s">
        <v>714</v>
      </c>
      <c r="E310" s="145" t="s">
        <v>725</v>
      </c>
      <c r="F310" s="132" t="s">
        <v>577</v>
      </c>
      <c r="G310" s="131" t="s">
        <v>716</v>
      </c>
      <c r="H310" s="132" t="s">
        <v>717</v>
      </c>
      <c r="I310" s="133" t="s">
        <v>718</v>
      </c>
      <c r="J310" s="111" t="s">
        <v>719</v>
      </c>
      <c r="K310" s="133"/>
      <c r="L310" s="111" t="s">
        <v>720</v>
      </c>
      <c r="M310" s="111" t="s">
        <v>58</v>
      </c>
      <c r="N310" s="111" t="s">
        <v>59</v>
      </c>
      <c r="O310" s="111" t="s">
        <v>721</v>
      </c>
      <c r="P310" s="227" t="s">
        <v>839</v>
      </c>
      <c r="Q310" s="134">
        <f t="shared" si="31"/>
        <v>165798315.5</v>
      </c>
      <c r="R310" s="146">
        <v>1</v>
      </c>
      <c r="S310" s="136">
        <v>331596631</v>
      </c>
      <c r="T310" s="137"/>
      <c r="U310" s="128" t="s">
        <v>492</v>
      </c>
      <c r="V310" s="138" t="s">
        <v>724</v>
      </c>
      <c r="W310" s="147">
        <v>2</v>
      </c>
      <c r="X310" s="133">
        <v>122</v>
      </c>
      <c r="Y310" s="81">
        <v>43165</v>
      </c>
      <c r="Z310" s="143">
        <v>331596631</v>
      </c>
      <c r="AA310" s="140"/>
      <c r="AB310" s="141">
        <v>698</v>
      </c>
      <c r="AC310" s="150">
        <v>43165</v>
      </c>
      <c r="AD310" s="143">
        <v>331596631</v>
      </c>
      <c r="AE310" s="143">
        <f t="shared" si="28"/>
        <v>0</v>
      </c>
      <c r="AF310" s="133">
        <v>1547</v>
      </c>
      <c r="AG310" s="81">
        <v>43168</v>
      </c>
      <c r="AH310" s="143">
        <v>331596631</v>
      </c>
      <c r="AI310" s="63" t="s">
        <v>840</v>
      </c>
      <c r="AJ310" s="63">
        <v>584</v>
      </c>
      <c r="AK310" s="143">
        <f t="shared" si="26"/>
        <v>0</v>
      </c>
      <c r="AL310" s="143">
        <v>331595325</v>
      </c>
      <c r="AM310" s="143">
        <f t="shared" si="21"/>
        <v>1306</v>
      </c>
      <c r="AN310" s="133"/>
      <c r="AO310" s="144">
        <f t="shared" si="22"/>
        <v>0</v>
      </c>
      <c r="AP310" s="133"/>
      <c r="AQ310" s="133"/>
      <c r="AR310" s="133"/>
      <c r="AS310" s="133"/>
      <c r="AT310" s="133"/>
      <c r="AU310" s="220"/>
      <c r="AV310" s="220"/>
      <c r="AW310" s="220"/>
    </row>
    <row r="311" spans="1:49" s="221" customFormat="1" ht="409.5" x14ac:dyDescent="0.25">
      <c r="A311" s="63">
        <f t="shared" si="29"/>
        <v>125</v>
      </c>
      <c r="B311" s="128" t="str">
        <f t="shared" si="30"/>
        <v>208-125</v>
      </c>
      <c r="C311" s="129" t="s">
        <v>713</v>
      </c>
      <c r="D311" s="130" t="s">
        <v>714</v>
      </c>
      <c r="E311" s="145" t="s">
        <v>725</v>
      </c>
      <c r="F311" s="132" t="s">
        <v>577</v>
      </c>
      <c r="G311" s="131" t="s">
        <v>716</v>
      </c>
      <c r="H311" s="132" t="s">
        <v>717</v>
      </c>
      <c r="I311" s="133" t="s">
        <v>718</v>
      </c>
      <c r="J311" s="111" t="s">
        <v>719</v>
      </c>
      <c r="K311" s="133"/>
      <c r="L311" s="111" t="s">
        <v>720</v>
      </c>
      <c r="M311" s="111" t="s">
        <v>58</v>
      </c>
      <c r="N311" s="111" t="s">
        <v>59</v>
      </c>
      <c r="O311" s="111" t="s">
        <v>721</v>
      </c>
      <c r="P311" s="227" t="s">
        <v>841</v>
      </c>
      <c r="Q311" s="134">
        <f t="shared" si="31"/>
        <v>45376410</v>
      </c>
      <c r="R311" s="146">
        <v>1</v>
      </c>
      <c r="S311" s="136">
        <v>90752820</v>
      </c>
      <c r="T311" s="137"/>
      <c r="U311" s="128" t="s">
        <v>492</v>
      </c>
      <c r="V311" s="138" t="s">
        <v>724</v>
      </c>
      <c r="W311" s="147">
        <v>2</v>
      </c>
      <c r="X311" s="133">
        <v>123</v>
      </c>
      <c r="Y311" s="81">
        <v>43165</v>
      </c>
      <c r="Z311" s="143">
        <v>90752820</v>
      </c>
      <c r="AA311" s="140"/>
      <c r="AB311" s="141">
        <v>699</v>
      </c>
      <c r="AC311" s="150">
        <v>43165</v>
      </c>
      <c r="AD311" s="143">
        <v>90752820</v>
      </c>
      <c r="AE311" s="143">
        <f t="shared" si="28"/>
        <v>0</v>
      </c>
      <c r="AF311" s="133">
        <v>1546</v>
      </c>
      <c r="AG311" s="81">
        <v>43168</v>
      </c>
      <c r="AH311" s="143">
        <v>90752820</v>
      </c>
      <c r="AI311" s="63" t="s">
        <v>842</v>
      </c>
      <c r="AJ311" s="63">
        <v>593</v>
      </c>
      <c r="AK311" s="143">
        <f t="shared" si="26"/>
        <v>0</v>
      </c>
      <c r="AL311" s="143">
        <v>83542479</v>
      </c>
      <c r="AM311" s="143">
        <f t="shared" si="21"/>
        <v>7210341</v>
      </c>
      <c r="AN311" s="133"/>
      <c r="AO311" s="144">
        <f t="shared" si="22"/>
        <v>0</v>
      </c>
      <c r="AP311" s="133"/>
      <c r="AQ311" s="133"/>
      <c r="AR311" s="133"/>
      <c r="AS311" s="133"/>
      <c r="AT311" s="133"/>
      <c r="AU311" s="220"/>
      <c r="AV311" s="220"/>
      <c r="AW311" s="220"/>
    </row>
    <row r="312" spans="1:49" s="221" customFormat="1" ht="370.5" x14ac:dyDescent="0.25">
      <c r="A312" s="63">
        <f t="shared" si="29"/>
        <v>126</v>
      </c>
      <c r="B312" s="128" t="str">
        <f t="shared" si="30"/>
        <v>208-126</v>
      </c>
      <c r="C312" s="129" t="s">
        <v>713</v>
      </c>
      <c r="D312" s="130" t="s">
        <v>714</v>
      </c>
      <c r="E312" s="145" t="s">
        <v>725</v>
      </c>
      <c r="F312" s="132" t="s">
        <v>577</v>
      </c>
      <c r="G312" s="131" t="s">
        <v>716</v>
      </c>
      <c r="H312" s="132" t="s">
        <v>717</v>
      </c>
      <c r="I312" s="133" t="s">
        <v>718</v>
      </c>
      <c r="J312" s="111" t="s">
        <v>719</v>
      </c>
      <c r="K312" s="133"/>
      <c r="L312" s="111" t="s">
        <v>720</v>
      </c>
      <c r="M312" s="111" t="s">
        <v>58</v>
      </c>
      <c r="N312" s="111" t="s">
        <v>59</v>
      </c>
      <c r="O312" s="111" t="s">
        <v>721</v>
      </c>
      <c r="P312" s="227" t="s">
        <v>843</v>
      </c>
      <c r="Q312" s="134">
        <f t="shared" si="31"/>
        <v>337436043.75</v>
      </c>
      <c r="R312" s="146">
        <v>1</v>
      </c>
      <c r="S312" s="136">
        <v>1349744175</v>
      </c>
      <c r="T312" s="137" t="s">
        <v>613</v>
      </c>
      <c r="U312" s="128" t="s">
        <v>723</v>
      </c>
      <c r="V312" s="138" t="s">
        <v>844</v>
      </c>
      <c r="W312" s="147">
        <v>4</v>
      </c>
      <c r="X312" s="133">
        <v>125</v>
      </c>
      <c r="Y312" s="81">
        <v>43252</v>
      </c>
      <c r="Z312" s="136">
        <v>1349744175</v>
      </c>
      <c r="AA312" s="140"/>
      <c r="AB312" s="141">
        <v>879</v>
      </c>
      <c r="AC312" s="150">
        <v>43252</v>
      </c>
      <c r="AD312" s="143">
        <v>1317545428</v>
      </c>
      <c r="AE312" s="143">
        <f t="shared" si="28"/>
        <v>32198747</v>
      </c>
      <c r="AF312" s="133">
        <v>2902</v>
      </c>
      <c r="AG312" s="81">
        <v>43362</v>
      </c>
      <c r="AH312" s="143">
        <v>1317545428</v>
      </c>
      <c r="AI312" s="143" t="s">
        <v>845</v>
      </c>
      <c r="AJ312" s="63">
        <v>582</v>
      </c>
      <c r="AK312" s="143">
        <f t="shared" si="26"/>
        <v>0</v>
      </c>
      <c r="AL312" s="143"/>
      <c r="AM312" s="143">
        <f t="shared" si="21"/>
        <v>1317545428</v>
      </c>
      <c r="AN312" s="133"/>
      <c r="AO312" s="144" t="e">
        <f>S312-AI312</f>
        <v>#VALUE!</v>
      </c>
      <c r="AP312" s="133"/>
      <c r="AQ312" s="133"/>
      <c r="AR312" s="133"/>
      <c r="AS312" s="133"/>
      <c r="AT312" s="133"/>
      <c r="AU312" s="220"/>
      <c r="AV312" s="220"/>
      <c r="AW312" s="220"/>
    </row>
    <row r="313" spans="1:49" s="221" customFormat="1" ht="370.5" x14ac:dyDescent="0.25">
      <c r="A313" s="63">
        <f t="shared" si="29"/>
        <v>127</v>
      </c>
      <c r="B313" s="128" t="str">
        <f t="shared" si="30"/>
        <v>208-127</v>
      </c>
      <c r="C313" s="129" t="s">
        <v>713</v>
      </c>
      <c r="D313" s="130" t="s">
        <v>714</v>
      </c>
      <c r="E313" s="145" t="s">
        <v>725</v>
      </c>
      <c r="F313" s="132" t="s">
        <v>577</v>
      </c>
      <c r="G313" s="131" t="s">
        <v>716</v>
      </c>
      <c r="H313" s="132" t="s">
        <v>717</v>
      </c>
      <c r="I313" s="133" t="s">
        <v>718</v>
      </c>
      <c r="J313" s="111" t="s">
        <v>719</v>
      </c>
      <c r="K313" s="133"/>
      <c r="L313" s="111" t="s">
        <v>720</v>
      </c>
      <c r="M313" s="111" t="s">
        <v>58</v>
      </c>
      <c r="N313" s="111" t="s">
        <v>59</v>
      </c>
      <c r="O313" s="111" t="s">
        <v>721</v>
      </c>
      <c r="P313" s="227" t="s">
        <v>843</v>
      </c>
      <c r="Q313" s="134">
        <f t="shared" si="31"/>
        <v>251655871.25</v>
      </c>
      <c r="R313" s="146">
        <v>1</v>
      </c>
      <c r="S313" s="136">
        <v>1006623485</v>
      </c>
      <c r="T313" s="137"/>
      <c r="U313" s="128" t="s">
        <v>723</v>
      </c>
      <c r="V313" s="138" t="s">
        <v>724</v>
      </c>
      <c r="W313" s="147">
        <v>4</v>
      </c>
      <c r="X313" s="133">
        <v>126</v>
      </c>
      <c r="Y313" s="81">
        <v>43252</v>
      </c>
      <c r="Z313" s="136">
        <v>1006623485</v>
      </c>
      <c r="AA313" s="140"/>
      <c r="AB313" s="141">
        <v>880</v>
      </c>
      <c r="AC313" s="150">
        <v>43252</v>
      </c>
      <c r="AD313" s="143">
        <v>1006623485</v>
      </c>
      <c r="AE313" s="143">
        <f t="shared" si="28"/>
        <v>0</v>
      </c>
      <c r="AF313" s="133">
        <v>2905</v>
      </c>
      <c r="AG313" s="81">
        <v>43362</v>
      </c>
      <c r="AH313" s="143">
        <v>992427976</v>
      </c>
      <c r="AI313" s="63" t="s">
        <v>846</v>
      </c>
      <c r="AJ313" s="63">
        <v>584</v>
      </c>
      <c r="AK313" s="143">
        <f t="shared" si="26"/>
        <v>14195509</v>
      </c>
      <c r="AL313" s="143"/>
      <c r="AM313" s="143">
        <f t="shared" si="21"/>
        <v>992427976</v>
      </c>
      <c r="AN313" s="133"/>
      <c r="AO313" s="144">
        <f t="shared" ref="AO313:AO350" si="32">S313-AH313</f>
        <v>14195509</v>
      </c>
      <c r="AP313" s="133"/>
      <c r="AQ313" s="133"/>
      <c r="AR313" s="133"/>
      <c r="AS313" s="133"/>
      <c r="AT313" s="133"/>
      <c r="AU313" s="220"/>
      <c r="AV313" s="220"/>
      <c r="AW313" s="220"/>
    </row>
    <row r="314" spans="1:49" s="221" customFormat="1" ht="370.5" x14ac:dyDescent="0.25">
      <c r="A314" s="63">
        <f t="shared" si="29"/>
        <v>128</v>
      </c>
      <c r="B314" s="128" t="str">
        <f t="shared" si="30"/>
        <v>208-128</v>
      </c>
      <c r="C314" s="129" t="s">
        <v>713</v>
      </c>
      <c r="D314" s="130" t="s">
        <v>714</v>
      </c>
      <c r="E314" s="145" t="s">
        <v>725</v>
      </c>
      <c r="F314" s="132" t="s">
        <v>577</v>
      </c>
      <c r="G314" s="131" t="s">
        <v>716</v>
      </c>
      <c r="H314" s="132" t="s">
        <v>717</v>
      </c>
      <c r="I314" s="111" t="s">
        <v>55</v>
      </c>
      <c r="J314" s="111" t="s">
        <v>56</v>
      </c>
      <c r="K314" s="133"/>
      <c r="L314" s="111" t="s">
        <v>720</v>
      </c>
      <c r="M314" s="111" t="s">
        <v>58</v>
      </c>
      <c r="N314" s="111" t="s">
        <v>59</v>
      </c>
      <c r="O314" s="111" t="s">
        <v>721</v>
      </c>
      <c r="P314" s="227" t="s">
        <v>843</v>
      </c>
      <c r="Q314" s="134">
        <f t="shared" si="31"/>
        <v>106013619.25</v>
      </c>
      <c r="R314" s="146">
        <v>1</v>
      </c>
      <c r="S314" s="136">
        <v>424054477</v>
      </c>
      <c r="T314" s="137" t="s">
        <v>613</v>
      </c>
      <c r="U314" s="128" t="s">
        <v>723</v>
      </c>
      <c r="V314" s="138" t="s">
        <v>844</v>
      </c>
      <c r="W314" s="147">
        <v>4</v>
      </c>
      <c r="X314" s="133">
        <v>127</v>
      </c>
      <c r="Y314" s="81">
        <v>43263</v>
      </c>
      <c r="Z314" s="136">
        <v>424054477</v>
      </c>
      <c r="AA314" s="140"/>
      <c r="AB314" s="141">
        <v>887</v>
      </c>
      <c r="AC314" s="150">
        <v>43263</v>
      </c>
      <c r="AD314" s="143">
        <v>419159248</v>
      </c>
      <c r="AE314" s="143">
        <f t="shared" si="28"/>
        <v>4895229</v>
      </c>
      <c r="AF314" s="133">
        <v>2899</v>
      </c>
      <c r="AG314" s="81">
        <v>43362</v>
      </c>
      <c r="AH314" s="143">
        <v>419159248</v>
      </c>
      <c r="AI314" s="63" t="s">
        <v>847</v>
      </c>
      <c r="AJ314" s="63">
        <v>583</v>
      </c>
      <c r="AK314" s="143">
        <f t="shared" si="26"/>
        <v>0</v>
      </c>
      <c r="AL314" s="143"/>
      <c r="AM314" s="143">
        <f t="shared" si="21"/>
        <v>419159248</v>
      </c>
      <c r="AN314" s="133"/>
      <c r="AO314" s="144">
        <f t="shared" si="32"/>
        <v>4895229</v>
      </c>
      <c r="AP314" s="133"/>
      <c r="AQ314" s="133"/>
      <c r="AR314" s="133"/>
      <c r="AS314" s="133"/>
      <c r="AT314" s="133"/>
      <c r="AU314" s="220"/>
      <c r="AV314" s="220"/>
      <c r="AW314" s="220"/>
    </row>
    <row r="315" spans="1:49" s="221" customFormat="1" ht="370.5" x14ac:dyDescent="0.25">
      <c r="A315" s="63">
        <f t="shared" si="29"/>
        <v>129</v>
      </c>
      <c r="B315" s="128" t="str">
        <f t="shared" si="30"/>
        <v>208-129</v>
      </c>
      <c r="C315" s="129" t="s">
        <v>713</v>
      </c>
      <c r="D315" s="130" t="s">
        <v>714</v>
      </c>
      <c r="E315" s="145" t="s">
        <v>725</v>
      </c>
      <c r="F315" s="132" t="s">
        <v>577</v>
      </c>
      <c r="G315" s="131" t="s">
        <v>716</v>
      </c>
      <c r="H315" s="132" t="s">
        <v>717</v>
      </c>
      <c r="I315" s="133" t="s">
        <v>718</v>
      </c>
      <c r="J315" s="111" t="s">
        <v>719</v>
      </c>
      <c r="K315" s="133"/>
      <c r="L315" s="111" t="s">
        <v>720</v>
      </c>
      <c r="M315" s="111" t="s">
        <v>58</v>
      </c>
      <c r="N315" s="111" t="s">
        <v>59</v>
      </c>
      <c r="O315" s="111" t="s">
        <v>721</v>
      </c>
      <c r="P315" s="227" t="s">
        <v>726</v>
      </c>
      <c r="Q315" s="134">
        <f t="shared" si="31"/>
        <v>47424162.5</v>
      </c>
      <c r="R315" s="146">
        <v>1</v>
      </c>
      <c r="S315" s="136">
        <v>189696650</v>
      </c>
      <c r="T315" s="137" t="s">
        <v>613</v>
      </c>
      <c r="U315" s="128" t="s">
        <v>723</v>
      </c>
      <c r="V315" s="138" t="s">
        <v>844</v>
      </c>
      <c r="W315" s="147">
        <v>4</v>
      </c>
      <c r="X315" s="133">
        <v>128</v>
      </c>
      <c r="Y315" s="81">
        <v>43263</v>
      </c>
      <c r="Z315" s="136">
        <v>189696650</v>
      </c>
      <c r="AA315" s="140"/>
      <c r="AB315" s="141">
        <v>886</v>
      </c>
      <c r="AC315" s="150">
        <v>43263</v>
      </c>
      <c r="AD315" s="143">
        <v>189696650</v>
      </c>
      <c r="AE315" s="143">
        <f t="shared" si="28"/>
        <v>0</v>
      </c>
      <c r="AF315" s="133">
        <v>2898</v>
      </c>
      <c r="AG315" s="81">
        <v>43362</v>
      </c>
      <c r="AH315" s="143">
        <v>189696650</v>
      </c>
      <c r="AI315" s="63" t="s">
        <v>847</v>
      </c>
      <c r="AJ315" s="63">
        <v>583</v>
      </c>
      <c r="AK315" s="143">
        <f t="shared" si="26"/>
        <v>0</v>
      </c>
      <c r="AL315" s="143"/>
      <c r="AM315" s="143">
        <f t="shared" si="21"/>
        <v>189696650</v>
      </c>
      <c r="AN315" s="133"/>
      <c r="AO315" s="144">
        <f t="shared" si="32"/>
        <v>0</v>
      </c>
      <c r="AP315" s="133"/>
      <c r="AQ315" s="133"/>
      <c r="AR315" s="133"/>
      <c r="AS315" s="133"/>
      <c r="AT315" s="133"/>
      <c r="AU315" s="220"/>
      <c r="AV315" s="220"/>
      <c r="AW315" s="220"/>
    </row>
    <row r="316" spans="1:49" s="221" customFormat="1" ht="370.5" x14ac:dyDescent="0.25">
      <c r="A316" s="63">
        <f>A315+1</f>
        <v>130</v>
      </c>
      <c r="B316" s="128" t="str">
        <f>+CONCATENATE("208-",A316)</f>
        <v>208-130</v>
      </c>
      <c r="C316" s="129" t="s">
        <v>713</v>
      </c>
      <c r="D316" s="130" t="s">
        <v>714</v>
      </c>
      <c r="E316" s="145" t="s">
        <v>725</v>
      </c>
      <c r="F316" s="132" t="s">
        <v>577</v>
      </c>
      <c r="G316" s="131" t="s">
        <v>716</v>
      </c>
      <c r="H316" s="132" t="s">
        <v>717</v>
      </c>
      <c r="I316" s="133" t="s">
        <v>718</v>
      </c>
      <c r="J316" s="111" t="s">
        <v>719</v>
      </c>
      <c r="K316" s="133"/>
      <c r="L316" s="111" t="s">
        <v>720</v>
      </c>
      <c r="M316" s="111" t="s">
        <v>58</v>
      </c>
      <c r="N316" s="111" t="s">
        <v>59</v>
      </c>
      <c r="O316" s="111" t="s">
        <v>721</v>
      </c>
      <c r="P316" s="227" t="s">
        <v>726</v>
      </c>
      <c r="Q316" s="172">
        <f>(S316/W316)/R316</f>
        <v>35492090.909090906</v>
      </c>
      <c r="R316" s="146">
        <v>1</v>
      </c>
      <c r="S316" s="136">
        <f>3500000000-209779000-398616000-2167606000-333586000</f>
        <v>390413000</v>
      </c>
      <c r="T316" s="137" t="s">
        <v>613</v>
      </c>
      <c r="U316" s="128" t="s">
        <v>723</v>
      </c>
      <c r="V316" s="148" t="s">
        <v>431</v>
      </c>
      <c r="W316" s="147">
        <v>11</v>
      </c>
      <c r="X316" s="133"/>
      <c r="Y316" s="63"/>
      <c r="Z316" s="150"/>
      <c r="AA316" s="140"/>
      <c r="AB316" s="141"/>
      <c r="AC316" s="142"/>
      <c r="AD316" s="143"/>
      <c r="AE316" s="143">
        <f t="shared" si="28"/>
        <v>390413000</v>
      </c>
      <c r="AF316" s="133"/>
      <c r="AG316" s="85"/>
      <c r="AH316" s="143"/>
      <c r="AI316" s="63"/>
      <c r="AJ316" s="63"/>
      <c r="AK316" s="143">
        <f t="shared" si="26"/>
        <v>0</v>
      </c>
      <c r="AL316" s="143"/>
      <c r="AM316" s="143">
        <f t="shared" ref="AM316:AM350" si="33">AH316-AL316</f>
        <v>0</v>
      </c>
      <c r="AN316" s="133"/>
      <c r="AO316" s="144">
        <f t="shared" si="32"/>
        <v>390413000</v>
      </c>
      <c r="AP316" s="133"/>
      <c r="AQ316" s="133"/>
      <c r="AR316" s="133"/>
      <c r="AS316" s="133"/>
      <c r="AT316" s="133"/>
      <c r="AU316" s="220"/>
      <c r="AV316" s="220"/>
      <c r="AW316" s="220"/>
    </row>
    <row r="317" spans="1:49" s="221" customFormat="1" ht="399" x14ac:dyDescent="0.25">
      <c r="A317" s="63">
        <f>A316+1</f>
        <v>131</v>
      </c>
      <c r="B317" s="128" t="str">
        <f t="shared" si="30"/>
        <v>208-131</v>
      </c>
      <c r="C317" s="129" t="s">
        <v>713</v>
      </c>
      <c r="D317" s="130" t="s">
        <v>714</v>
      </c>
      <c r="E317" s="145" t="s">
        <v>725</v>
      </c>
      <c r="F317" s="132" t="s">
        <v>577</v>
      </c>
      <c r="G317" s="131" t="s">
        <v>716</v>
      </c>
      <c r="H317" s="132" t="s">
        <v>717</v>
      </c>
      <c r="I317" s="111" t="s">
        <v>55</v>
      </c>
      <c r="J317" s="111" t="s">
        <v>56</v>
      </c>
      <c r="K317" s="133"/>
      <c r="L317" s="111" t="s">
        <v>720</v>
      </c>
      <c r="M317" s="111" t="s">
        <v>58</v>
      </c>
      <c r="N317" s="111" t="s">
        <v>59</v>
      </c>
      <c r="O317" s="111" t="s">
        <v>721</v>
      </c>
      <c r="P317" s="227" t="s">
        <v>848</v>
      </c>
      <c r="Q317" s="134">
        <f t="shared" si="31"/>
        <v>124268654.5</v>
      </c>
      <c r="R317" s="146">
        <v>1</v>
      </c>
      <c r="S317" s="136">
        <v>497074618</v>
      </c>
      <c r="T317" s="137" t="s">
        <v>849</v>
      </c>
      <c r="U317" s="128" t="s">
        <v>730</v>
      </c>
      <c r="V317" s="138" t="s">
        <v>844</v>
      </c>
      <c r="W317" s="147">
        <v>4</v>
      </c>
      <c r="X317" s="133">
        <v>129</v>
      </c>
      <c r="Y317" s="81">
        <v>43287</v>
      </c>
      <c r="Z317" s="143">
        <v>497074618</v>
      </c>
      <c r="AA317" s="140"/>
      <c r="AB317" s="141">
        <v>945</v>
      </c>
      <c r="AC317" s="150">
        <v>43291</v>
      </c>
      <c r="AD317" s="143">
        <v>497074618</v>
      </c>
      <c r="AE317" s="143">
        <f t="shared" si="28"/>
        <v>0</v>
      </c>
      <c r="AF317" s="133"/>
      <c r="AG317" s="85"/>
      <c r="AH317" s="143"/>
      <c r="AI317" s="63"/>
      <c r="AJ317" s="63"/>
      <c r="AK317" s="143">
        <f t="shared" si="26"/>
        <v>497074618</v>
      </c>
      <c r="AL317" s="143"/>
      <c r="AM317" s="143">
        <f t="shared" si="33"/>
        <v>0</v>
      </c>
      <c r="AN317" s="133"/>
      <c r="AO317" s="144">
        <f t="shared" si="32"/>
        <v>497074618</v>
      </c>
      <c r="AP317" s="133"/>
      <c r="AQ317" s="133"/>
      <c r="AR317" s="133"/>
      <c r="AS317" s="133"/>
      <c r="AT317" s="133"/>
      <c r="AU317" s="220"/>
      <c r="AV317" s="220"/>
      <c r="AW317" s="220"/>
    </row>
    <row r="318" spans="1:49" s="221" customFormat="1" ht="399" x14ac:dyDescent="0.25">
      <c r="A318" s="63">
        <f t="shared" si="29"/>
        <v>132</v>
      </c>
      <c r="B318" s="128" t="str">
        <f t="shared" si="30"/>
        <v>208-132</v>
      </c>
      <c r="C318" s="129" t="s">
        <v>713</v>
      </c>
      <c r="D318" s="130" t="s">
        <v>714</v>
      </c>
      <c r="E318" s="131" t="s">
        <v>715</v>
      </c>
      <c r="F318" s="111" t="s">
        <v>52</v>
      </c>
      <c r="G318" s="145" t="s">
        <v>53</v>
      </c>
      <c r="H318" s="111" t="s">
        <v>733</v>
      </c>
      <c r="I318" s="111" t="s">
        <v>55</v>
      </c>
      <c r="J318" s="111" t="s">
        <v>56</v>
      </c>
      <c r="K318" s="63">
        <v>801116</v>
      </c>
      <c r="L318" s="111" t="s">
        <v>720</v>
      </c>
      <c r="M318" s="111" t="s">
        <v>58</v>
      </c>
      <c r="N318" s="111" t="s">
        <v>59</v>
      </c>
      <c r="O318" s="111" t="s">
        <v>728</v>
      </c>
      <c r="P318" s="227" t="s">
        <v>774</v>
      </c>
      <c r="Q318" s="134">
        <f t="shared" si="31"/>
        <v>463500</v>
      </c>
      <c r="R318" s="146">
        <v>1</v>
      </c>
      <c r="S318" s="136">
        <v>2549250</v>
      </c>
      <c r="T318" s="137" t="s">
        <v>747</v>
      </c>
      <c r="U318" s="148" t="s">
        <v>445</v>
      </c>
      <c r="V318" s="148" t="s">
        <v>431</v>
      </c>
      <c r="W318" s="153">
        <v>5.5</v>
      </c>
      <c r="X318" s="133">
        <v>130</v>
      </c>
      <c r="Y318" s="81">
        <v>43290</v>
      </c>
      <c r="Z318" s="136">
        <v>2549250</v>
      </c>
      <c r="AA318" s="140"/>
      <c r="AB318" s="141">
        <v>948</v>
      </c>
      <c r="AC318" s="150">
        <v>43291</v>
      </c>
      <c r="AD318" s="143">
        <v>2472000</v>
      </c>
      <c r="AE318" s="143">
        <f t="shared" si="28"/>
        <v>77250</v>
      </c>
      <c r="AF318" s="133">
        <v>2534</v>
      </c>
      <c r="AG318" s="150">
        <v>43305</v>
      </c>
      <c r="AH318" s="143">
        <v>2472000</v>
      </c>
      <c r="AI318" s="63" t="s">
        <v>850</v>
      </c>
      <c r="AJ318" s="63">
        <v>452</v>
      </c>
      <c r="AK318" s="143">
        <f t="shared" si="26"/>
        <v>0</v>
      </c>
      <c r="AL318" s="143">
        <v>540750</v>
      </c>
      <c r="AM318" s="143">
        <f t="shared" si="33"/>
        <v>1931250</v>
      </c>
      <c r="AN318" s="133"/>
      <c r="AO318" s="144">
        <f t="shared" si="32"/>
        <v>77250</v>
      </c>
      <c r="AP318" s="133"/>
      <c r="AQ318" s="133"/>
      <c r="AR318" s="133"/>
      <c r="AS318" s="133"/>
      <c r="AT318" s="133"/>
      <c r="AU318" s="220"/>
      <c r="AV318" s="220"/>
      <c r="AW318" s="220"/>
    </row>
    <row r="319" spans="1:49" s="221" customFormat="1" ht="370.5" x14ac:dyDescent="0.25">
      <c r="A319" s="63">
        <f t="shared" si="29"/>
        <v>133</v>
      </c>
      <c r="B319" s="128" t="str">
        <f t="shared" si="30"/>
        <v>208-133</v>
      </c>
      <c r="C319" s="129" t="s">
        <v>713</v>
      </c>
      <c r="D319" s="130" t="s">
        <v>714</v>
      </c>
      <c r="E319" s="145" t="s">
        <v>725</v>
      </c>
      <c r="F319" s="111" t="s">
        <v>52</v>
      </c>
      <c r="G319" s="145" t="s">
        <v>53</v>
      </c>
      <c r="H319" s="111" t="s">
        <v>733</v>
      </c>
      <c r="I319" s="111" t="s">
        <v>55</v>
      </c>
      <c r="J319" s="111" t="s">
        <v>56</v>
      </c>
      <c r="K319" s="63">
        <v>801116</v>
      </c>
      <c r="L319" s="111" t="s">
        <v>720</v>
      </c>
      <c r="M319" s="111" t="s">
        <v>58</v>
      </c>
      <c r="N319" s="111" t="s">
        <v>59</v>
      </c>
      <c r="O319" s="111" t="s">
        <v>728</v>
      </c>
      <c r="P319" s="227" t="s">
        <v>774</v>
      </c>
      <c r="Q319" s="134">
        <f t="shared" si="31"/>
        <v>1081500</v>
      </c>
      <c r="R319" s="146">
        <v>1</v>
      </c>
      <c r="S319" s="136">
        <v>5948250</v>
      </c>
      <c r="T319" s="137" t="s">
        <v>747</v>
      </c>
      <c r="U319" s="148" t="s">
        <v>445</v>
      </c>
      <c r="V319" s="148" t="s">
        <v>431</v>
      </c>
      <c r="W319" s="153">
        <v>5.5</v>
      </c>
      <c r="X319" s="133">
        <v>131</v>
      </c>
      <c r="Y319" s="81">
        <v>43290</v>
      </c>
      <c r="Z319" s="136">
        <v>5948250</v>
      </c>
      <c r="AA319" s="140"/>
      <c r="AB319" s="141">
        <v>948</v>
      </c>
      <c r="AC319" s="150">
        <v>43291</v>
      </c>
      <c r="AD319" s="143">
        <v>5768000</v>
      </c>
      <c r="AE319" s="143">
        <f t="shared" si="28"/>
        <v>180250</v>
      </c>
      <c r="AF319" s="133">
        <v>2534</v>
      </c>
      <c r="AG319" s="150">
        <v>43305</v>
      </c>
      <c r="AH319" s="143">
        <v>5768000</v>
      </c>
      <c r="AI319" s="63" t="s">
        <v>850</v>
      </c>
      <c r="AJ319" s="63">
        <v>452</v>
      </c>
      <c r="AK319" s="143">
        <f t="shared" si="26"/>
        <v>0</v>
      </c>
      <c r="AL319" s="143">
        <v>1261750</v>
      </c>
      <c r="AM319" s="143">
        <f t="shared" si="33"/>
        <v>4506250</v>
      </c>
      <c r="AN319" s="133"/>
      <c r="AO319" s="144">
        <f t="shared" si="32"/>
        <v>180250</v>
      </c>
      <c r="AP319" s="133"/>
      <c r="AQ319" s="133"/>
      <c r="AR319" s="133"/>
      <c r="AS319" s="133"/>
      <c r="AT319" s="133"/>
      <c r="AU319" s="220"/>
      <c r="AV319" s="220"/>
      <c r="AW319" s="220"/>
    </row>
    <row r="320" spans="1:49" s="221" customFormat="1" ht="399" x14ac:dyDescent="0.25">
      <c r="A320" s="63">
        <f t="shared" si="29"/>
        <v>134</v>
      </c>
      <c r="B320" s="128" t="str">
        <f t="shared" si="30"/>
        <v>208-134</v>
      </c>
      <c r="C320" s="129" t="s">
        <v>713</v>
      </c>
      <c r="D320" s="130" t="s">
        <v>714</v>
      </c>
      <c r="E320" s="131" t="s">
        <v>715</v>
      </c>
      <c r="F320" s="111" t="s">
        <v>52</v>
      </c>
      <c r="G320" s="145" t="s">
        <v>53</v>
      </c>
      <c r="H320" s="111" t="s">
        <v>733</v>
      </c>
      <c r="I320" s="111" t="s">
        <v>55</v>
      </c>
      <c r="J320" s="111" t="s">
        <v>56</v>
      </c>
      <c r="K320" s="63">
        <v>801116</v>
      </c>
      <c r="L320" s="111" t="s">
        <v>720</v>
      </c>
      <c r="M320" s="111" t="s">
        <v>58</v>
      </c>
      <c r="N320" s="111" t="s">
        <v>59</v>
      </c>
      <c r="O320" s="111" t="s">
        <v>728</v>
      </c>
      <c r="P320" s="227" t="s">
        <v>774</v>
      </c>
      <c r="Q320" s="134">
        <f t="shared" si="31"/>
        <v>463500</v>
      </c>
      <c r="R320" s="146">
        <v>1</v>
      </c>
      <c r="S320" s="136">
        <v>2549250</v>
      </c>
      <c r="T320" s="137" t="s">
        <v>747</v>
      </c>
      <c r="U320" s="148" t="s">
        <v>445</v>
      </c>
      <c r="V320" s="148" t="s">
        <v>431</v>
      </c>
      <c r="W320" s="153">
        <v>5.5</v>
      </c>
      <c r="X320" s="133">
        <v>132</v>
      </c>
      <c r="Y320" s="81">
        <v>43290</v>
      </c>
      <c r="Z320" s="136">
        <v>2549250</v>
      </c>
      <c r="AA320" s="140"/>
      <c r="AB320" s="141">
        <v>949</v>
      </c>
      <c r="AC320" s="150">
        <v>43291</v>
      </c>
      <c r="AD320" s="143">
        <v>2472000</v>
      </c>
      <c r="AE320" s="143">
        <f t="shared" si="28"/>
        <v>77250</v>
      </c>
      <c r="AF320" s="133">
        <v>2541</v>
      </c>
      <c r="AG320" s="150">
        <v>43305</v>
      </c>
      <c r="AH320" s="143">
        <v>2472000</v>
      </c>
      <c r="AI320" s="64" t="s">
        <v>851</v>
      </c>
      <c r="AJ320" s="63">
        <v>455</v>
      </c>
      <c r="AK320" s="143">
        <f t="shared" si="26"/>
        <v>0</v>
      </c>
      <c r="AL320" s="143">
        <v>556200</v>
      </c>
      <c r="AM320" s="143">
        <f t="shared" si="33"/>
        <v>1915800</v>
      </c>
      <c r="AN320" s="133"/>
      <c r="AO320" s="144">
        <f t="shared" si="32"/>
        <v>77250</v>
      </c>
      <c r="AP320" s="133"/>
      <c r="AQ320" s="133"/>
      <c r="AR320" s="133"/>
      <c r="AS320" s="133"/>
      <c r="AT320" s="133"/>
      <c r="AU320" s="220"/>
      <c r="AV320" s="220"/>
      <c r="AW320" s="220"/>
    </row>
    <row r="321" spans="1:49" s="221" customFormat="1" ht="370.5" x14ac:dyDescent="0.25">
      <c r="A321" s="63">
        <f t="shared" si="29"/>
        <v>135</v>
      </c>
      <c r="B321" s="128" t="str">
        <f t="shared" si="30"/>
        <v>208-135</v>
      </c>
      <c r="C321" s="129" t="s">
        <v>713</v>
      </c>
      <c r="D321" s="130" t="s">
        <v>714</v>
      </c>
      <c r="E321" s="145" t="s">
        <v>725</v>
      </c>
      <c r="F321" s="111" t="s">
        <v>52</v>
      </c>
      <c r="G321" s="145" t="s">
        <v>53</v>
      </c>
      <c r="H321" s="111" t="s">
        <v>733</v>
      </c>
      <c r="I321" s="111" t="s">
        <v>55</v>
      </c>
      <c r="J321" s="111" t="s">
        <v>56</v>
      </c>
      <c r="K321" s="63">
        <v>801116</v>
      </c>
      <c r="L321" s="111" t="s">
        <v>720</v>
      </c>
      <c r="M321" s="111" t="s">
        <v>58</v>
      </c>
      <c r="N321" s="111" t="s">
        <v>59</v>
      </c>
      <c r="O321" s="111" t="s">
        <v>728</v>
      </c>
      <c r="P321" s="227" t="s">
        <v>774</v>
      </c>
      <c r="Q321" s="134">
        <f t="shared" si="31"/>
        <v>1081500</v>
      </c>
      <c r="R321" s="146">
        <v>1</v>
      </c>
      <c r="S321" s="136">
        <v>5948250</v>
      </c>
      <c r="T321" s="137" t="s">
        <v>747</v>
      </c>
      <c r="U321" s="148" t="s">
        <v>445</v>
      </c>
      <c r="V321" s="148" t="s">
        <v>431</v>
      </c>
      <c r="W321" s="153">
        <v>5.5</v>
      </c>
      <c r="X321" s="133">
        <v>133</v>
      </c>
      <c r="Y321" s="81">
        <v>43290</v>
      </c>
      <c r="Z321" s="136">
        <v>5948250</v>
      </c>
      <c r="AA321" s="140"/>
      <c r="AB321" s="141">
        <v>949</v>
      </c>
      <c r="AC321" s="150">
        <v>43291</v>
      </c>
      <c r="AD321" s="143">
        <v>5768000</v>
      </c>
      <c r="AE321" s="143">
        <f t="shared" si="28"/>
        <v>180250</v>
      </c>
      <c r="AF321" s="133">
        <v>2541</v>
      </c>
      <c r="AG321" s="150">
        <v>43305</v>
      </c>
      <c r="AH321" s="143">
        <v>5768000</v>
      </c>
      <c r="AI321" s="64" t="s">
        <v>851</v>
      </c>
      <c r="AJ321" s="63">
        <v>455</v>
      </c>
      <c r="AK321" s="143">
        <f t="shared" si="26"/>
        <v>0</v>
      </c>
      <c r="AL321" s="143">
        <v>1297800</v>
      </c>
      <c r="AM321" s="143">
        <f t="shared" si="33"/>
        <v>4470200</v>
      </c>
      <c r="AN321" s="133"/>
      <c r="AO321" s="144">
        <f t="shared" si="32"/>
        <v>180250</v>
      </c>
      <c r="AP321" s="133"/>
      <c r="AQ321" s="133"/>
      <c r="AR321" s="133"/>
      <c r="AS321" s="133"/>
      <c r="AT321" s="133"/>
      <c r="AU321" s="220"/>
      <c r="AV321" s="220"/>
      <c r="AW321" s="220"/>
    </row>
    <row r="322" spans="1:49" s="221" customFormat="1" ht="399" x14ac:dyDescent="0.25">
      <c r="A322" s="63">
        <f t="shared" si="29"/>
        <v>136</v>
      </c>
      <c r="B322" s="128" t="str">
        <f t="shared" si="30"/>
        <v>208-136</v>
      </c>
      <c r="C322" s="129" t="s">
        <v>713</v>
      </c>
      <c r="D322" s="130" t="s">
        <v>714</v>
      </c>
      <c r="E322" s="131" t="s">
        <v>715</v>
      </c>
      <c r="F322" s="111" t="s">
        <v>52</v>
      </c>
      <c r="G322" s="145" t="s">
        <v>53</v>
      </c>
      <c r="H322" s="111" t="s">
        <v>733</v>
      </c>
      <c r="I322" s="111" t="s">
        <v>55</v>
      </c>
      <c r="J322" s="111" t="s">
        <v>56</v>
      </c>
      <c r="K322" s="63">
        <v>801116</v>
      </c>
      <c r="L322" s="111" t="s">
        <v>720</v>
      </c>
      <c r="M322" s="111" t="s">
        <v>58</v>
      </c>
      <c r="N322" s="111" t="s">
        <v>59</v>
      </c>
      <c r="O322" s="111" t="s">
        <v>728</v>
      </c>
      <c r="P322" s="227" t="s">
        <v>774</v>
      </c>
      <c r="Q322" s="134">
        <f t="shared" si="31"/>
        <v>463500</v>
      </c>
      <c r="R322" s="146">
        <v>1</v>
      </c>
      <c r="S322" s="136">
        <v>2317500</v>
      </c>
      <c r="T322" s="137" t="s">
        <v>747</v>
      </c>
      <c r="U322" s="148" t="s">
        <v>445</v>
      </c>
      <c r="V322" s="148" t="s">
        <v>844</v>
      </c>
      <c r="W322" s="153">
        <v>5</v>
      </c>
      <c r="X322" s="133">
        <v>134</v>
      </c>
      <c r="Y322" s="81">
        <v>43293</v>
      </c>
      <c r="Z322" s="136">
        <v>2317500</v>
      </c>
      <c r="AA322" s="140"/>
      <c r="AB322" s="141">
        <v>979</v>
      </c>
      <c r="AC322" s="150">
        <v>43297</v>
      </c>
      <c r="AD322" s="143">
        <v>2317500</v>
      </c>
      <c r="AE322" s="143">
        <f t="shared" si="28"/>
        <v>0</v>
      </c>
      <c r="AF322" s="133">
        <v>2561</v>
      </c>
      <c r="AG322" s="85">
        <v>43313</v>
      </c>
      <c r="AH322" s="143">
        <v>2317500</v>
      </c>
      <c r="AI322" s="63" t="s">
        <v>852</v>
      </c>
      <c r="AJ322" s="63">
        <v>465</v>
      </c>
      <c r="AK322" s="143">
        <f t="shared" si="26"/>
        <v>0</v>
      </c>
      <c r="AL322" s="143">
        <v>463500</v>
      </c>
      <c r="AM322" s="143">
        <f t="shared" si="33"/>
        <v>1854000</v>
      </c>
      <c r="AN322" s="133"/>
      <c r="AO322" s="144">
        <f t="shared" si="32"/>
        <v>0</v>
      </c>
      <c r="AP322" s="133"/>
      <c r="AQ322" s="133"/>
      <c r="AR322" s="133"/>
      <c r="AS322" s="133"/>
      <c r="AT322" s="133"/>
      <c r="AU322" s="220"/>
      <c r="AV322" s="220"/>
      <c r="AW322" s="220"/>
    </row>
    <row r="323" spans="1:49" s="221" customFormat="1" ht="370.5" x14ac:dyDescent="0.25">
      <c r="A323" s="63">
        <f t="shared" si="29"/>
        <v>137</v>
      </c>
      <c r="B323" s="128" t="str">
        <f t="shared" si="30"/>
        <v>208-137</v>
      </c>
      <c r="C323" s="129" t="s">
        <v>713</v>
      </c>
      <c r="D323" s="130" t="s">
        <v>714</v>
      </c>
      <c r="E323" s="145" t="s">
        <v>725</v>
      </c>
      <c r="F323" s="111" t="s">
        <v>52</v>
      </c>
      <c r="G323" s="145" t="s">
        <v>53</v>
      </c>
      <c r="H323" s="111" t="s">
        <v>733</v>
      </c>
      <c r="I323" s="111" t="s">
        <v>55</v>
      </c>
      <c r="J323" s="111" t="s">
        <v>56</v>
      </c>
      <c r="K323" s="63">
        <v>801116</v>
      </c>
      <c r="L323" s="111" t="s">
        <v>720</v>
      </c>
      <c r="M323" s="111" t="s">
        <v>58</v>
      </c>
      <c r="N323" s="111" t="s">
        <v>59</v>
      </c>
      <c r="O323" s="111" t="s">
        <v>728</v>
      </c>
      <c r="P323" s="227" t="s">
        <v>774</v>
      </c>
      <c r="Q323" s="134">
        <f t="shared" si="31"/>
        <v>1081500</v>
      </c>
      <c r="R323" s="146">
        <v>1</v>
      </c>
      <c r="S323" s="136">
        <v>5407500</v>
      </c>
      <c r="T323" s="137" t="s">
        <v>747</v>
      </c>
      <c r="U323" s="148" t="s">
        <v>445</v>
      </c>
      <c r="V323" s="148" t="s">
        <v>844</v>
      </c>
      <c r="W323" s="153">
        <v>5</v>
      </c>
      <c r="X323" s="133">
        <v>135</v>
      </c>
      <c r="Y323" s="81">
        <v>43293</v>
      </c>
      <c r="Z323" s="136">
        <v>5407500</v>
      </c>
      <c r="AA323" s="140"/>
      <c r="AB323" s="141">
        <v>979</v>
      </c>
      <c r="AC323" s="150">
        <v>43297</v>
      </c>
      <c r="AD323" s="143">
        <v>5407500</v>
      </c>
      <c r="AE323" s="143">
        <f t="shared" si="28"/>
        <v>0</v>
      </c>
      <c r="AF323" s="133">
        <v>2561</v>
      </c>
      <c r="AG323" s="85">
        <v>43313</v>
      </c>
      <c r="AH323" s="143">
        <v>5407500</v>
      </c>
      <c r="AI323" s="63" t="s">
        <v>852</v>
      </c>
      <c r="AJ323" s="63">
        <v>465</v>
      </c>
      <c r="AK323" s="143">
        <f t="shared" si="26"/>
        <v>0</v>
      </c>
      <c r="AL323" s="143">
        <v>1081500</v>
      </c>
      <c r="AM323" s="143">
        <f t="shared" si="33"/>
        <v>4326000</v>
      </c>
      <c r="AN323" s="133"/>
      <c r="AO323" s="144">
        <f t="shared" si="32"/>
        <v>0</v>
      </c>
      <c r="AP323" s="133"/>
      <c r="AQ323" s="133"/>
      <c r="AR323" s="133"/>
      <c r="AS323" s="133"/>
      <c r="AT323" s="133"/>
      <c r="AU323" s="220"/>
      <c r="AV323" s="220"/>
      <c r="AW323" s="220"/>
    </row>
    <row r="324" spans="1:49" s="221" customFormat="1" ht="399" x14ac:dyDescent="0.25">
      <c r="A324" s="63">
        <f t="shared" si="29"/>
        <v>138</v>
      </c>
      <c r="B324" s="128" t="str">
        <f t="shared" si="30"/>
        <v>208-138</v>
      </c>
      <c r="C324" s="129" t="s">
        <v>713</v>
      </c>
      <c r="D324" s="130" t="s">
        <v>714</v>
      </c>
      <c r="E324" s="131" t="s">
        <v>715</v>
      </c>
      <c r="F324" s="111" t="s">
        <v>52</v>
      </c>
      <c r="G324" s="145" t="s">
        <v>53</v>
      </c>
      <c r="H324" s="111" t="s">
        <v>733</v>
      </c>
      <c r="I324" s="111" t="s">
        <v>55</v>
      </c>
      <c r="J324" s="111" t="s">
        <v>56</v>
      </c>
      <c r="K324" s="63">
        <v>801116</v>
      </c>
      <c r="L324" s="111" t="s">
        <v>720</v>
      </c>
      <c r="M324" s="111" t="s">
        <v>58</v>
      </c>
      <c r="N324" s="111" t="s">
        <v>59</v>
      </c>
      <c r="O324" s="111" t="s">
        <v>728</v>
      </c>
      <c r="P324" s="227" t="s">
        <v>774</v>
      </c>
      <c r="Q324" s="134">
        <f t="shared" si="31"/>
        <v>463500</v>
      </c>
      <c r="R324" s="146">
        <v>1</v>
      </c>
      <c r="S324" s="136">
        <v>2317500</v>
      </c>
      <c r="T324" s="137" t="s">
        <v>747</v>
      </c>
      <c r="U324" s="148" t="s">
        <v>445</v>
      </c>
      <c r="V324" s="148" t="s">
        <v>844</v>
      </c>
      <c r="W324" s="153">
        <v>5</v>
      </c>
      <c r="X324" s="133">
        <v>136</v>
      </c>
      <c r="Y324" s="81">
        <v>43293</v>
      </c>
      <c r="Z324" s="136">
        <v>2317500</v>
      </c>
      <c r="AA324" s="140"/>
      <c r="AB324" s="141">
        <v>980</v>
      </c>
      <c r="AC324" s="150">
        <v>43297</v>
      </c>
      <c r="AD324" s="151">
        <v>2317500</v>
      </c>
      <c r="AE324" s="143">
        <f t="shared" si="28"/>
        <v>0</v>
      </c>
      <c r="AF324" s="133">
        <v>2548</v>
      </c>
      <c r="AG324" s="150">
        <v>43311</v>
      </c>
      <c r="AH324" s="151">
        <v>2317500</v>
      </c>
      <c r="AI324" s="63" t="s">
        <v>853</v>
      </c>
      <c r="AJ324" s="63">
        <v>466</v>
      </c>
      <c r="AK324" s="143">
        <f t="shared" si="26"/>
        <v>0</v>
      </c>
      <c r="AL324" s="143">
        <v>463500</v>
      </c>
      <c r="AM324" s="143">
        <f t="shared" si="33"/>
        <v>1854000</v>
      </c>
      <c r="AN324" s="133"/>
      <c r="AO324" s="144">
        <f t="shared" si="32"/>
        <v>0</v>
      </c>
      <c r="AP324" s="133"/>
      <c r="AQ324" s="133"/>
      <c r="AR324" s="133"/>
      <c r="AS324" s="133"/>
      <c r="AT324" s="133"/>
      <c r="AU324" s="220"/>
      <c r="AV324" s="220"/>
      <c r="AW324" s="220"/>
    </row>
    <row r="325" spans="1:49" s="221" customFormat="1" ht="370.5" x14ac:dyDescent="0.25">
      <c r="A325" s="63">
        <f t="shared" si="29"/>
        <v>139</v>
      </c>
      <c r="B325" s="128" t="str">
        <f t="shared" si="30"/>
        <v>208-139</v>
      </c>
      <c r="C325" s="129" t="s">
        <v>713</v>
      </c>
      <c r="D325" s="130" t="s">
        <v>714</v>
      </c>
      <c r="E325" s="145" t="s">
        <v>725</v>
      </c>
      <c r="F325" s="111" t="s">
        <v>52</v>
      </c>
      <c r="G325" s="145" t="s">
        <v>53</v>
      </c>
      <c r="H325" s="111" t="s">
        <v>733</v>
      </c>
      <c r="I325" s="111" t="s">
        <v>55</v>
      </c>
      <c r="J325" s="111" t="s">
        <v>56</v>
      </c>
      <c r="K325" s="63">
        <v>801116</v>
      </c>
      <c r="L325" s="111" t="s">
        <v>720</v>
      </c>
      <c r="M325" s="111" t="s">
        <v>58</v>
      </c>
      <c r="N325" s="111" t="s">
        <v>59</v>
      </c>
      <c r="O325" s="111" t="s">
        <v>728</v>
      </c>
      <c r="P325" s="227" t="s">
        <v>774</v>
      </c>
      <c r="Q325" s="134">
        <f t="shared" si="31"/>
        <v>1081500</v>
      </c>
      <c r="R325" s="146">
        <v>1</v>
      </c>
      <c r="S325" s="136">
        <v>5407500</v>
      </c>
      <c r="T325" s="137" t="s">
        <v>747</v>
      </c>
      <c r="U325" s="148" t="s">
        <v>445</v>
      </c>
      <c r="V325" s="148" t="s">
        <v>844</v>
      </c>
      <c r="W325" s="153">
        <v>5</v>
      </c>
      <c r="X325" s="133">
        <v>137</v>
      </c>
      <c r="Y325" s="81">
        <v>43293</v>
      </c>
      <c r="Z325" s="136">
        <v>5407500</v>
      </c>
      <c r="AA325" s="140"/>
      <c r="AB325" s="141">
        <v>980</v>
      </c>
      <c r="AC325" s="150">
        <v>43297</v>
      </c>
      <c r="AD325" s="151">
        <v>5407500</v>
      </c>
      <c r="AE325" s="143">
        <f t="shared" si="28"/>
        <v>0</v>
      </c>
      <c r="AF325" s="133">
        <v>2548</v>
      </c>
      <c r="AG325" s="150">
        <v>43311</v>
      </c>
      <c r="AH325" s="151">
        <v>5407500</v>
      </c>
      <c r="AI325" s="63" t="s">
        <v>853</v>
      </c>
      <c r="AJ325" s="63">
        <v>466</v>
      </c>
      <c r="AK325" s="143">
        <f t="shared" si="26"/>
        <v>0</v>
      </c>
      <c r="AL325" s="143">
        <v>1081500</v>
      </c>
      <c r="AM325" s="143">
        <f t="shared" si="33"/>
        <v>4326000</v>
      </c>
      <c r="AN325" s="133"/>
      <c r="AO325" s="144">
        <f t="shared" si="32"/>
        <v>0</v>
      </c>
      <c r="AP325" s="133"/>
      <c r="AQ325" s="133"/>
      <c r="AR325" s="133"/>
      <c r="AS325" s="133"/>
      <c r="AT325" s="133"/>
      <c r="AU325" s="220"/>
      <c r="AV325" s="220"/>
      <c r="AW325" s="220"/>
    </row>
    <row r="326" spans="1:49" s="221" customFormat="1" ht="399" x14ac:dyDescent="0.25">
      <c r="A326" s="63">
        <f t="shared" si="29"/>
        <v>140</v>
      </c>
      <c r="B326" s="128" t="str">
        <f t="shared" si="30"/>
        <v>208-140</v>
      </c>
      <c r="C326" s="129" t="s">
        <v>713</v>
      </c>
      <c r="D326" s="130" t="s">
        <v>714</v>
      </c>
      <c r="E326" s="131" t="s">
        <v>715</v>
      </c>
      <c r="F326" s="111" t="s">
        <v>52</v>
      </c>
      <c r="G326" s="145" t="s">
        <v>53</v>
      </c>
      <c r="H326" s="111" t="s">
        <v>733</v>
      </c>
      <c r="I326" s="111" t="s">
        <v>55</v>
      </c>
      <c r="J326" s="111" t="s">
        <v>56</v>
      </c>
      <c r="K326" s="63">
        <v>801116</v>
      </c>
      <c r="L326" s="111" t="s">
        <v>720</v>
      </c>
      <c r="M326" s="111" t="s">
        <v>58</v>
      </c>
      <c r="N326" s="111" t="s">
        <v>59</v>
      </c>
      <c r="O326" s="111" t="s">
        <v>728</v>
      </c>
      <c r="P326" s="227" t="s">
        <v>854</v>
      </c>
      <c r="Q326" s="134">
        <f t="shared" si="31"/>
        <v>1359600</v>
      </c>
      <c r="R326" s="146">
        <v>1</v>
      </c>
      <c r="S326" s="136">
        <v>1359600</v>
      </c>
      <c r="T326" s="137" t="s">
        <v>747</v>
      </c>
      <c r="U326" s="148" t="s">
        <v>445</v>
      </c>
      <c r="V326" s="148" t="s">
        <v>844</v>
      </c>
      <c r="W326" s="153">
        <v>1</v>
      </c>
      <c r="X326" s="133">
        <v>138</v>
      </c>
      <c r="Y326" s="81">
        <v>43298</v>
      </c>
      <c r="Z326" s="136">
        <v>1359600</v>
      </c>
      <c r="AA326" s="140"/>
      <c r="AB326" s="141">
        <v>984</v>
      </c>
      <c r="AC326" s="150">
        <v>43299</v>
      </c>
      <c r="AD326" s="143">
        <v>1359600</v>
      </c>
      <c r="AE326" s="143">
        <f t="shared" si="28"/>
        <v>0</v>
      </c>
      <c r="AF326" s="133">
        <v>2518</v>
      </c>
      <c r="AG326" s="150">
        <v>43300</v>
      </c>
      <c r="AH326" s="143">
        <v>1359600</v>
      </c>
      <c r="AI326" s="63" t="s">
        <v>855</v>
      </c>
      <c r="AJ326" s="63">
        <v>226</v>
      </c>
      <c r="AK326" s="143">
        <f t="shared" ref="AK326:AK350" si="34">AD326-AH326</f>
        <v>0</v>
      </c>
      <c r="AL326" s="143">
        <v>1359600</v>
      </c>
      <c r="AM326" s="143">
        <f t="shared" si="33"/>
        <v>0</v>
      </c>
      <c r="AN326" s="133"/>
      <c r="AO326" s="144">
        <f t="shared" si="32"/>
        <v>0</v>
      </c>
      <c r="AP326" s="133"/>
      <c r="AQ326" s="133"/>
      <c r="AR326" s="133"/>
      <c r="AS326" s="133"/>
      <c r="AT326" s="133"/>
      <c r="AU326" s="220"/>
      <c r="AV326" s="220"/>
      <c r="AW326" s="220"/>
    </row>
    <row r="327" spans="1:49" s="221" customFormat="1" ht="384.75" x14ac:dyDescent="0.25">
      <c r="A327" s="63">
        <f t="shared" si="29"/>
        <v>141</v>
      </c>
      <c r="B327" s="128" t="str">
        <f t="shared" si="30"/>
        <v>208-141</v>
      </c>
      <c r="C327" s="129" t="s">
        <v>713</v>
      </c>
      <c r="D327" s="130" t="s">
        <v>714</v>
      </c>
      <c r="E327" s="145" t="s">
        <v>725</v>
      </c>
      <c r="F327" s="111" t="s">
        <v>52</v>
      </c>
      <c r="G327" s="145" t="s">
        <v>53</v>
      </c>
      <c r="H327" s="111" t="s">
        <v>733</v>
      </c>
      <c r="I327" s="111" t="s">
        <v>55</v>
      </c>
      <c r="J327" s="111" t="s">
        <v>56</v>
      </c>
      <c r="K327" s="63">
        <v>801116</v>
      </c>
      <c r="L327" s="111" t="s">
        <v>720</v>
      </c>
      <c r="M327" s="111" t="s">
        <v>58</v>
      </c>
      <c r="N327" s="111" t="s">
        <v>59</v>
      </c>
      <c r="O327" s="111" t="s">
        <v>728</v>
      </c>
      <c r="P327" s="227" t="s">
        <v>854</v>
      </c>
      <c r="Q327" s="134">
        <f t="shared" si="31"/>
        <v>3172400</v>
      </c>
      <c r="R327" s="146">
        <v>1</v>
      </c>
      <c r="S327" s="136">
        <v>3172400</v>
      </c>
      <c r="T327" s="137" t="s">
        <v>747</v>
      </c>
      <c r="U327" s="148" t="s">
        <v>445</v>
      </c>
      <c r="V327" s="148" t="s">
        <v>844</v>
      </c>
      <c r="W327" s="153">
        <v>1</v>
      </c>
      <c r="X327" s="133">
        <v>139</v>
      </c>
      <c r="Y327" s="81">
        <v>43298</v>
      </c>
      <c r="Z327" s="136">
        <v>3172400</v>
      </c>
      <c r="AA327" s="140"/>
      <c r="AB327" s="141">
        <v>984</v>
      </c>
      <c r="AC327" s="150">
        <v>43299</v>
      </c>
      <c r="AD327" s="143">
        <v>3172400</v>
      </c>
      <c r="AE327" s="143">
        <f t="shared" si="28"/>
        <v>0</v>
      </c>
      <c r="AF327" s="133">
        <v>2518</v>
      </c>
      <c r="AG327" s="150">
        <v>43300</v>
      </c>
      <c r="AH327" s="143">
        <v>3172400</v>
      </c>
      <c r="AI327" s="63" t="s">
        <v>855</v>
      </c>
      <c r="AJ327" s="63">
        <v>226</v>
      </c>
      <c r="AK327" s="143">
        <f t="shared" si="34"/>
        <v>0</v>
      </c>
      <c r="AL327" s="143">
        <v>3172400</v>
      </c>
      <c r="AM327" s="143">
        <f t="shared" si="33"/>
        <v>0</v>
      </c>
      <c r="AN327" s="133"/>
      <c r="AO327" s="144">
        <f t="shared" si="32"/>
        <v>0</v>
      </c>
      <c r="AP327" s="133"/>
      <c r="AQ327" s="133"/>
      <c r="AR327" s="133"/>
      <c r="AS327" s="133"/>
      <c r="AT327" s="133"/>
      <c r="AU327" s="220"/>
      <c r="AV327" s="220"/>
      <c r="AW327" s="220"/>
    </row>
    <row r="328" spans="1:49" s="221" customFormat="1" ht="399" x14ac:dyDescent="0.25">
      <c r="A328" s="63">
        <f t="shared" si="29"/>
        <v>142</v>
      </c>
      <c r="B328" s="128" t="str">
        <f t="shared" si="30"/>
        <v>208-142</v>
      </c>
      <c r="C328" s="129" t="s">
        <v>713</v>
      </c>
      <c r="D328" s="130" t="s">
        <v>714</v>
      </c>
      <c r="E328" s="131" t="s">
        <v>715</v>
      </c>
      <c r="F328" s="111" t="s">
        <v>52</v>
      </c>
      <c r="G328" s="145" t="s">
        <v>53</v>
      </c>
      <c r="H328" s="111" t="s">
        <v>733</v>
      </c>
      <c r="I328" s="111" t="s">
        <v>55</v>
      </c>
      <c r="J328" s="111" t="s">
        <v>56</v>
      </c>
      <c r="K328" s="63">
        <v>801116</v>
      </c>
      <c r="L328" s="111" t="s">
        <v>720</v>
      </c>
      <c r="M328" s="111" t="s">
        <v>58</v>
      </c>
      <c r="N328" s="111" t="s">
        <v>59</v>
      </c>
      <c r="O328" s="111" t="s">
        <v>728</v>
      </c>
      <c r="P328" s="227" t="s">
        <v>856</v>
      </c>
      <c r="Q328" s="134">
        <f t="shared" si="31"/>
        <v>1066050</v>
      </c>
      <c r="R328" s="146">
        <v>1</v>
      </c>
      <c r="S328" s="136">
        <v>5330250</v>
      </c>
      <c r="T328" s="137" t="s">
        <v>747</v>
      </c>
      <c r="U328" s="148" t="s">
        <v>445</v>
      </c>
      <c r="V328" s="148" t="s">
        <v>844</v>
      </c>
      <c r="W328" s="153">
        <v>5</v>
      </c>
      <c r="X328" s="133">
        <v>140</v>
      </c>
      <c r="Y328" s="81">
        <v>43298</v>
      </c>
      <c r="Z328" s="136">
        <v>5330250</v>
      </c>
      <c r="AA328" s="140"/>
      <c r="AB328" s="141">
        <v>987</v>
      </c>
      <c r="AC328" s="81">
        <v>43299</v>
      </c>
      <c r="AD328" s="151">
        <v>5330250</v>
      </c>
      <c r="AE328" s="143">
        <f t="shared" si="28"/>
        <v>0</v>
      </c>
      <c r="AF328" s="133">
        <v>2597</v>
      </c>
      <c r="AG328" s="81">
        <v>43315</v>
      </c>
      <c r="AH328" s="143">
        <v>5330250</v>
      </c>
      <c r="AI328" s="63" t="s">
        <v>857</v>
      </c>
      <c r="AJ328" s="63">
        <v>476</v>
      </c>
      <c r="AK328" s="143">
        <f t="shared" si="34"/>
        <v>0</v>
      </c>
      <c r="AL328" s="143">
        <v>1030515</v>
      </c>
      <c r="AM328" s="143">
        <f t="shared" si="33"/>
        <v>4299735</v>
      </c>
      <c r="AN328" s="133"/>
      <c r="AO328" s="144">
        <f t="shared" si="32"/>
        <v>0</v>
      </c>
      <c r="AP328" s="133"/>
      <c r="AQ328" s="133"/>
      <c r="AR328" s="133"/>
      <c r="AS328" s="133"/>
      <c r="AT328" s="133"/>
      <c r="AU328" s="220"/>
      <c r="AV328" s="220"/>
      <c r="AW328" s="220"/>
    </row>
    <row r="329" spans="1:49" s="221" customFormat="1" ht="370.5" x14ac:dyDescent="0.25">
      <c r="A329" s="63">
        <f t="shared" si="29"/>
        <v>143</v>
      </c>
      <c r="B329" s="128" t="str">
        <f t="shared" si="30"/>
        <v>208-143</v>
      </c>
      <c r="C329" s="129" t="s">
        <v>713</v>
      </c>
      <c r="D329" s="130" t="s">
        <v>714</v>
      </c>
      <c r="E329" s="145" t="s">
        <v>725</v>
      </c>
      <c r="F329" s="111" t="s">
        <v>52</v>
      </c>
      <c r="G329" s="145" t="s">
        <v>53</v>
      </c>
      <c r="H329" s="111" t="s">
        <v>733</v>
      </c>
      <c r="I329" s="111" t="s">
        <v>55</v>
      </c>
      <c r="J329" s="111" t="s">
        <v>56</v>
      </c>
      <c r="K329" s="63">
        <v>801116</v>
      </c>
      <c r="L329" s="111" t="s">
        <v>720</v>
      </c>
      <c r="M329" s="111" t="s">
        <v>58</v>
      </c>
      <c r="N329" s="111" t="s">
        <v>59</v>
      </c>
      <c r="O329" s="111" t="s">
        <v>728</v>
      </c>
      <c r="P329" s="227" t="s">
        <v>856</v>
      </c>
      <c r="Q329" s="134">
        <f t="shared" si="31"/>
        <v>2487450</v>
      </c>
      <c r="R329" s="146">
        <v>1</v>
      </c>
      <c r="S329" s="136">
        <v>12437250</v>
      </c>
      <c r="T329" s="137" t="s">
        <v>747</v>
      </c>
      <c r="U329" s="148" t="s">
        <v>445</v>
      </c>
      <c r="V329" s="148" t="s">
        <v>844</v>
      </c>
      <c r="W329" s="153">
        <v>5</v>
      </c>
      <c r="X329" s="133">
        <v>141</v>
      </c>
      <c r="Y329" s="81">
        <v>43298</v>
      </c>
      <c r="Z329" s="136">
        <v>12437250</v>
      </c>
      <c r="AA329" s="140"/>
      <c r="AB329" s="141">
        <v>987</v>
      </c>
      <c r="AC329" s="150">
        <v>43299</v>
      </c>
      <c r="AD329" s="151">
        <v>12437250</v>
      </c>
      <c r="AE329" s="143">
        <f t="shared" si="28"/>
        <v>0</v>
      </c>
      <c r="AF329" s="133">
        <v>2597</v>
      </c>
      <c r="AG329" s="81">
        <v>43315</v>
      </c>
      <c r="AH329" s="143">
        <v>12437250</v>
      </c>
      <c r="AI329" s="63" t="s">
        <v>857</v>
      </c>
      <c r="AJ329" s="63">
        <v>476</v>
      </c>
      <c r="AK329" s="143">
        <f t="shared" si="34"/>
        <v>0</v>
      </c>
      <c r="AL329" s="143">
        <v>2404535</v>
      </c>
      <c r="AM329" s="143">
        <f t="shared" si="33"/>
        <v>10032715</v>
      </c>
      <c r="AN329" s="133"/>
      <c r="AO329" s="144">
        <f t="shared" si="32"/>
        <v>0</v>
      </c>
      <c r="AP329" s="133"/>
      <c r="AQ329" s="133"/>
      <c r="AR329" s="133"/>
      <c r="AS329" s="133"/>
      <c r="AT329" s="133"/>
      <c r="AU329" s="220"/>
      <c r="AV329" s="220"/>
      <c r="AW329" s="220"/>
    </row>
    <row r="330" spans="1:49" s="221" customFormat="1" ht="399" x14ac:dyDescent="0.25">
      <c r="A330" s="63">
        <f t="shared" si="29"/>
        <v>144</v>
      </c>
      <c r="B330" s="128" t="str">
        <f t="shared" si="30"/>
        <v>208-144</v>
      </c>
      <c r="C330" s="129" t="s">
        <v>713</v>
      </c>
      <c r="D330" s="130" t="s">
        <v>714</v>
      </c>
      <c r="E330" s="131" t="s">
        <v>715</v>
      </c>
      <c r="F330" s="111" t="s">
        <v>52</v>
      </c>
      <c r="G330" s="145" t="s">
        <v>53</v>
      </c>
      <c r="H330" s="111" t="s">
        <v>733</v>
      </c>
      <c r="I330" s="111" t="s">
        <v>55</v>
      </c>
      <c r="J330" s="111" t="s">
        <v>56</v>
      </c>
      <c r="K330" s="63">
        <v>801116</v>
      </c>
      <c r="L330" s="111" t="s">
        <v>720</v>
      </c>
      <c r="M330" s="111" t="s">
        <v>58</v>
      </c>
      <c r="N330" s="111" t="s">
        <v>59</v>
      </c>
      <c r="O330" s="111" t="s">
        <v>728</v>
      </c>
      <c r="P330" s="227" t="s">
        <v>795</v>
      </c>
      <c r="Q330" s="134">
        <f t="shared" si="31"/>
        <v>1066050</v>
      </c>
      <c r="R330" s="146">
        <v>1</v>
      </c>
      <c r="S330" s="136">
        <v>5330250</v>
      </c>
      <c r="T330" s="137" t="s">
        <v>747</v>
      </c>
      <c r="U330" s="148" t="s">
        <v>445</v>
      </c>
      <c r="V330" s="148" t="s">
        <v>844</v>
      </c>
      <c r="W330" s="153">
        <v>5</v>
      </c>
      <c r="X330" s="133">
        <v>142</v>
      </c>
      <c r="Y330" s="81">
        <v>43298</v>
      </c>
      <c r="Z330" s="136">
        <v>5330250</v>
      </c>
      <c r="AA330" s="140"/>
      <c r="AB330" s="141">
        <v>986</v>
      </c>
      <c r="AC330" s="150">
        <v>43299</v>
      </c>
      <c r="AD330" s="143">
        <v>4974900</v>
      </c>
      <c r="AE330" s="143">
        <f t="shared" si="28"/>
        <v>355350</v>
      </c>
      <c r="AF330" s="133">
        <v>2647</v>
      </c>
      <c r="AG330" s="81">
        <v>43326</v>
      </c>
      <c r="AH330" s="143">
        <v>4974900</v>
      </c>
      <c r="AI330" s="63" t="s">
        <v>858</v>
      </c>
      <c r="AJ330" s="63">
        <v>487</v>
      </c>
      <c r="AK330" s="143">
        <f t="shared" si="34"/>
        <v>0</v>
      </c>
      <c r="AL330" s="143">
        <v>497490</v>
      </c>
      <c r="AM330" s="143">
        <f t="shared" si="33"/>
        <v>4477410</v>
      </c>
      <c r="AN330" s="133"/>
      <c r="AO330" s="144">
        <f t="shared" si="32"/>
        <v>355350</v>
      </c>
      <c r="AP330" s="133"/>
      <c r="AQ330" s="133"/>
      <c r="AR330" s="133"/>
      <c r="AS330" s="133"/>
      <c r="AT330" s="133"/>
      <c r="AU330" s="220"/>
      <c r="AV330" s="220"/>
      <c r="AW330" s="220"/>
    </row>
    <row r="331" spans="1:49" s="221" customFormat="1" ht="370.5" x14ac:dyDescent="0.25">
      <c r="A331" s="63">
        <f t="shared" si="29"/>
        <v>145</v>
      </c>
      <c r="B331" s="128" t="str">
        <f t="shared" si="30"/>
        <v>208-145</v>
      </c>
      <c r="C331" s="129" t="s">
        <v>713</v>
      </c>
      <c r="D331" s="130" t="s">
        <v>714</v>
      </c>
      <c r="E331" s="145" t="s">
        <v>725</v>
      </c>
      <c r="F331" s="111" t="s">
        <v>52</v>
      </c>
      <c r="G331" s="145" t="s">
        <v>53</v>
      </c>
      <c r="H331" s="111" t="s">
        <v>733</v>
      </c>
      <c r="I331" s="111" t="s">
        <v>55</v>
      </c>
      <c r="J331" s="111" t="s">
        <v>56</v>
      </c>
      <c r="K331" s="63">
        <v>801116</v>
      </c>
      <c r="L331" s="111" t="s">
        <v>720</v>
      </c>
      <c r="M331" s="111" t="s">
        <v>58</v>
      </c>
      <c r="N331" s="111" t="s">
        <v>59</v>
      </c>
      <c r="O331" s="111" t="s">
        <v>728</v>
      </c>
      <c r="P331" s="227" t="s">
        <v>795</v>
      </c>
      <c r="Q331" s="134">
        <f t="shared" si="31"/>
        <v>2487100</v>
      </c>
      <c r="R331" s="146">
        <v>1</v>
      </c>
      <c r="S331" s="136">
        <v>12435500</v>
      </c>
      <c r="T331" s="137" t="s">
        <v>747</v>
      </c>
      <c r="U331" s="148" t="s">
        <v>445</v>
      </c>
      <c r="V331" s="148" t="s">
        <v>844</v>
      </c>
      <c r="W331" s="153">
        <v>5</v>
      </c>
      <c r="X331" s="133">
        <v>143</v>
      </c>
      <c r="Y331" s="81">
        <v>43298</v>
      </c>
      <c r="Z331" s="136">
        <v>12435500</v>
      </c>
      <c r="AA331" s="140"/>
      <c r="AB331" s="141">
        <v>986</v>
      </c>
      <c r="AC331" s="150">
        <v>43299</v>
      </c>
      <c r="AD331" s="143">
        <v>11608100</v>
      </c>
      <c r="AE331" s="143">
        <f t="shared" si="28"/>
        <v>827400</v>
      </c>
      <c r="AF331" s="133">
        <v>2647</v>
      </c>
      <c r="AG331" s="81">
        <v>43326</v>
      </c>
      <c r="AH331" s="143">
        <v>11608100</v>
      </c>
      <c r="AI331" s="63" t="s">
        <v>858</v>
      </c>
      <c r="AJ331" s="63">
        <v>487</v>
      </c>
      <c r="AK331" s="143">
        <f t="shared" si="34"/>
        <v>0</v>
      </c>
      <c r="AL331" s="143">
        <v>1160810</v>
      </c>
      <c r="AM331" s="143">
        <f t="shared" si="33"/>
        <v>10447290</v>
      </c>
      <c r="AN331" s="133"/>
      <c r="AO331" s="144">
        <f t="shared" si="32"/>
        <v>827400</v>
      </c>
      <c r="AP331" s="133"/>
      <c r="AQ331" s="133"/>
      <c r="AR331" s="133"/>
      <c r="AS331" s="133"/>
      <c r="AT331" s="133"/>
      <c r="AU331" s="220"/>
      <c r="AV331" s="220"/>
      <c r="AW331" s="220"/>
    </row>
    <row r="332" spans="1:49" s="221" customFormat="1" ht="399" x14ac:dyDescent="0.25">
      <c r="A332" s="63">
        <f t="shared" si="29"/>
        <v>146</v>
      </c>
      <c r="B332" s="128" t="str">
        <f t="shared" si="30"/>
        <v>208-146</v>
      </c>
      <c r="C332" s="129" t="s">
        <v>713</v>
      </c>
      <c r="D332" s="130" t="s">
        <v>714</v>
      </c>
      <c r="E332" s="131" t="s">
        <v>715</v>
      </c>
      <c r="F332" s="111" t="s">
        <v>52</v>
      </c>
      <c r="G332" s="145" t="s">
        <v>53</v>
      </c>
      <c r="H332" s="111" t="s">
        <v>733</v>
      </c>
      <c r="I332" s="111" t="s">
        <v>55</v>
      </c>
      <c r="J332" s="111" t="s">
        <v>56</v>
      </c>
      <c r="K332" s="63">
        <v>801116</v>
      </c>
      <c r="L332" s="111" t="s">
        <v>720</v>
      </c>
      <c r="M332" s="111" t="s">
        <v>58</v>
      </c>
      <c r="N332" s="111" t="s">
        <v>59</v>
      </c>
      <c r="O332" s="111" t="s">
        <v>728</v>
      </c>
      <c r="P332" s="227" t="s">
        <v>774</v>
      </c>
      <c r="Q332" s="134">
        <f t="shared" si="31"/>
        <v>463500</v>
      </c>
      <c r="R332" s="146">
        <v>1</v>
      </c>
      <c r="S332" s="136">
        <v>2317500</v>
      </c>
      <c r="T332" s="137" t="s">
        <v>747</v>
      </c>
      <c r="U332" s="148" t="s">
        <v>445</v>
      </c>
      <c r="V332" s="148" t="s">
        <v>844</v>
      </c>
      <c r="W332" s="153">
        <v>5</v>
      </c>
      <c r="X332" s="133">
        <v>144</v>
      </c>
      <c r="Y332" s="81">
        <v>43298</v>
      </c>
      <c r="Z332" s="136">
        <v>2317500</v>
      </c>
      <c r="AA332" s="140"/>
      <c r="AB332" s="141">
        <v>989</v>
      </c>
      <c r="AC332" s="81">
        <v>43299</v>
      </c>
      <c r="AD332" s="143">
        <v>2023950</v>
      </c>
      <c r="AE332" s="143">
        <f t="shared" si="28"/>
        <v>293550</v>
      </c>
      <c r="AF332" s="133">
        <v>2723</v>
      </c>
      <c r="AG332" s="74">
        <v>43335</v>
      </c>
      <c r="AH332" s="143">
        <v>2023950</v>
      </c>
      <c r="AI332" s="63" t="s">
        <v>859</v>
      </c>
      <c r="AJ332" s="63">
        <v>518</v>
      </c>
      <c r="AK332" s="143">
        <f t="shared" si="34"/>
        <v>0</v>
      </c>
      <c r="AL332" s="143">
        <v>108150</v>
      </c>
      <c r="AM332" s="143">
        <f t="shared" si="33"/>
        <v>1915800</v>
      </c>
      <c r="AN332" s="133"/>
      <c r="AO332" s="144">
        <f t="shared" si="32"/>
        <v>293550</v>
      </c>
      <c r="AP332" s="133"/>
      <c r="AQ332" s="133"/>
      <c r="AR332" s="133"/>
      <c r="AS332" s="133"/>
      <c r="AT332" s="133"/>
      <c r="AU332" s="220"/>
      <c r="AV332" s="220"/>
      <c r="AW332" s="220"/>
    </row>
    <row r="333" spans="1:49" s="221" customFormat="1" ht="370.5" x14ac:dyDescent="0.25">
      <c r="A333" s="63">
        <f t="shared" si="29"/>
        <v>147</v>
      </c>
      <c r="B333" s="128" t="str">
        <f t="shared" si="30"/>
        <v>208-147</v>
      </c>
      <c r="C333" s="129" t="s">
        <v>713</v>
      </c>
      <c r="D333" s="130" t="s">
        <v>714</v>
      </c>
      <c r="E333" s="145" t="s">
        <v>725</v>
      </c>
      <c r="F333" s="111" t="s">
        <v>52</v>
      </c>
      <c r="G333" s="145" t="s">
        <v>53</v>
      </c>
      <c r="H333" s="111" t="s">
        <v>733</v>
      </c>
      <c r="I333" s="111" t="s">
        <v>55</v>
      </c>
      <c r="J333" s="111" t="s">
        <v>56</v>
      </c>
      <c r="K333" s="63">
        <v>801116</v>
      </c>
      <c r="L333" s="111" t="s">
        <v>720</v>
      </c>
      <c r="M333" s="111" t="s">
        <v>58</v>
      </c>
      <c r="N333" s="111" t="s">
        <v>59</v>
      </c>
      <c r="O333" s="111" t="s">
        <v>728</v>
      </c>
      <c r="P333" s="227" t="s">
        <v>774</v>
      </c>
      <c r="Q333" s="134">
        <f t="shared" si="31"/>
        <v>1081500</v>
      </c>
      <c r="R333" s="146">
        <v>1</v>
      </c>
      <c r="S333" s="136">
        <v>5407500</v>
      </c>
      <c r="T333" s="137" t="s">
        <v>747</v>
      </c>
      <c r="U333" s="148" t="s">
        <v>445</v>
      </c>
      <c r="V333" s="148" t="s">
        <v>844</v>
      </c>
      <c r="W333" s="153">
        <v>5</v>
      </c>
      <c r="X333" s="133">
        <v>145</v>
      </c>
      <c r="Y333" s="81">
        <v>43298</v>
      </c>
      <c r="Z333" s="136">
        <v>5407500</v>
      </c>
      <c r="AA333" s="140"/>
      <c r="AB333" s="141">
        <v>989</v>
      </c>
      <c r="AC333" s="81">
        <v>43299</v>
      </c>
      <c r="AD333" s="143">
        <v>4722550</v>
      </c>
      <c r="AE333" s="143">
        <f t="shared" si="28"/>
        <v>684950</v>
      </c>
      <c r="AF333" s="133">
        <v>2723</v>
      </c>
      <c r="AG333" s="74">
        <v>43335</v>
      </c>
      <c r="AH333" s="143">
        <v>4722550</v>
      </c>
      <c r="AI333" s="63" t="s">
        <v>859</v>
      </c>
      <c r="AJ333" s="63">
        <v>518</v>
      </c>
      <c r="AK333" s="143">
        <f t="shared" si="34"/>
        <v>0</v>
      </c>
      <c r="AL333" s="143">
        <v>252349.99999999997</v>
      </c>
      <c r="AM333" s="143">
        <f t="shared" si="33"/>
        <v>4470200</v>
      </c>
      <c r="AN333" s="133"/>
      <c r="AO333" s="144">
        <f t="shared" si="32"/>
        <v>684950</v>
      </c>
      <c r="AP333" s="133"/>
      <c r="AQ333" s="133"/>
      <c r="AR333" s="133"/>
      <c r="AS333" s="133"/>
      <c r="AT333" s="133"/>
      <c r="AU333" s="220"/>
      <c r="AV333" s="220"/>
      <c r="AW333" s="220"/>
    </row>
    <row r="334" spans="1:49" s="221" customFormat="1" ht="399" x14ac:dyDescent="0.25">
      <c r="A334" s="63">
        <f t="shared" si="29"/>
        <v>148</v>
      </c>
      <c r="B334" s="128" t="str">
        <f t="shared" si="30"/>
        <v>208-148</v>
      </c>
      <c r="C334" s="129" t="s">
        <v>713</v>
      </c>
      <c r="D334" s="130" t="s">
        <v>714</v>
      </c>
      <c r="E334" s="131" t="s">
        <v>715</v>
      </c>
      <c r="F334" s="111" t="s">
        <v>52</v>
      </c>
      <c r="G334" s="145" t="s">
        <v>53</v>
      </c>
      <c r="H334" s="111" t="s">
        <v>733</v>
      </c>
      <c r="I334" s="111" t="s">
        <v>55</v>
      </c>
      <c r="J334" s="111" t="s">
        <v>56</v>
      </c>
      <c r="K334" s="63">
        <v>801116</v>
      </c>
      <c r="L334" s="111" t="s">
        <v>720</v>
      </c>
      <c r="M334" s="111" t="s">
        <v>58</v>
      </c>
      <c r="N334" s="111" t="s">
        <v>59</v>
      </c>
      <c r="O334" s="111" t="s">
        <v>728</v>
      </c>
      <c r="P334" s="227" t="s">
        <v>860</v>
      </c>
      <c r="Q334" s="134">
        <f t="shared" si="31"/>
        <v>1854000</v>
      </c>
      <c r="R334" s="146">
        <v>1</v>
      </c>
      <c r="S334" s="136">
        <v>9270000</v>
      </c>
      <c r="T334" s="137" t="s">
        <v>747</v>
      </c>
      <c r="U334" s="148" t="s">
        <v>445</v>
      </c>
      <c r="V334" s="148" t="s">
        <v>431</v>
      </c>
      <c r="W334" s="153">
        <v>5</v>
      </c>
      <c r="X334" s="133">
        <v>146</v>
      </c>
      <c r="Y334" s="81">
        <v>43306</v>
      </c>
      <c r="Z334" s="136">
        <v>9270000</v>
      </c>
      <c r="AA334" s="140"/>
      <c r="AB334" s="141">
        <v>1004</v>
      </c>
      <c r="AC334" s="81">
        <v>43308</v>
      </c>
      <c r="AD334" s="151">
        <v>9270000</v>
      </c>
      <c r="AE334" s="143">
        <f t="shared" si="28"/>
        <v>0</v>
      </c>
      <c r="AF334" s="133">
        <v>2652</v>
      </c>
      <c r="AG334" s="81">
        <v>43326</v>
      </c>
      <c r="AH334" s="143">
        <v>9270000</v>
      </c>
      <c r="AI334" s="63" t="s">
        <v>861</v>
      </c>
      <c r="AJ334" s="63">
        <v>1004</v>
      </c>
      <c r="AK334" s="143">
        <f t="shared" si="34"/>
        <v>0</v>
      </c>
      <c r="AL334" s="143">
        <v>927000</v>
      </c>
      <c r="AM334" s="143">
        <f t="shared" si="33"/>
        <v>8343000</v>
      </c>
      <c r="AN334" s="133"/>
      <c r="AO334" s="144">
        <f t="shared" si="32"/>
        <v>0</v>
      </c>
      <c r="AP334" s="133"/>
      <c r="AQ334" s="133"/>
      <c r="AR334" s="133"/>
      <c r="AS334" s="133"/>
      <c r="AT334" s="133"/>
      <c r="AU334" s="220"/>
      <c r="AV334" s="220"/>
      <c r="AW334" s="220"/>
    </row>
    <row r="335" spans="1:49" s="221" customFormat="1" ht="370.5" x14ac:dyDescent="0.25">
      <c r="A335" s="63">
        <f t="shared" si="29"/>
        <v>149</v>
      </c>
      <c r="B335" s="128" t="str">
        <f t="shared" si="30"/>
        <v>208-149</v>
      </c>
      <c r="C335" s="129" t="s">
        <v>713</v>
      </c>
      <c r="D335" s="130" t="s">
        <v>714</v>
      </c>
      <c r="E335" s="145" t="s">
        <v>725</v>
      </c>
      <c r="F335" s="111" t="s">
        <v>52</v>
      </c>
      <c r="G335" s="145" t="s">
        <v>53</v>
      </c>
      <c r="H335" s="111" t="s">
        <v>733</v>
      </c>
      <c r="I335" s="111" t="s">
        <v>55</v>
      </c>
      <c r="J335" s="111" t="s">
        <v>56</v>
      </c>
      <c r="K335" s="63">
        <v>801116</v>
      </c>
      <c r="L335" s="111" t="s">
        <v>720</v>
      </c>
      <c r="M335" s="111" t="s">
        <v>58</v>
      </c>
      <c r="N335" s="111" t="s">
        <v>59</v>
      </c>
      <c r="O335" s="111" t="s">
        <v>728</v>
      </c>
      <c r="P335" s="227" t="s">
        <v>860</v>
      </c>
      <c r="Q335" s="134">
        <f t="shared" si="31"/>
        <v>4326000</v>
      </c>
      <c r="R335" s="146">
        <v>1</v>
      </c>
      <c r="S335" s="136">
        <v>21630000</v>
      </c>
      <c r="T335" s="137" t="s">
        <v>747</v>
      </c>
      <c r="U335" s="148" t="s">
        <v>445</v>
      </c>
      <c r="V335" s="148" t="s">
        <v>431</v>
      </c>
      <c r="W335" s="153">
        <v>5</v>
      </c>
      <c r="X335" s="133">
        <v>147</v>
      </c>
      <c r="Y335" s="81">
        <v>43306</v>
      </c>
      <c r="Z335" s="136">
        <v>21630000</v>
      </c>
      <c r="AA335" s="140"/>
      <c r="AB335" s="141">
        <v>1004</v>
      </c>
      <c r="AC335" s="81">
        <v>43308</v>
      </c>
      <c r="AD335" s="151">
        <v>21630000</v>
      </c>
      <c r="AE335" s="143">
        <f t="shared" si="28"/>
        <v>0</v>
      </c>
      <c r="AF335" s="133">
        <v>2652</v>
      </c>
      <c r="AG335" s="81">
        <v>43326</v>
      </c>
      <c r="AH335" s="143">
        <v>21630000</v>
      </c>
      <c r="AI335" s="63" t="s">
        <v>861</v>
      </c>
      <c r="AJ335" s="63">
        <v>1004</v>
      </c>
      <c r="AK335" s="143">
        <f t="shared" si="34"/>
        <v>0</v>
      </c>
      <c r="AL335" s="143">
        <v>2163000</v>
      </c>
      <c r="AM335" s="143">
        <f t="shared" si="33"/>
        <v>19467000</v>
      </c>
      <c r="AN335" s="133"/>
      <c r="AO335" s="144">
        <f t="shared" si="32"/>
        <v>0</v>
      </c>
      <c r="AP335" s="133"/>
      <c r="AQ335" s="133"/>
      <c r="AR335" s="133"/>
      <c r="AS335" s="133"/>
      <c r="AT335" s="133"/>
      <c r="AU335" s="220"/>
      <c r="AV335" s="220"/>
      <c r="AW335" s="220"/>
    </row>
    <row r="336" spans="1:49" s="221" customFormat="1" ht="370.5" x14ac:dyDescent="0.25">
      <c r="A336" s="63">
        <f t="shared" si="29"/>
        <v>150</v>
      </c>
      <c r="B336" s="128" t="str">
        <f t="shared" si="30"/>
        <v>208-150</v>
      </c>
      <c r="C336" s="129" t="s">
        <v>713</v>
      </c>
      <c r="D336" s="130" t="s">
        <v>714</v>
      </c>
      <c r="E336" s="145" t="s">
        <v>725</v>
      </c>
      <c r="F336" s="132" t="s">
        <v>577</v>
      </c>
      <c r="G336" s="131" t="s">
        <v>716</v>
      </c>
      <c r="H336" s="132" t="s">
        <v>717</v>
      </c>
      <c r="I336" s="111" t="s">
        <v>55</v>
      </c>
      <c r="J336" s="111" t="s">
        <v>56</v>
      </c>
      <c r="K336" s="133"/>
      <c r="L336" s="111" t="s">
        <v>720</v>
      </c>
      <c r="M336" s="111" t="s">
        <v>58</v>
      </c>
      <c r="N336" s="111" t="s">
        <v>59</v>
      </c>
      <c r="O336" s="111" t="s">
        <v>721</v>
      </c>
      <c r="P336" s="227" t="s">
        <v>862</v>
      </c>
      <c r="Q336" s="134">
        <f t="shared" si="31"/>
        <v>625000</v>
      </c>
      <c r="R336" s="146">
        <v>1</v>
      </c>
      <c r="S336" s="136">
        <v>2500000</v>
      </c>
      <c r="T336" s="137" t="s">
        <v>613</v>
      </c>
      <c r="U336" s="128" t="s">
        <v>723</v>
      </c>
      <c r="V336" s="138" t="s">
        <v>431</v>
      </c>
      <c r="W336" s="147">
        <v>4</v>
      </c>
      <c r="X336" s="133">
        <v>148</v>
      </c>
      <c r="Y336" s="81">
        <v>43312</v>
      </c>
      <c r="Z336" s="136">
        <v>2500000</v>
      </c>
      <c r="AA336" s="140"/>
      <c r="AB336" s="141">
        <v>1016</v>
      </c>
      <c r="AC336" s="81">
        <v>43312</v>
      </c>
      <c r="AD336" s="151">
        <v>2500000</v>
      </c>
      <c r="AE336" s="143">
        <f t="shared" si="28"/>
        <v>0</v>
      </c>
      <c r="AF336" s="133"/>
      <c r="AG336" s="85"/>
      <c r="AH336" s="143"/>
      <c r="AI336" s="63"/>
      <c r="AJ336" s="63"/>
      <c r="AK336" s="143">
        <f t="shared" si="34"/>
        <v>2500000</v>
      </c>
      <c r="AL336" s="143"/>
      <c r="AM336" s="143">
        <f t="shared" si="33"/>
        <v>0</v>
      </c>
      <c r="AN336" s="133"/>
      <c r="AO336" s="144">
        <f t="shared" si="32"/>
        <v>2500000</v>
      </c>
      <c r="AP336" s="133"/>
      <c r="AQ336" s="133"/>
      <c r="AR336" s="133"/>
      <c r="AS336" s="133"/>
      <c r="AT336" s="133"/>
      <c r="AU336" s="220"/>
      <c r="AV336" s="220"/>
      <c r="AW336" s="220"/>
    </row>
    <row r="337" spans="1:49" s="221" customFormat="1" ht="409.5" x14ac:dyDescent="0.25">
      <c r="A337" s="63">
        <f t="shared" si="29"/>
        <v>151</v>
      </c>
      <c r="B337" s="128" t="str">
        <f t="shared" si="30"/>
        <v>208-151</v>
      </c>
      <c r="C337" s="129" t="s">
        <v>713</v>
      </c>
      <c r="D337" s="130" t="s">
        <v>714</v>
      </c>
      <c r="E337" s="145" t="s">
        <v>725</v>
      </c>
      <c r="F337" s="132" t="s">
        <v>577</v>
      </c>
      <c r="G337" s="131" t="s">
        <v>716</v>
      </c>
      <c r="H337" s="132" t="s">
        <v>717</v>
      </c>
      <c r="I337" s="111" t="s">
        <v>55</v>
      </c>
      <c r="J337" s="111" t="s">
        <v>56</v>
      </c>
      <c r="K337" s="133"/>
      <c r="L337" s="111" t="s">
        <v>720</v>
      </c>
      <c r="M337" s="111" t="s">
        <v>58</v>
      </c>
      <c r="N337" s="111" t="s">
        <v>59</v>
      </c>
      <c r="O337" s="111" t="s">
        <v>721</v>
      </c>
      <c r="P337" s="227" t="s">
        <v>863</v>
      </c>
      <c r="Q337" s="134">
        <f t="shared" si="31"/>
        <v>108476445</v>
      </c>
      <c r="R337" s="146">
        <v>1</v>
      </c>
      <c r="S337" s="136">
        <v>108476445</v>
      </c>
      <c r="T337" s="137" t="s">
        <v>864</v>
      </c>
      <c r="U337" s="128"/>
      <c r="V337" s="138" t="s">
        <v>431</v>
      </c>
      <c r="W337" s="147">
        <v>1</v>
      </c>
      <c r="X337" s="133">
        <v>149</v>
      </c>
      <c r="Y337" s="81">
        <v>43315</v>
      </c>
      <c r="Z337" s="136">
        <v>108476445</v>
      </c>
      <c r="AA337" s="140"/>
      <c r="AB337" s="141">
        <v>1030</v>
      </c>
      <c r="AC337" s="150">
        <v>43315</v>
      </c>
      <c r="AD337" s="143">
        <v>108476445</v>
      </c>
      <c r="AE337" s="143">
        <f t="shared" si="28"/>
        <v>0</v>
      </c>
      <c r="AF337" s="133">
        <v>2626</v>
      </c>
      <c r="AG337" s="81">
        <v>43325</v>
      </c>
      <c r="AH337" s="143">
        <v>108476445</v>
      </c>
      <c r="AI337" s="63" t="s">
        <v>865</v>
      </c>
      <c r="AJ337" s="63">
        <v>690</v>
      </c>
      <c r="AK337" s="143">
        <f t="shared" si="34"/>
        <v>0</v>
      </c>
      <c r="AL337" s="143"/>
      <c r="AM337" s="143">
        <f t="shared" si="33"/>
        <v>108476445</v>
      </c>
      <c r="AN337" s="133"/>
      <c r="AO337" s="144">
        <f t="shared" si="32"/>
        <v>0</v>
      </c>
      <c r="AP337" s="133"/>
      <c r="AQ337" s="133"/>
      <c r="AR337" s="133"/>
      <c r="AS337" s="133"/>
      <c r="AT337" s="133"/>
      <c r="AU337" s="220"/>
      <c r="AV337" s="220"/>
      <c r="AW337" s="220"/>
    </row>
    <row r="338" spans="1:49" s="221" customFormat="1" ht="409.5" x14ac:dyDescent="0.25">
      <c r="A338" s="63">
        <f t="shared" si="29"/>
        <v>152</v>
      </c>
      <c r="B338" s="128" t="str">
        <f t="shared" si="30"/>
        <v>208-152</v>
      </c>
      <c r="C338" s="129" t="s">
        <v>713</v>
      </c>
      <c r="D338" s="130" t="s">
        <v>714</v>
      </c>
      <c r="E338" s="145" t="s">
        <v>725</v>
      </c>
      <c r="F338" s="132" t="s">
        <v>577</v>
      </c>
      <c r="G338" s="131" t="s">
        <v>716</v>
      </c>
      <c r="H338" s="132" t="s">
        <v>717</v>
      </c>
      <c r="I338" s="111" t="s">
        <v>55</v>
      </c>
      <c r="J338" s="111" t="s">
        <v>56</v>
      </c>
      <c r="K338" s="133"/>
      <c r="L338" s="111" t="s">
        <v>720</v>
      </c>
      <c r="M338" s="111" t="s">
        <v>58</v>
      </c>
      <c r="N338" s="111" t="s">
        <v>59</v>
      </c>
      <c r="O338" s="111" t="s">
        <v>721</v>
      </c>
      <c r="P338" s="227" t="s">
        <v>866</v>
      </c>
      <c r="Q338" s="134">
        <f t="shared" si="31"/>
        <v>140048757</v>
      </c>
      <c r="R338" s="146">
        <v>1</v>
      </c>
      <c r="S338" s="136">
        <v>140048757</v>
      </c>
      <c r="T338" s="137" t="s">
        <v>864</v>
      </c>
      <c r="U338" s="128"/>
      <c r="V338" s="138" t="s">
        <v>431</v>
      </c>
      <c r="W338" s="147">
        <v>1</v>
      </c>
      <c r="X338" s="133">
        <v>150</v>
      </c>
      <c r="Y338" s="81">
        <v>43315</v>
      </c>
      <c r="Z338" s="136">
        <v>140048757</v>
      </c>
      <c r="AA338" s="140"/>
      <c r="AB338" s="141">
        <v>1031</v>
      </c>
      <c r="AC338" s="150">
        <v>43315</v>
      </c>
      <c r="AD338" s="143">
        <v>140048757</v>
      </c>
      <c r="AE338" s="143">
        <f t="shared" si="28"/>
        <v>0</v>
      </c>
      <c r="AF338" s="133">
        <v>2625</v>
      </c>
      <c r="AG338" s="81">
        <v>43325</v>
      </c>
      <c r="AH338" s="143">
        <v>140048757</v>
      </c>
      <c r="AI338" s="63" t="s">
        <v>867</v>
      </c>
      <c r="AJ338" s="63">
        <v>700</v>
      </c>
      <c r="AK338" s="143">
        <f t="shared" si="34"/>
        <v>0</v>
      </c>
      <c r="AL338" s="143"/>
      <c r="AM338" s="143">
        <f t="shared" si="33"/>
        <v>140048757</v>
      </c>
      <c r="AN338" s="133"/>
      <c r="AO338" s="144">
        <f t="shared" si="32"/>
        <v>0</v>
      </c>
      <c r="AP338" s="133"/>
      <c r="AQ338" s="133"/>
      <c r="AR338" s="133"/>
      <c r="AS338" s="133"/>
      <c r="AT338" s="133"/>
      <c r="AU338" s="220"/>
      <c r="AV338" s="220"/>
      <c r="AW338" s="220"/>
    </row>
    <row r="339" spans="1:49" s="221" customFormat="1" ht="409.5" x14ac:dyDescent="0.25">
      <c r="A339" s="63">
        <f t="shared" si="29"/>
        <v>153</v>
      </c>
      <c r="B339" s="128" t="str">
        <f t="shared" si="30"/>
        <v>208-153</v>
      </c>
      <c r="C339" s="129" t="s">
        <v>713</v>
      </c>
      <c r="D339" s="130" t="s">
        <v>714</v>
      </c>
      <c r="E339" s="145" t="s">
        <v>725</v>
      </c>
      <c r="F339" s="132" t="s">
        <v>577</v>
      </c>
      <c r="G339" s="131" t="s">
        <v>716</v>
      </c>
      <c r="H339" s="132" t="s">
        <v>717</v>
      </c>
      <c r="I339" s="111" t="s">
        <v>55</v>
      </c>
      <c r="J339" s="111" t="s">
        <v>56</v>
      </c>
      <c r="K339" s="133"/>
      <c r="L339" s="111" t="s">
        <v>720</v>
      </c>
      <c r="M339" s="111" t="s">
        <v>58</v>
      </c>
      <c r="N339" s="111" t="s">
        <v>59</v>
      </c>
      <c r="O339" s="111" t="s">
        <v>721</v>
      </c>
      <c r="P339" s="227" t="s">
        <v>868</v>
      </c>
      <c r="Q339" s="134">
        <f t="shared" si="31"/>
        <v>45018176</v>
      </c>
      <c r="R339" s="146">
        <v>1</v>
      </c>
      <c r="S339" s="136">
        <v>45018176</v>
      </c>
      <c r="T339" s="137" t="s">
        <v>864</v>
      </c>
      <c r="U339" s="128"/>
      <c r="V339" s="148" t="s">
        <v>431</v>
      </c>
      <c r="W339" s="147">
        <v>1</v>
      </c>
      <c r="X339" s="133">
        <v>151</v>
      </c>
      <c r="Y339" s="81">
        <v>43325</v>
      </c>
      <c r="Z339" s="136">
        <v>45018176</v>
      </c>
      <c r="AA339" s="140"/>
      <c r="AB339" s="141">
        <v>1061</v>
      </c>
      <c r="AC339" s="150">
        <v>43325</v>
      </c>
      <c r="AD339" s="143">
        <v>45018176</v>
      </c>
      <c r="AE339" s="143">
        <f t="shared" si="28"/>
        <v>0</v>
      </c>
      <c r="AF339" s="133">
        <v>2783</v>
      </c>
      <c r="AG339" s="81">
        <v>43346</v>
      </c>
      <c r="AH339" s="143">
        <v>45018176</v>
      </c>
      <c r="AI339" s="63" t="s">
        <v>869</v>
      </c>
      <c r="AJ339" s="63">
        <v>707</v>
      </c>
      <c r="AK339" s="143">
        <f t="shared" si="34"/>
        <v>0</v>
      </c>
      <c r="AL339" s="143"/>
      <c r="AM339" s="143">
        <f t="shared" si="33"/>
        <v>45018176</v>
      </c>
      <c r="AN339" s="133"/>
      <c r="AO339" s="144">
        <f t="shared" si="32"/>
        <v>0</v>
      </c>
      <c r="AP339" s="133"/>
      <c r="AQ339" s="133"/>
      <c r="AR339" s="133"/>
      <c r="AS339" s="133"/>
      <c r="AT339" s="133"/>
      <c r="AU339" s="220"/>
      <c r="AV339" s="220"/>
      <c r="AW339" s="220"/>
    </row>
    <row r="340" spans="1:49" s="221" customFormat="1" ht="409.5" x14ac:dyDescent="0.25">
      <c r="A340" s="63">
        <f t="shared" si="29"/>
        <v>154</v>
      </c>
      <c r="B340" s="128" t="str">
        <f t="shared" si="30"/>
        <v>208-154</v>
      </c>
      <c r="C340" s="129" t="s">
        <v>713</v>
      </c>
      <c r="D340" s="130" t="s">
        <v>714</v>
      </c>
      <c r="E340" s="145" t="s">
        <v>725</v>
      </c>
      <c r="F340" s="132" t="s">
        <v>577</v>
      </c>
      <c r="G340" s="131" t="s">
        <v>716</v>
      </c>
      <c r="H340" s="132" t="s">
        <v>717</v>
      </c>
      <c r="I340" s="111" t="s">
        <v>55</v>
      </c>
      <c r="J340" s="111" t="s">
        <v>56</v>
      </c>
      <c r="K340" s="133"/>
      <c r="L340" s="111" t="s">
        <v>720</v>
      </c>
      <c r="M340" s="111" t="s">
        <v>58</v>
      </c>
      <c r="N340" s="111" t="s">
        <v>59</v>
      </c>
      <c r="O340" s="111" t="s">
        <v>721</v>
      </c>
      <c r="P340" s="227" t="s">
        <v>870</v>
      </c>
      <c r="Q340" s="172">
        <f t="shared" si="31"/>
        <v>65605525</v>
      </c>
      <c r="R340" s="146">
        <v>1</v>
      </c>
      <c r="S340" s="136">
        <v>65605525</v>
      </c>
      <c r="T340" s="137" t="s">
        <v>864</v>
      </c>
      <c r="U340" s="128" t="s">
        <v>723</v>
      </c>
      <c r="V340" s="148" t="s">
        <v>431</v>
      </c>
      <c r="W340" s="147">
        <v>1</v>
      </c>
      <c r="X340" s="133">
        <v>152</v>
      </c>
      <c r="Y340" s="81">
        <v>43325</v>
      </c>
      <c r="Z340" s="136">
        <v>65605525</v>
      </c>
      <c r="AA340" s="140"/>
      <c r="AB340" s="141">
        <v>1064</v>
      </c>
      <c r="AC340" s="150">
        <v>43327</v>
      </c>
      <c r="AD340" s="143">
        <v>65605525</v>
      </c>
      <c r="AE340" s="143">
        <f t="shared" si="28"/>
        <v>0</v>
      </c>
      <c r="AF340" s="133">
        <v>2823</v>
      </c>
      <c r="AG340" s="81">
        <v>43348</v>
      </c>
      <c r="AH340" s="143">
        <v>65605525</v>
      </c>
      <c r="AI340" s="63" t="s">
        <v>871</v>
      </c>
      <c r="AJ340" s="63">
        <v>629</v>
      </c>
      <c r="AK340" s="143">
        <f t="shared" si="34"/>
        <v>0</v>
      </c>
      <c r="AL340" s="143"/>
      <c r="AM340" s="143">
        <f t="shared" si="33"/>
        <v>65605525</v>
      </c>
      <c r="AN340" s="133"/>
      <c r="AO340" s="144">
        <f t="shared" si="32"/>
        <v>0</v>
      </c>
      <c r="AP340" s="133"/>
      <c r="AQ340" s="133"/>
      <c r="AR340" s="133"/>
      <c r="AS340" s="133"/>
      <c r="AT340" s="133"/>
      <c r="AU340" s="220"/>
      <c r="AV340" s="220"/>
      <c r="AW340" s="220"/>
    </row>
    <row r="341" spans="1:49" s="221" customFormat="1" ht="399" x14ac:dyDescent="0.25">
      <c r="A341" s="63">
        <f t="shared" si="29"/>
        <v>155</v>
      </c>
      <c r="B341" s="128" t="str">
        <f t="shared" si="30"/>
        <v>208-155</v>
      </c>
      <c r="C341" s="129" t="s">
        <v>713</v>
      </c>
      <c r="D341" s="130" t="s">
        <v>714</v>
      </c>
      <c r="E341" s="131" t="s">
        <v>715</v>
      </c>
      <c r="F341" s="111" t="s">
        <v>425</v>
      </c>
      <c r="G341" s="145" t="s">
        <v>727</v>
      </c>
      <c r="H341" s="111" t="s">
        <v>427</v>
      </c>
      <c r="I341" s="111" t="s">
        <v>55</v>
      </c>
      <c r="J341" s="111" t="s">
        <v>56</v>
      </c>
      <c r="K341" s="63"/>
      <c r="L341" s="111" t="s">
        <v>720</v>
      </c>
      <c r="M341" s="111" t="s">
        <v>58</v>
      </c>
      <c r="N341" s="111" t="s">
        <v>59</v>
      </c>
      <c r="O341" s="111" t="s">
        <v>728</v>
      </c>
      <c r="P341" s="227" t="s">
        <v>872</v>
      </c>
      <c r="Q341" s="134">
        <f t="shared" si="31"/>
        <v>6000000</v>
      </c>
      <c r="R341" s="146">
        <v>1</v>
      </c>
      <c r="S341" s="136">
        <v>21000000</v>
      </c>
      <c r="T341" s="137" t="s">
        <v>747</v>
      </c>
      <c r="U341" s="148" t="s">
        <v>723</v>
      </c>
      <c r="V341" s="148" t="s">
        <v>431</v>
      </c>
      <c r="W341" s="147">
        <v>3.5</v>
      </c>
      <c r="X341" s="133">
        <v>153</v>
      </c>
      <c r="Y341" s="81">
        <v>43326</v>
      </c>
      <c r="Z341" s="136">
        <v>21000000</v>
      </c>
      <c r="AA341" s="140"/>
      <c r="AB341" s="141">
        <v>1062</v>
      </c>
      <c r="AC341" s="150">
        <v>43327</v>
      </c>
      <c r="AD341" s="143">
        <v>21000000</v>
      </c>
      <c r="AE341" s="143">
        <f t="shared" si="28"/>
        <v>0</v>
      </c>
      <c r="AF341" s="133"/>
      <c r="AG341" s="85"/>
      <c r="AH341" s="143"/>
      <c r="AI341" s="63"/>
      <c r="AJ341" s="63"/>
      <c r="AK341" s="143">
        <f t="shared" si="34"/>
        <v>21000000</v>
      </c>
      <c r="AL341" s="143"/>
      <c r="AM341" s="143">
        <f t="shared" si="33"/>
        <v>0</v>
      </c>
      <c r="AN341" s="133"/>
      <c r="AO341" s="144">
        <f t="shared" si="32"/>
        <v>21000000</v>
      </c>
      <c r="AP341" s="133"/>
      <c r="AQ341" s="133"/>
      <c r="AR341" s="133"/>
      <c r="AS341" s="133"/>
      <c r="AT341" s="133"/>
      <c r="AU341" s="220"/>
      <c r="AV341" s="220"/>
      <c r="AW341" s="220"/>
    </row>
    <row r="342" spans="1:49" s="221" customFormat="1" ht="370.5" x14ac:dyDescent="0.25">
      <c r="A342" s="63">
        <f t="shared" si="29"/>
        <v>156</v>
      </c>
      <c r="B342" s="128" t="str">
        <f t="shared" si="30"/>
        <v>208-156</v>
      </c>
      <c r="C342" s="129" t="s">
        <v>713</v>
      </c>
      <c r="D342" s="130" t="s">
        <v>714</v>
      </c>
      <c r="E342" s="145" t="s">
        <v>725</v>
      </c>
      <c r="F342" s="111" t="s">
        <v>425</v>
      </c>
      <c r="G342" s="145" t="s">
        <v>727</v>
      </c>
      <c r="H342" s="111" t="s">
        <v>427</v>
      </c>
      <c r="I342" s="111" t="s">
        <v>55</v>
      </c>
      <c r="J342" s="111" t="s">
        <v>56</v>
      </c>
      <c r="K342" s="63"/>
      <c r="L342" s="111" t="s">
        <v>720</v>
      </c>
      <c r="M342" s="111" t="s">
        <v>58</v>
      </c>
      <c r="N342" s="111" t="s">
        <v>59</v>
      </c>
      <c r="O342" s="111" t="s">
        <v>728</v>
      </c>
      <c r="P342" s="227" t="s">
        <v>872</v>
      </c>
      <c r="Q342" s="172">
        <f t="shared" si="31"/>
        <v>14000000</v>
      </c>
      <c r="R342" s="146">
        <v>1</v>
      </c>
      <c r="S342" s="136">
        <v>49000000</v>
      </c>
      <c r="T342" s="137" t="s">
        <v>747</v>
      </c>
      <c r="U342" s="148" t="s">
        <v>723</v>
      </c>
      <c r="V342" s="148" t="s">
        <v>431</v>
      </c>
      <c r="W342" s="147">
        <v>3.5</v>
      </c>
      <c r="X342" s="133">
        <v>154</v>
      </c>
      <c r="Y342" s="81">
        <v>43326</v>
      </c>
      <c r="Z342" s="136">
        <v>49000000</v>
      </c>
      <c r="AA342" s="140"/>
      <c r="AB342" s="141">
        <v>1062</v>
      </c>
      <c r="AC342" s="142">
        <v>43327</v>
      </c>
      <c r="AD342" s="143">
        <v>49000000</v>
      </c>
      <c r="AE342" s="143">
        <f t="shared" si="28"/>
        <v>0</v>
      </c>
      <c r="AF342" s="133"/>
      <c r="AG342" s="85"/>
      <c r="AH342" s="143"/>
      <c r="AI342" s="63"/>
      <c r="AJ342" s="63"/>
      <c r="AK342" s="143">
        <f t="shared" si="34"/>
        <v>49000000</v>
      </c>
      <c r="AL342" s="143"/>
      <c r="AM342" s="143">
        <f t="shared" si="33"/>
        <v>0</v>
      </c>
      <c r="AN342" s="133"/>
      <c r="AO342" s="144">
        <f t="shared" si="32"/>
        <v>49000000</v>
      </c>
      <c r="AP342" s="133"/>
      <c r="AQ342" s="133"/>
      <c r="AR342" s="133"/>
      <c r="AS342" s="133"/>
      <c r="AT342" s="133"/>
      <c r="AU342" s="220"/>
      <c r="AV342" s="220"/>
      <c r="AW342" s="220"/>
    </row>
    <row r="343" spans="1:49" s="221" customFormat="1" ht="399" x14ac:dyDescent="0.25">
      <c r="A343" s="63">
        <f t="shared" si="29"/>
        <v>157</v>
      </c>
      <c r="B343" s="128" t="str">
        <f t="shared" si="30"/>
        <v>208-157</v>
      </c>
      <c r="C343" s="129" t="s">
        <v>713</v>
      </c>
      <c r="D343" s="130" t="s">
        <v>714</v>
      </c>
      <c r="E343" s="131" t="s">
        <v>715</v>
      </c>
      <c r="F343" s="111" t="s">
        <v>52</v>
      </c>
      <c r="G343" s="145" t="s">
        <v>53</v>
      </c>
      <c r="H343" s="111" t="s">
        <v>733</v>
      </c>
      <c r="I343" s="111" t="s">
        <v>55</v>
      </c>
      <c r="J343" s="111" t="s">
        <v>56</v>
      </c>
      <c r="K343" s="63"/>
      <c r="L343" s="111" t="s">
        <v>720</v>
      </c>
      <c r="M343" s="111" t="s">
        <v>58</v>
      </c>
      <c r="N343" s="111" t="s">
        <v>59</v>
      </c>
      <c r="O343" s="111" t="s">
        <v>728</v>
      </c>
      <c r="P343" s="227" t="s">
        <v>873</v>
      </c>
      <c r="Q343" s="134">
        <f t="shared" si="31"/>
        <v>1359600</v>
      </c>
      <c r="R343" s="146">
        <v>1</v>
      </c>
      <c r="S343" s="134">
        <v>2719200</v>
      </c>
      <c r="T343" s="137" t="s">
        <v>864</v>
      </c>
      <c r="U343" s="148"/>
      <c r="V343" s="148" t="s">
        <v>431</v>
      </c>
      <c r="W343" s="153">
        <v>2</v>
      </c>
      <c r="X343" s="133">
        <v>155</v>
      </c>
      <c r="Y343" s="81">
        <v>43329</v>
      </c>
      <c r="Z343" s="136">
        <v>2719200</v>
      </c>
      <c r="AA343" s="140"/>
      <c r="AB343" s="141">
        <v>1070</v>
      </c>
      <c r="AC343" s="150">
        <v>43329</v>
      </c>
      <c r="AD343" s="143">
        <v>2719200</v>
      </c>
      <c r="AE343" s="143">
        <f t="shared" si="28"/>
        <v>0</v>
      </c>
      <c r="AF343" s="133">
        <v>2686</v>
      </c>
      <c r="AG343" s="81">
        <v>43329</v>
      </c>
      <c r="AH343" s="143">
        <v>2719200</v>
      </c>
      <c r="AI343" s="63" t="s">
        <v>855</v>
      </c>
      <c r="AJ343" s="63">
        <v>226</v>
      </c>
      <c r="AK343" s="143">
        <f t="shared" si="34"/>
        <v>0</v>
      </c>
      <c r="AL343" s="143">
        <v>453200.1</v>
      </c>
      <c r="AM343" s="143">
        <f t="shared" si="33"/>
        <v>2265999.9</v>
      </c>
      <c r="AN343" s="133"/>
      <c r="AO343" s="144">
        <f t="shared" si="32"/>
        <v>0</v>
      </c>
      <c r="AP343" s="133"/>
      <c r="AQ343" s="133"/>
      <c r="AR343" s="133"/>
      <c r="AS343" s="133"/>
      <c r="AT343" s="133"/>
      <c r="AU343" s="220"/>
      <c r="AV343" s="220"/>
      <c r="AW343" s="220"/>
    </row>
    <row r="344" spans="1:49" s="221" customFormat="1" ht="384.75" x14ac:dyDescent="0.25">
      <c r="A344" s="63">
        <f t="shared" si="29"/>
        <v>158</v>
      </c>
      <c r="B344" s="128" t="str">
        <f t="shared" si="30"/>
        <v>208-158</v>
      </c>
      <c r="C344" s="129" t="s">
        <v>713</v>
      </c>
      <c r="D344" s="130" t="s">
        <v>714</v>
      </c>
      <c r="E344" s="145" t="s">
        <v>725</v>
      </c>
      <c r="F344" s="111" t="s">
        <v>52</v>
      </c>
      <c r="G344" s="145" t="s">
        <v>53</v>
      </c>
      <c r="H344" s="111" t="s">
        <v>733</v>
      </c>
      <c r="I344" s="111" t="s">
        <v>55</v>
      </c>
      <c r="J344" s="111" t="s">
        <v>56</v>
      </c>
      <c r="K344" s="63"/>
      <c r="L344" s="111" t="s">
        <v>720</v>
      </c>
      <c r="M344" s="111" t="s">
        <v>58</v>
      </c>
      <c r="N344" s="111" t="s">
        <v>59</v>
      </c>
      <c r="O344" s="111" t="s">
        <v>728</v>
      </c>
      <c r="P344" s="227" t="s">
        <v>873</v>
      </c>
      <c r="Q344" s="134">
        <f t="shared" si="31"/>
        <v>3172400</v>
      </c>
      <c r="R344" s="146">
        <v>1</v>
      </c>
      <c r="S344" s="134">
        <v>6344800</v>
      </c>
      <c r="T344" s="137" t="s">
        <v>864</v>
      </c>
      <c r="U344" s="148"/>
      <c r="V344" s="148" t="s">
        <v>431</v>
      </c>
      <c r="W344" s="153">
        <v>2</v>
      </c>
      <c r="X344" s="133">
        <v>156</v>
      </c>
      <c r="Y344" s="81">
        <v>43329</v>
      </c>
      <c r="Z344" s="136">
        <v>6344800</v>
      </c>
      <c r="AA344" s="140"/>
      <c r="AB344" s="141">
        <v>1070</v>
      </c>
      <c r="AC344" s="142">
        <v>43329</v>
      </c>
      <c r="AD344" s="143">
        <v>6344800</v>
      </c>
      <c r="AE344" s="143">
        <f t="shared" si="28"/>
        <v>0</v>
      </c>
      <c r="AF344" s="133">
        <v>2686</v>
      </c>
      <c r="AG344" s="81">
        <v>43329</v>
      </c>
      <c r="AH344" s="143">
        <v>6344800</v>
      </c>
      <c r="AI344" s="63" t="s">
        <v>855</v>
      </c>
      <c r="AJ344" s="63">
        <v>226</v>
      </c>
      <c r="AK344" s="143">
        <f t="shared" si="34"/>
        <v>0</v>
      </c>
      <c r="AL344" s="143">
        <v>1057466.8999999999</v>
      </c>
      <c r="AM344" s="143">
        <f t="shared" si="33"/>
        <v>5287333.0999999996</v>
      </c>
      <c r="AN344" s="133"/>
      <c r="AO344" s="144">
        <f t="shared" si="32"/>
        <v>0</v>
      </c>
      <c r="AP344" s="133"/>
      <c r="AQ344" s="133"/>
      <c r="AR344" s="133"/>
      <c r="AS344" s="133"/>
      <c r="AT344" s="133"/>
      <c r="AU344" s="220"/>
      <c r="AV344" s="220"/>
      <c r="AW344" s="220"/>
    </row>
    <row r="345" spans="1:49" s="221" customFormat="1" ht="409.5" x14ac:dyDescent="0.25">
      <c r="A345" s="63">
        <f>A344+1</f>
        <v>159</v>
      </c>
      <c r="B345" s="128" t="str">
        <f t="shared" si="30"/>
        <v>208-159</v>
      </c>
      <c r="C345" s="129" t="s">
        <v>713</v>
      </c>
      <c r="D345" s="130" t="s">
        <v>714</v>
      </c>
      <c r="E345" s="131" t="s">
        <v>715</v>
      </c>
      <c r="F345" s="132" t="s">
        <v>577</v>
      </c>
      <c r="G345" s="131" t="s">
        <v>716</v>
      </c>
      <c r="H345" s="132" t="s">
        <v>717</v>
      </c>
      <c r="I345" s="133" t="s">
        <v>718</v>
      </c>
      <c r="J345" s="111" t="s">
        <v>719</v>
      </c>
      <c r="K345" s="133"/>
      <c r="L345" s="111" t="s">
        <v>720</v>
      </c>
      <c r="M345" s="111" t="s">
        <v>58</v>
      </c>
      <c r="N345" s="111" t="s">
        <v>59</v>
      </c>
      <c r="O345" s="111" t="s">
        <v>721</v>
      </c>
      <c r="P345" s="227" t="s">
        <v>874</v>
      </c>
      <c r="Q345" s="134">
        <f t="shared" si="31"/>
        <v>19978952.380952381</v>
      </c>
      <c r="R345" s="146">
        <v>1</v>
      </c>
      <c r="S345" s="136">
        <v>209779000</v>
      </c>
      <c r="T345" s="137" t="s">
        <v>849</v>
      </c>
      <c r="U345" s="128" t="s">
        <v>730</v>
      </c>
      <c r="V345" s="138" t="s">
        <v>875</v>
      </c>
      <c r="W345" s="147">
        <v>10.5</v>
      </c>
      <c r="X345" s="133">
        <v>160</v>
      </c>
      <c r="Y345" s="81">
        <v>43347</v>
      </c>
      <c r="Z345" s="136">
        <v>209779000</v>
      </c>
      <c r="AA345" s="140"/>
      <c r="AB345" s="141">
        <v>1145</v>
      </c>
      <c r="AC345" s="150">
        <v>43348</v>
      </c>
      <c r="AD345" s="136">
        <v>209779000</v>
      </c>
      <c r="AE345" s="143">
        <f t="shared" si="28"/>
        <v>0</v>
      </c>
      <c r="AF345" s="133"/>
      <c r="AG345" s="85"/>
      <c r="AH345" s="143"/>
      <c r="AI345" s="63"/>
      <c r="AJ345" s="63"/>
      <c r="AK345" s="143">
        <f t="shared" si="34"/>
        <v>209779000</v>
      </c>
      <c r="AL345" s="143"/>
      <c r="AM345" s="143">
        <f t="shared" si="33"/>
        <v>0</v>
      </c>
      <c r="AN345" s="133"/>
      <c r="AO345" s="144">
        <f t="shared" si="32"/>
        <v>209779000</v>
      </c>
      <c r="AP345" s="133"/>
      <c r="AQ345" s="133"/>
      <c r="AR345" s="133"/>
      <c r="AS345" s="133"/>
      <c r="AT345" s="133"/>
      <c r="AU345" s="220"/>
      <c r="AV345" s="220"/>
      <c r="AW345" s="220"/>
    </row>
    <row r="346" spans="1:49" s="221" customFormat="1" ht="399" x14ac:dyDescent="0.25">
      <c r="A346" s="63">
        <f>A345+1</f>
        <v>160</v>
      </c>
      <c r="B346" s="128" t="str">
        <f t="shared" si="30"/>
        <v>208-160</v>
      </c>
      <c r="C346" s="129" t="s">
        <v>713</v>
      </c>
      <c r="D346" s="130" t="s">
        <v>714</v>
      </c>
      <c r="E346" s="131" t="s">
        <v>715</v>
      </c>
      <c r="F346" s="132" t="s">
        <v>577</v>
      </c>
      <c r="G346" s="131" t="s">
        <v>716</v>
      </c>
      <c r="H346" s="132" t="s">
        <v>717</v>
      </c>
      <c r="I346" s="133" t="s">
        <v>718</v>
      </c>
      <c r="J346" s="111" t="s">
        <v>719</v>
      </c>
      <c r="K346" s="133"/>
      <c r="L346" s="111" t="s">
        <v>720</v>
      </c>
      <c r="M346" s="111" t="s">
        <v>58</v>
      </c>
      <c r="N346" s="111" t="s">
        <v>59</v>
      </c>
      <c r="O346" s="111" t="s">
        <v>721</v>
      </c>
      <c r="P346" s="227" t="s">
        <v>876</v>
      </c>
      <c r="Q346" s="134">
        <f t="shared" si="31"/>
        <v>39861600</v>
      </c>
      <c r="R346" s="146">
        <v>1</v>
      </c>
      <c r="S346" s="136">
        <v>398616000</v>
      </c>
      <c r="T346" s="137" t="s">
        <v>613</v>
      </c>
      <c r="U346" s="128" t="s">
        <v>723</v>
      </c>
      <c r="V346" s="138" t="s">
        <v>875</v>
      </c>
      <c r="W346" s="147">
        <v>10</v>
      </c>
      <c r="X346" s="133">
        <v>157</v>
      </c>
      <c r="Y346" s="81">
        <v>43329</v>
      </c>
      <c r="Z346" s="136">
        <v>398616000</v>
      </c>
      <c r="AA346" s="140"/>
      <c r="AB346" s="141">
        <v>1094</v>
      </c>
      <c r="AC346" s="150">
        <v>43333</v>
      </c>
      <c r="AD346" s="143">
        <v>398616000</v>
      </c>
      <c r="AE346" s="143">
        <f t="shared" si="28"/>
        <v>0</v>
      </c>
      <c r="AF346" s="133"/>
      <c r="AG346" s="85"/>
      <c r="AH346" s="143"/>
      <c r="AI346" s="63"/>
      <c r="AJ346" s="63"/>
      <c r="AK346" s="143">
        <f t="shared" si="34"/>
        <v>398616000</v>
      </c>
      <c r="AL346" s="143"/>
      <c r="AM346" s="143">
        <f t="shared" si="33"/>
        <v>0</v>
      </c>
      <c r="AN346" s="133"/>
      <c r="AO346" s="144">
        <f t="shared" si="32"/>
        <v>398616000</v>
      </c>
      <c r="AP346" s="133"/>
      <c r="AQ346" s="133"/>
      <c r="AR346" s="133"/>
      <c r="AS346" s="133"/>
      <c r="AT346" s="133"/>
      <c r="AU346" s="220"/>
      <c r="AV346" s="220"/>
      <c r="AW346" s="220"/>
    </row>
    <row r="347" spans="1:49" s="221" customFormat="1" ht="370.5" x14ac:dyDescent="0.25">
      <c r="A347" s="63">
        <f>A346+1</f>
        <v>161</v>
      </c>
      <c r="B347" s="128" t="str">
        <f t="shared" si="30"/>
        <v>208-161</v>
      </c>
      <c r="C347" s="129" t="s">
        <v>713</v>
      </c>
      <c r="D347" s="130" t="s">
        <v>714</v>
      </c>
      <c r="E347" s="145" t="s">
        <v>725</v>
      </c>
      <c r="F347" s="132" t="s">
        <v>577</v>
      </c>
      <c r="G347" s="131" t="s">
        <v>716</v>
      </c>
      <c r="H347" s="132" t="s">
        <v>717</v>
      </c>
      <c r="I347" s="133" t="s">
        <v>718</v>
      </c>
      <c r="J347" s="111" t="s">
        <v>719</v>
      </c>
      <c r="K347" s="133"/>
      <c r="L347" s="111" t="s">
        <v>720</v>
      </c>
      <c r="M347" s="111" t="s">
        <v>58</v>
      </c>
      <c r="N347" s="111" t="s">
        <v>59</v>
      </c>
      <c r="O347" s="111" t="s">
        <v>721</v>
      </c>
      <c r="P347" s="227" t="s">
        <v>876</v>
      </c>
      <c r="Q347" s="134">
        <f t="shared" si="31"/>
        <v>216760600</v>
      </c>
      <c r="R347" s="146">
        <v>1</v>
      </c>
      <c r="S347" s="136">
        <v>2167606000</v>
      </c>
      <c r="T347" s="137" t="s">
        <v>613</v>
      </c>
      <c r="U347" s="128" t="s">
        <v>723</v>
      </c>
      <c r="V347" s="138" t="s">
        <v>875</v>
      </c>
      <c r="W347" s="147">
        <v>10</v>
      </c>
      <c r="X347" s="133">
        <v>158</v>
      </c>
      <c r="Y347" s="81">
        <v>43329</v>
      </c>
      <c r="Z347" s="136">
        <v>2167606000</v>
      </c>
      <c r="AA347" s="140"/>
      <c r="AB347" s="141">
        <v>1094</v>
      </c>
      <c r="AC347" s="150">
        <v>43333</v>
      </c>
      <c r="AD347" s="143">
        <v>2167606000</v>
      </c>
      <c r="AE347" s="143">
        <f t="shared" si="28"/>
        <v>0</v>
      </c>
      <c r="AF347" s="133"/>
      <c r="AG347" s="85"/>
      <c r="AH347" s="143"/>
      <c r="AI347" s="63"/>
      <c r="AJ347" s="63"/>
      <c r="AK347" s="143">
        <f t="shared" si="34"/>
        <v>2167606000</v>
      </c>
      <c r="AL347" s="143"/>
      <c r="AM347" s="143">
        <f t="shared" si="33"/>
        <v>0</v>
      </c>
      <c r="AN347" s="133"/>
      <c r="AO347" s="144">
        <f t="shared" si="32"/>
        <v>2167606000</v>
      </c>
      <c r="AP347" s="133"/>
      <c r="AQ347" s="133"/>
      <c r="AR347" s="133"/>
      <c r="AS347" s="133"/>
      <c r="AT347" s="133"/>
      <c r="AU347" s="220"/>
      <c r="AV347" s="220"/>
      <c r="AW347" s="220"/>
    </row>
    <row r="348" spans="1:49" s="221" customFormat="1" ht="409.5" x14ac:dyDescent="0.25">
      <c r="A348" s="63">
        <f>A347+1</f>
        <v>162</v>
      </c>
      <c r="B348" s="128" t="str">
        <f>+CONCATENATE("208-",A348)</f>
        <v>208-162</v>
      </c>
      <c r="C348" s="129" t="s">
        <v>713</v>
      </c>
      <c r="D348" s="130" t="s">
        <v>714</v>
      </c>
      <c r="E348" s="145" t="s">
        <v>725</v>
      </c>
      <c r="F348" s="132" t="s">
        <v>577</v>
      </c>
      <c r="G348" s="131" t="s">
        <v>716</v>
      </c>
      <c r="H348" s="132" t="s">
        <v>717</v>
      </c>
      <c r="I348" s="133" t="s">
        <v>718</v>
      </c>
      <c r="J348" s="111" t="s">
        <v>719</v>
      </c>
      <c r="K348" s="133"/>
      <c r="L348" s="111" t="s">
        <v>720</v>
      </c>
      <c r="M348" s="111" t="s">
        <v>58</v>
      </c>
      <c r="N348" s="111" t="s">
        <v>59</v>
      </c>
      <c r="O348" s="111" t="s">
        <v>721</v>
      </c>
      <c r="P348" s="227" t="s">
        <v>877</v>
      </c>
      <c r="Q348" s="134">
        <f>(S348/W348)/R348</f>
        <v>31770095.238095239</v>
      </c>
      <c r="R348" s="146">
        <v>1</v>
      </c>
      <c r="S348" s="136">
        <v>333586000</v>
      </c>
      <c r="T348" s="137" t="s">
        <v>849</v>
      </c>
      <c r="U348" s="128" t="s">
        <v>730</v>
      </c>
      <c r="V348" s="138" t="s">
        <v>875</v>
      </c>
      <c r="W348" s="147">
        <v>10.5</v>
      </c>
      <c r="X348" s="133">
        <v>159</v>
      </c>
      <c r="Y348" s="81">
        <v>43347</v>
      </c>
      <c r="Z348" s="136">
        <v>333586000</v>
      </c>
      <c r="AA348" s="140"/>
      <c r="AB348" s="141">
        <v>1145</v>
      </c>
      <c r="AC348" s="150">
        <v>43348</v>
      </c>
      <c r="AD348" s="136">
        <v>333586000</v>
      </c>
      <c r="AE348" s="143">
        <f t="shared" si="28"/>
        <v>0</v>
      </c>
      <c r="AF348" s="133"/>
      <c r="AG348" s="85"/>
      <c r="AH348" s="143"/>
      <c r="AI348" s="63"/>
      <c r="AJ348" s="63"/>
      <c r="AK348" s="143">
        <f t="shared" si="34"/>
        <v>333586000</v>
      </c>
      <c r="AL348" s="143"/>
      <c r="AM348" s="143">
        <f t="shared" si="33"/>
        <v>0</v>
      </c>
      <c r="AN348" s="133"/>
      <c r="AO348" s="144">
        <f t="shared" si="32"/>
        <v>333586000</v>
      </c>
      <c r="AP348" s="133"/>
      <c r="AQ348" s="133"/>
      <c r="AR348" s="133"/>
      <c r="AS348" s="133"/>
      <c r="AT348" s="133"/>
      <c r="AU348" s="220"/>
      <c r="AV348" s="220"/>
      <c r="AW348" s="220"/>
    </row>
    <row r="349" spans="1:49" s="221" customFormat="1" ht="399" x14ac:dyDescent="0.25">
      <c r="A349" s="63">
        <f t="shared" ref="A349:A350" si="35">A348+1</f>
        <v>163</v>
      </c>
      <c r="B349" s="128" t="str">
        <f t="shared" ref="B349:B350" si="36">+CONCATENATE("208-",A349)</f>
        <v>208-163</v>
      </c>
      <c r="C349" s="129" t="s">
        <v>713</v>
      </c>
      <c r="D349" s="130" t="s">
        <v>714</v>
      </c>
      <c r="E349" s="131" t="s">
        <v>715</v>
      </c>
      <c r="F349" s="111" t="s">
        <v>52</v>
      </c>
      <c r="G349" s="145" t="s">
        <v>53</v>
      </c>
      <c r="H349" s="111" t="s">
        <v>733</v>
      </c>
      <c r="I349" s="111" t="s">
        <v>55</v>
      </c>
      <c r="J349" s="111" t="s">
        <v>56</v>
      </c>
      <c r="K349" s="63">
        <v>801116</v>
      </c>
      <c r="L349" s="111" t="s">
        <v>720</v>
      </c>
      <c r="M349" s="111" t="s">
        <v>58</v>
      </c>
      <c r="N349" s="111" t="s">
        <v>59</v>
      </c>
      <c r="O349" s="111" t="s">
        <v>728</v>
      </c>
      <c r="P349" s="227" t="s">
        <v>878</v>
      </c>
      <c r="Q349" s="134">
        <f t="shared" ref="Q349:Q350" si="37">(S349/W349)/R349</f>
        <v>3000000</v>
      </c>
      <c r="R349" s="146">
        <v>1</v>
      </c>
      <c r="S349" s="134">
        <f>10400100</f>
        <v>10400100</v>
      </c>
      <c r="T349" s="137" t="s">
        <v>747</v>
      </c>
      <c r="U349" s="148" t="s">
        <v>445</v>
      </c>
      <c r="V349" s="148" t="s">
        <v>875</v>
      </c>
      <c r="W349" s="153">
        <v>3.4666999999999999</v>
      </c>
      <c r="X349" s="133">
        <v>161</v>
      </c>
      <c r="Y349" s="81">
        <v>43357</v>
      </c>
      <c r="Z349" s="134">
        <f>10400100</f>
        <v>10400100</v>
      </c>
      <c r="AA349" s="140"/>
      <c r="AB349" s="141">
        <v>1158</v>
      </c>
      <c r="AC349" s="150">
        <v>43357</v>
      </c>
      <c r="AD349" s="134">
        <v>10000000.199999999</v>
      </c>
      <c r="AE349" s="143">
        <f t="shared" si="28"/>
        <v>400099.80000000075</v>
      </c>
      <c r="AF349" s="133">
        <v>2923</v>
      </c>
      <c r="AG349" s="81">
        <v>43364</v>
      </c>
      <c r="AH349" s="143">
        <v>10000000.199999999</v>
      </c>
      <c r="AI349" s="63" t="s">
        <v>879</v>
      </c>
      <c r="AJ349" s="63">
        <v>587</v>
      </c>
      <c r="AK349" s="143">
        <f t="shared" si="34"/>
        <v>0</v>
      </c>
      <c r="AL349" s="143"/>
      <c r="AM349" s="143">
        <f t="shared" si="33"/>
        <v>10000000.199999999</v>
      </c>
      <c r="AN349" s="133"/>
      <c r="AO349" s="144">
        <f t="shared" si="32"/>
        <v>400099.80000000075</v>
      </c>
      <c r="AP349" s="133"/>
      <c r="AQ349" s="133"/>
      <c r="AR349" s="133"/>
      <c r="AS349" s="133"/>
      <c r="AT349" s="133"/>
      <c r="AU349" s="220"/>
      <c r="AV349" s="220"/>
      <c r="AW349" s="220"/>
    </row>
    <row r="350" spans="1:49" s="221" customFormat="1" ht="370.5" x14ac:dyDescent="0.25">
      <c r="A350" s="63">
        <f t="shared" si="35"/>
        <v>164</v>
      </c>
      <c r="B350" s="128" t="str">
        <f t="shared" si="36"/>
        <v>208-164</v>
      </c>
      <c r="C350" s="129" t="s">
        <v>713</v>
      </c>
      <c r="D350" s="130" t="s">
        <v>714</v>
      </c>
      <c r="E350" s="145" t="s">
        <v>725</v>
      </c>
      <c r="F350" s="111" t="s">
        <v>52</v>
      </c>
      <c r="G350" s="145" t="s">
        <v>53</v>
      </c>
      <c r="H350" s="111" t="s">
        <v>733</v>
      </c>
      <c r="I350" s="111" t="s">
        <v>55</v>
      </c>
      <c r="J350" s="111" t="s">
        <v>56</v>
      </c>
      <c r="K350" s="63">
        <v>801116</v>
      </c>
      <c r="L350" s="111" t="s">
        <v>720</v>
      </c>
      <c r="M350" s="111" t="s">
        <v>58</v>
      </c>
      <c r="N350" s="111" t="s">
        <v>59</v>
      </c>
      <c r="O350" s="111" t="s">
        <v>728</v>
      </c>
      <c r="P350" s="227" t="s">
        <v>878</v>
      </c>
      <c r="Q350" s="134">
        <f t="shared" si="37"/>
        <v>7000000</v>
      </c>
      <c r="R350" s="146">
        <v>1</v>
      </c>
      <c r="S350" s="134">
        <f>24266900</f>
        <v>24266900</v>
      </c>
      <c r="T350" s="137" t="s">
        <v>747</v>
      </c>
      <c r="U350" s="148" t="s">
        <v>445</v>
      </c>
      <c r="V350" s="148" t="s">
        <v>875</v>
      </c>
      <c r="W350" s="153">
        <v>3.4666999999999999</v>
      </c>
      <c r="X350" s="133">
        <v>162</v>
      </c>
      <c r="Y350" s="81">
        <v>43357</v>
      </c>
      <c r="Z350" s="136">
        <v>24266900</v>
      </c>
      <c r="AA350" s="140"/>
      <c r="AB350" s="141">
        <v>1158</v>
      </c>
      <c r="AC350" s="150">
        <v>43357</v>
      </c>
      <c r="AD350" s="136">
        <v>23333333.799999997</v>
      </c>
      <c r="AE350" s="143">
        <f t="shared" si="28"/>
        <v>933566.20000000298</v>
      </c>
      <c r="AF350" s="133">
        <v>2923</v>
      </c>
      <c r="AG350" s="81">
        <v>43364</v>
      </c>
      <c r="AH350" s="143">
        <v>23333333.799999997</v>
      </c>
      <c r="AI350" s="63" t="s">
        <v>879</v>
      </c>
      <c r="AJ350" s="63">
        <v>587</v>
      </c>
      <c r="AK350" s="143">
        <f t="shared" si="34"/>
        <v>0</v>
      </c>
      <c r="AL350" s="143"/>
      <c r="AM350" s="143">
        <f t="shared" si="33"/>
        <v>23333333.799999997</v>
      </c>
      <c r="AN350" s="133"/>
      <c r="AO350" s="144">
        <f t="shared" si="32"/>
        <v>933566.20000000298</v>
      </c>
      <c r="AP350" s="133"/>
      <c r="AQ350" s="133"/>
      <c r="AR350" s="133"/>
      <c r="AS350" s="133"/>
      <c r="AT350" s="133"/>
      <c r="AU350" s="220"/>
      <c r="AV350" s="220"/>
      <c r="AW350" s="220"/>
    </row>
    <row r="351" spans="1:49" s="221" customFormat="1" x14ac:dyDescent="0.25">
      <c r="A351" s="220"/>
      <c r="B351" s="220"/>
      <c r="C351" s="220"/>
      <c r="D351" s="220"/>
      <c r="E351" s="220"/>
      <c r="F351" s="220"/>
      <c r="G351" s="220"/>
      <c r="H351" s="220"/>
      <c r="I351" s="220"/>
      <c r="J351" s="220"/>
      <c r="K351" s="220"/>
      <c r="L351" s="220"/>
      <c r="M351" s="220"/>
      <c r="N351" s="220"/>
      <c r="O351" s="220"/>
      <c r="P351" s="220"/>
      <c r="Q351" s="220"/>
      <c r="R351" s="220"/>
      <c r="S351" s="220"/>
      <c r="T351" s="220"/>
      <c r="U351" s="220"/>
      <c r="V351" s="220"/>
      <c r="W351" s="220"/>
      <c r="X351" s="220"/>
      <c r="Y351" s="220"/>
      <c r="Z351" s="220"/>
      <c r="AA351" s="220"/>
      <c r="AB351" s="220"/>
      <c r="AC351" s="220"/>
      <c r="AD351" s="220"/>
      <c r="AE351" s="220"/>
      <c r="AF351" s="220"/>
      <c r="AG351" s="220"/>
      <c r="AH351" s="220"/>
      <c r="AI351" s="220"/>
      <c r="AJ351" s="220"/>
      <c r="AK351" s="220"/>
      <c r="AL351" s="220"/>
      <c r="AM351" s="220"/>
      <c r="AN351" s="220"/>
      <c r="AO351" s="220"/>
      <c r="AP351" s="220"/>
      <c r="AQ351" s="220"/>
      <c r="AR351" s="220"/>
      <c r="AS351" s="220"/>
      <c r="AT351" s="220"/>
      <c r="AU351" s="220"/>
      <c r="AV351" s="220"/>
      <c r="AW351" s="220"/>
    </row>
    <row r="352" spans="1:49" s="221" customFormat="1" ht="327.75" x14ac:dyDescent="0.25">
      <c r="A352" s="173">
        <v>1</v>
      </c>
      <c r="B352" s="173" t="s">
        <v>880</v>
      </c>
      <c r="C352" s="173" t="s">
        <v>881</v>
      </c>
      <c r="D352" s="173" t="s">
        <v>882</v>
      </c>
      <c r="E352" s="174" t="s">
        <v>883</v>
      </c>
      <c r="F352" s="173" t="s">
        <v>52</v>
      </c>
      <c r="G352" s="173" t="s">
        <v>53</v>
      </c>
      <c r="H352" s="175" t="s">
        <v>884</v>
      </c>
      <c r="I352" s="173" t="s">
        <v>55</v>
      </c>
      <c r="J352" s="173" t="s">
        <v>56</v>
      </c>
      <c r="K352" s="63">
        <v>80111600</v>
      </c>
      <c r="L352" s="63" t="s">
        <v>885</v>
      </c>
      <c r="M352" s="63" t="s">
        <v>58</v>
      </c>
      <c r="N352" s="63" t="s">
        <v>59</v>
      </c>
      <c r="O352" s="64" t="s">
        <v>886</v>
      </c>
      <c r="P352" s="133" t="s">
        <v>887</v>
      </c>
      <c r="Q352" s="133">
        <v>7210000</v>
      </c>
      <c r="R352" s="133">
        <v>1</v>
      </c>
      <c r="S352" s="143">
        <v>82915000</v>
      </c>
      <c r="T352" s="133" t="s">
        <v>888</v>
      </c>
      <c r="U352" s="173" t="s">
        <v>445</v>
      </c>
      <c r="V352" s="176" t="s">
        <v>64</v>
      </c>
      <c r="W352" s="177">
        <v>11.5</v>
      </c>
      <c r="X352" s="85" t="s">
        <v>889</v>
      </c>
      <c r="Y352" s="150">
        <v>43102</v>
      </c>
      <c r="Z352" s="229">
        <v>82915000</v>
      </c>
      <c r="AA352" s="140"/>
      <c r="AB352" s="85">
        <v>102</v>
      </c>
      <c r="AC352" s="51">
        <v>43103</v>
      </c>
      <c r="AD352" s="230">
        <v>82915000</v>
      </c>
      <c r="AE352" s="231">
        <f t="shared" ref="AE352:AE360" si="38">S352-AD352</f>
        <v>0</v>
      </c>
      <c r="AF352" s="85">
        <v>82</v>
      </c>
      <c r="AG352" s="51">
        <v>43116</v>
      </c>
      <c r="AH352" s="230">
        <v>82915000</v>
      </c>
      <c r="AI352" s="64" t="s">
        <v>890</v>
      </c>
      <c r="AJ352" s="85">
        <v>68</v>
      </c>
      <c r="AK352" s="85"/>
      <c r="AL352" s="230">
        <v>50229666</v>
      </c>
      <c r="AM352" s="230" t="e">
        <f>VLOOKUP(AF352,'[1]SEPTIEMBRE 2018'!$N$4:$Y$18,11,FALSE)</f>
        <v>#N/A</v>
      </c>
      <c r="AN352" s="230">
        <f t="shared" ref="AN352:AN364" si="39">AH352-AL352</f>
        <v>32685334</v>
      </c>
      <c r="AO352" s="133"/>
      <c r="AP352" s="178">
        <f>S352-AH352</f>
        <v>0</v>
      </c>
      <c r="AQ352" s="133"/>
      <c r="AR352" s="133"/>
      <c r="AS352" s="133"/>
      <c r="AT352" s="133"/>
      <c r="AU352" s="133"/>
      <c r="AV352" s="179" t="s">
        <v>890</v>
      </c>
      <c r="AW352" s="220"/>
    </row>
    <row r="353" spans="1:49" s="221" customFormat="1" ht="356.25" x14ac:dyDescent="0.25">
      <c r="A353" s="173">
        <v>2</v>
      </c>
      <c r="B353" s="173" t="s">
        <v>891</v>
      </c>
      <c r="C353" s="173" t="s">
        <v>881</v>
      </c>
      <c r="D353" s="173" t="s">
        <v>882</v>
      </c>
      <c r="E353" s="174" t="s">
        <v>883</v>
      </c>
      <c r="F353" s="173" t="s">
        <v>52</v>
      </c>
      <c r="G353" s="173" t="s">
        <v>53</v>
      </c>
      <c r="H353" s="175" t="s">
        <v>884</v>
      </c>
      <c r="I353" s="173" t="s">
        <v>55</v>
      </c>
      <c r="J353" s="173" t="s">
        <v>56</v>
      </c>
      <c r="K353" s="63">
        <v>80111600</v>
      </c>
      <c r="L353" s="63" t="s">
        <v>885</v>
      </c>
      <c r="M353" s="63" t="s">
        <v>58</v>
      </c>
      <c r="N353" s="63" t="s">
        <v>59</v>
      </c>
      <c r="O353" s="64" t="s">
        <v>886</v>
      </c>
      <c r="P353" s="133" t="s">
        <v>892</v>
      </c>
      <c r="Q353" s="133">
        <v>5036700</v>
      </c>
      <c r="R353" s="133">
        <v>1</v>
      </c>
      <c r="S353" s="143">
        <v>57922050</v>
      </c>
      <c r="T353" s="133" t="s">
        <v>888</v>
      </c>
      <c r="U353" s="173" t="s">
        <v>445</v>
      </c>
      <c r="V353" s="176" t="s">
        <v>64</v>
      </c>
      <c r="W353" s="177">
        <v>11.5</v>
      </c>
      <c r="X353" s="85" t="s">
        <v>893</v>
      </c>
      <c r="Y353" s="150">
        <v>43102</v>
      </c>
      <c r="Z353" s="229">
        <v>57922050</v>
      </c>
      <c r="AA353" s="140"/>
      <c r="AB353" s="85">
        <v>56</v>
      </c>
      <c r="AC353" s="51">
        <v>43103</v>
      </c>
      <c r="AD353" s="230">
        <v>57922050</v>
      </c>
      <c r="AE353" s="231">
        <f t="shared" si="38"/>
        <v>0</v>
      </c>
      <c r="AF353" s="85">
        <v>99</v>
      </c>
      <c r="AG353" s="51">
        <v>43116</v>
      </c>
      <c r="AH353" s="230">
        <v>57922050</v>
      </c>
      <c r="AI353" s="64" t="s">
        <v>894</v>
      </c>
      <c r="AJ353" s="85">
        <v>85</v>
      </c>
      <c r="AK353" s="85"/>
      <c r="AL353" s="230">
        <v>37607360</v>
      </c>
      <c r="AM353" s="230" t="e">
        <f>VLOOKUP(AF353,'[1]SEPTIEMBRE 2018'!$N$4:$Y$18,11,FALSE)</f>
        <v>#N/A</v>
      </c>
      <c r="AN353" s="230">
        <f t="shared" si="39"/>
        <v>20314690</v>
      </c>
      <c r="AO353" s="133"/>
      <c r="AP353" s="178">
        <f t="shared" ref="AP353:AP364" si="40">S353-AH353</f>
        <v>0</v>
      </c>
      <c r="AQ353" s="133"/>
      <c r="AR353" s="133"/>
      <c r="AS353" s="133"/>
      <c r="AT353" s="133"/>
      <c r="AU353" s="133"/>
      <c r="AV353" s="180" t="s">
        <v>895</v>
      </c>
      <c r="AW353" s="220"/>
    </row>
    <row r="354" spans="1:49" s="221" customFormat="1" ht="409.5" x14ac:dyDescent="0.25">
      <c r="A354" s="173">
        <v>3</v>
      </c>
      <c r="B354" s="173" t="s">
        <v>896</v>
      </c>
      <c r="C354" s="173" t="s">
        <v>881</v>
      </c>
      <c r="D354" s="173" t="s">
        <v>882</v>
      </c>
      <c r="E354" s="174" t="s">
        <v>883</v>
      </c>
      <c r="F354" s="173" t="s">
        <v>52</v>
      </c>
      <c r="G354" s="173" t="s">
        <v>53</v>
      </c>
      <c r="H354" s="175" t="s">
        <v>884</v>
      </c>
      <c r="I354" s="173" t="s">
        <v>55</v>
      </c>
      <c r="J354" s="173" t="s">
        <v>56</v>
      </c>
      <c r="K354" s="63">
        <v>80111600</v>
      </c>
      <c r="L354" s="63" t="s">
        <v>885</v>
      </c>
      <c r="M354" s="63" t="s">
        <v>58</v>
      </c>
      <c r="N354" s="63" t="s">
        <v>59</v>
      </c>
      <c r="O354" s="64" t="s">
        <v>886</v>
      </c>
      <c r="P354" s="133" t="s">
        <v>897</v>
      </c>
      <c r="Q354" s="133">
        <v>4120000</v>
      </c>
      <c r="R354" s="133">
        <v>1</v>
      </c>
      <c r="S354" s="143">
        <f>47045250-77250</f>
        <v>46968000</v>
      </c>
      <c r="T354" s="133" t="s">
        <v>888</v>
      </c>
      <c r="U354" s="173" t="s">
        <v>445</v>
      </c>
      <c r="V354" s="176" t="s">
        <v>64</v>
      </c>
      <c r="W354" s="177">
        <v>11.5</v>
      </c>
      <c r="X354" s="85" t="s">
        <v>898</v>
      </c>
      <c r="Y354" s="150">
        <v>43102</v>
      </c>
      <c r="Z354" s="229">
        <v>47045250</v>
      </c>
      <c r="AA354" s="140"/>
      <c r="AB354" s="85">
        <v>57</v>
      </c>
      <c r="AC354" s="51">
        <v>43103</v>
      </c>
      <c r="AD354" s="230">
        <v>46968000</v>
      </c>
      <c r="AE354" s="231">
        <f t="shared" si="38"/>
        <v>0</v>
      </c>
      <c r="AF354" s="85">
        <v>219</v>
      </c>
      <c r="AG354" s="51">
        <v>43118</v>
      </c>
      <c r="AH354" s="230">
        <v>46968000</v>
      </c>
      <c r="AI354" s="64" t="s">
        <v>899</v>
      </c>
      <c r="AJ354" s="85">
        <v>187</v>
      </c>
      <c r="AK354" s="85"/>
      <c r="AL354" s="230">
        <v>30488000</v>
      </c>
      <c r="AM354" s="230" t="e">
        <f>VLOOKUP(AF354,'[1]SEPTIEMBRE 2018'!$N$4:$Y$18,11,FALSE)</f>
        <v>#N/A</v>
      </c>
      <c r="AN354" s="230">
        <f t="shared" si="39"/>
        <v>16480000</v>
      </c>
      <c r="AO354" s="133"/>
      <c r="AP354" s="178">
        <f t="shared" si="40"/>
        <v>0</v>
      </c>
      <c r="AQ354" s="133"/>
      <c r="AR354" s="133"/>
      <c r="AS354" s="133"/>
      <c r="AT354" s="133"/>
      <c r="AU354" s="133"/>
      <c r="AV354" s="179" t="s">
        <v>900</v>
      </c>
      <c r="AW354" s="220"/>
    </row>
    <row r="355" spans="1:49" s="221" customFormat="1" ht="342" x14ac:dyDescent="0.25">
      <c r="A355" s="173">
        <v>4</v>
      </c>
      <c r="B355" s="173" t="s">
        <v>901</v>
      </c>
      <c r="C355" s="173" t="s">
        <v>881</v>
      </c>
      <c r="D355" s="173" t="s">
        <v>882</v>
      </c>
      <c r="E355" s="174" t="s">
        <v>902</v>
      </c>
      <c r="F355" s="173" t="s">
        <v>52</v>
      </c>
      <c r="G355" s="173" t="s">
        <v>53</v>
      </c>
      <c r="H355" s="175" t="s">
        <v>884</v>
      </c>
      <c r="I355" s="173" t="s">
        <v>55</v>
      </c>
      <c r="J355" s="173" t="s">
        <v>56</v>
      </c>
      <c r="K355" s="63">
        <v>80111600</v>
      </c>
      <c r="L355" s="63" t="s">
        <v>885</v>
      </c>
      <c r="M355" s="63" t="s">
        <v>58</v>
      </c>
      <c r="N355" s="63" t="s">
        <v>59</v>
      </c>
      <c r="O355" s="64" t="s">
        <v>886</v>
      </c>
      <c r="P355" s="133" t="s">
        <v>903</v>
      </c>
      <c r="Q355" s="133">
        <v>5036700</v>
      </c>
      <c r="R355" s="133">
        <v>1</v>
      </c>
      <c r="S355" s="143">
        <v>57922050</v>
      </c>
      <c r="T355" s="133" t="s">
        <v>888</v>
      </c>
      <c r="U355" s="173" t="s">
        <v>445</v>
      </c>
      <c r="V355" s="176" t="s">
        <v>64</v>
      </c>
      <c r="W355" s="177">
        <v>11.5</v>
      </c>
      <c r="X355" s="85" t="s">
        <v>904</v>
      </c>
      <c r="Y355" s="150">
        <v>43102</v>
      </c>
      <c r="Z355" s="229">
        <v>57922050</v>
      </c>
      <c r="AA355" s="140"/>
      <c r="AB355" s="85">
        <v>58</v>
      </c>
      <c r="AC355" s="51">
        <v>43103</v>
      </c>
      <c r="AD355" s="230">
        <v>57922050</v>
      </c>
      <c r="AE355" s="231">
        <f t="shared" si="38"/>
        <v>0</v>
      </c>
      <c r="AF355" s="85">
        <v>94</v>
      </c>
      <c r="AG355" s="51">
        <v>43116</v>
      </c>
      <c r="AH355" s="230">
        <v>57922050</v>
      </c>
      <c r="AI355" s="64" t="s">
        <v>905</v>
      </c>
      <c r="AJ355" s="85">
        <v>90</v>
      </c>
      <c r="AK355" s="85"/>
      <c r="AL355" s="230">
        <v>37607360</v>
      </c>
      <c r="AM355" s="230" t="e">
        <f>VLOOKUP(AF355,'[1]SEPTIEMBRE 2018'!$N$4:$Y$18,11,FALSE)</f>
        <v>#N/A</v>
      </c>
      <c r="AN355" s="230">
        <f t="shared" si="39"/>
        <v>20314690</v>
      </c>
      <c r="AO355" s="133"/>
      <c r="AP355" s="178">
        <f t="shared" si="40"/>
        <v>0</v>
      </c>
      <c r="AQ355" s="133"/>
      <c r="AR355" s="133"/>
      <c r="AS355" s="133"/>
      <c r="AT355" s="133"/>
      <c r="AU355" s="133"/>
      <c r="AV355" s="181" t="s">
        <v>906</v>
      </c>
      <c r="AW355" s="220"/>
    </row>
    <row r="356" spans="1:49" s="221" customFormat="1" ht="356.25" x14ac:dyDescent="0.25">
      <c r="A356" s="173">
        <v>5</v>
      </c>
      <c r="B356" s="173" t="s">
        <v>907</v>
      </c>
      <c r="C356" s="173" t="s">
        <v>881</v>
      </c>
      <c r="D356" s="173" t="s">
        <v>882</v>
      </c>
      <c r="E356" s="174" t="s">
        <v>883</v>
      </c>
      <c r="F356" s="173" t="s">
        <v>52</v>
      </c>
      <c r="G356" s="173" t="s">
        <v>53</v>
      </c>
      <c r="H356" s="175" t="s">
        <v>884</v>
      </c>
      <c r="I356" s="173" t="s">
        <v>55</v>
      </c>
      <c r="J356" s="173" t="s">
        <v>56</v>
      </c>
      <c r="K356" s="63">
        <v>80111600</v>
      </c>
      <c r="L356" s="63" t="s">
        <v>885</v>
      </c>
      <c r="M356" s="63" t="s">
        <v>58</v>
      </c>
      <c r="N356" s="63" t="s">
        <v>59</v>
      </c>
      <c r="O356" s="64" t="s">
        <v>886</v>
      </c>
      <c r="P356" s="133" t="s">
        <v>908</v>
      </c>
      <c r="Q356" s="133">
        <v>6180000</v>
      </c>
      <c r="R356" s="133">
        <v>1</v>
      </c>
      <c r="S356" s="143">
        <v>71070000</v>
      </c>
      <c r="T356" s="133" t="s">
        <v>888</v>
      </c>
      <c r="U356" s="173" t="s">
        <v>445</v>
      </c>
      <c r="V356" s="176" t="s">
        <v>64</v>
      </c>
      <c r="W356" s="177">
        <v>11.5</v>
      </c>
      <c r="X356" s="85" t="s">
        <v>909</v>
      </c>
      <c r="Y356" s="150">
        <v>43102</v>
      </c>
      <c r="Z356" s="229">
        <v>71070000</v>
      </c>
      <c r="AA356" s="140"/>
      <c r="AB356" s="85">
        <v>59</v>
      </c>
      <c r="AC356" s="51">
        <v>43103</v>
      </c>
      <c r="AD356" s="230">
        <v>71070000</v>
      </c>
      <c r="AE356" s="231">
        <f t="shared" si="38"/>
        <v>0</v>
      </c>
      <c r="AF356" s="85">
        <v>224</v>
      </c>
      <c r="AG356" s="51">
        <v>43118</v>
      </c>
      <c r="AH356" s="230">
        <v>71070000</v>
      </c>
      <c r="AI356" s="64" t="s">
        <v>910</v>
      </c>
      <c r="AJ356" s="85">
        <v>198</v>
      </c>
      <c r="AK356" s="85"/>
      <c r="AL356" s="230">
        <v>45732000</v>
      </c>
      <c r="AM356" s="230" t="e">
        <f>VLOOKUP(AF356,'[1]SEPTIEMBRE 2018'!$N$4:$Y$18,11,FALSE)</f>
        <v>#N/A</v>
      </c>
      <c r="AN356" s="230">
        <f t="shared" si="39"/>
        <v>25338000</v>
      </c>
      <c r="AO356" s="133"/>
      <c r="AP356" s="178">
        <f t="shared" si="40"/>
        <v>0</v>
      </c>
      <c r="AQ356" s="133"/>
      <c r="AR356" s="133"/>
      <c r="AS356" s="133"/>
      <c r="AT356" s="133"/>
      <c r="AU356" s="133"/>
      <c r="AV356" s="179" t="s">
        <v>911</v>
      </c>
      <c r="AW356" s="220"/>
    </row>
    <row r="357" spans="1:49" s="221" customFormat="1" ht="342" x14ac:dyDescent="0.25">
      <c r="A357" s="173">
        <v>6</v>
      </c>
      <c r="B357" s="173" t="s">
        <v>912</v>
      </c>
      <c r="C357" s="173" t="s">
        <v>881</v>
      </c>
      <c r="D357" s="173" t="s">
        <v>882</v>
      </c>
      <c r="E357" s="174" t="s">
        <v>883</v>
      </c>
      <c r="F357" s="173" t="s">
        <v>52</v>
      </c>
      <c r="G357" s="173" t="s">
        <v>53</v>
      </c>
      <c r="H357" s="175" t="s">
        <v>884</v>
      </c>
      <c r="I357" s="173" t="s">
        <v>55</v>
      </c>
      <c r="J357" s="173" t="s">
        <v>56</v>
      </c>
      <c r="K357" s="63">
        <v>80111600</v>
      </c>
      <c r="L357" s="63" t="s">
        <v>885</v>
      </c>
      <c r="M357" s="63" t="s">
        <v>58</v>
      </c>
      <c r="N357" s="63" t="s">
        <v>59</v>
      </c>
      <c r="O357" s="64" t="s">
        <v>886</v>
      </c>
      <c r="P357" s="133" t="s">
        <v>913</v>
      </c>
      <c r="Q357" s="133">
        <v>5036700</v>
      </c>
      <c r="R357" s="133">
        <v>1</v>
      </c>
      <c r="S357" s="143">
        <v>57922050</v>
      </c>
      <c r="T357" s="133" t="s">
        <v>888</v>
      </c>
      <c r="U357" s="173" t="s">
        <v>445</v>
      </c>
      <c r="V357" s="176" t="s">
        <v>64</v>
      </c>
      <c r="W357" s="177">
        <v>11.5</v>
      </c>
      <c r="X357" s="85" t="s">
        <v>914</v>
      </c>
      <c r="Y357" s="150">
        <v>43102</v>
      </c>
      <c r="Z357" s="229">
        <v>57922050</v>
      </c>
      <c r="AA357" s="140"/>
      <c r="AB357" s="85">
        <v>64</v>
      </c>
      <c r="AC357" s="51">
        <v>43103</v>
      </c>
      <c r="AD357" s="230">
        <v>57922050</v>
      </c>
      <c r="AE357" s="231">
        <f t="shared" si="38"/>
        <v>0</v>
      </c>
      <c r="AF357" s="85">
        <v>101</v>
      </c>
      <c r="AG357" s="51">
        <v>43116</v>
      </c>
      <c r="AH357" s="230">
        <v>57922050</v>
      </c>
      <c r="AI357" s="64" t="s">
        <v>915</v>
      </c>
      <c r="AJ357" s="85">
        <v>86</v>
      </c>
      <c r="AK357" s="85"/>
      <c r="AL357" s="230">
        <v>37607360</v>
      </c>
      <c r="AM357" s="230" t="e">
        <f>VLOOKUP(AF357,'[1]SEPTIEMBRE 2018'!$N$4:$Y$18,11,FALSE)</f>
        <v>#N/A</v>
      </c>
      <c r="AN357" s="230">
        <f t="shared" si="39"/>
        <v>20314690</v>
      </c>
      <c r="AO357" s="133"/>
      <c r="AP357" s="178">
        <f t="shared" si="40"/>
        <v>0</v>
      </c>
      <c r="AQ357" s="133"/>
      <c r="AR357" s="133"/>
      <c r="AS357" s="133"/>
      <c r="AT357" s="133"/>
      <c r="AU357" s="133"/>
      <c r="AV357" s="179" t="s">
        <v>916</v>
      </c>
      <c r="AW357" s="220"/>
    </row>
    <row r="358" spans="1:49" s="221" customFormat="1" ht="299.25" x14ac:dyDescent="0.25">
      <c r="A358" s="173">
        <v>7</v>
      </c>
      <c r="B358" s="173" t="s">
        <v>917</v>
      </c>
      <c r="C358" s="173" t="s">
        <v>881</v>
      </c>
      <c r="D358" s="173" t="s">
        <v>882</v>
      </c>
      <c r="E358" s="174" t="s">
        <v>883</v>
      </c>
      <c r="F358" s="173" t="s">
        <v>52</v>
      </c>
      <c r="G358" s="173" t="s">
        <v>53</v>
      </c>
      <c r="H358" s="175" t="s">
        <v>884</v>
      </c>
      <c r="I358" s="173" t="s">
        <v>55</v>
      </c>
      <c r="J358" s="173" t="s">
        <v>56</v>
      </c>
      <c r="K358" s="63">
        <v>80111600</v>
      </c>
      <c r="L358" s="63" t="s">
        <v>885</v>
      </c>
      <c r="M358" s="63" t="s">
        <v>58</v>
      </c>
      <c r="N358" s="63" t="s">
        <v>59</v>
      </c>
      <c r="O358" s="64" t="s">
        <v>886</v>
      </c>
      <c r="P358" s="133" t="s">
        <v>918</v>
      </c>
      <c r="Q358" s="133">
        <v>12360000</v>
      </c>
      <c r="R358" s="133">
        <v>1</v>
      </c>
      <c r="S358" s="143">
        <v>135960000</v>
      </c>
      <c r="T358" s="133" t="s">
        <v>888</v>
      </c>
      <c r="U358" s="173" t="s">
        <v>445</v>
      </c>
      <c r="V358" s="176" t="s">
        <v>64</v>
      </c>
      <c r="W358" s="177">
        <v>11</v>
      </c>
      <c r="X358" s="85" t="s">
        <v>919</v>
      </c>
      <c r="Y358" s="150">
        <v>43102</v>
      </c>
      <c r="Z358" s="229">
        <v>135960000</v>
      </c>
      <c r="AA358" s="140"/>
      <c r="AB358" s="85">
        <v>66</v>
      </c>
      <c r="AC358" s="51">
        <v>43103</v>
      </c>
      <c r="AD358" s="230">
        <v>135960000</v>
      </c>
      <c r="AE358" s="231">
        <f t="shared" si="38"/>
        <v>0</v>
      </c>
      <c r="AF358" s="85">
        <v>460</v>
      </c>
      <c r="AG358" s="51">
        <v>43126</v>
      </c>
      <c r="AH358" s="230">
        <v>135960000</v>
      </c>
      <c r="AI358" s="64" t="s">
        <v>920</v>
      </c>
      <c r="AJ358" s="85">
        <v>387</v>
      </c>
      <c r="AK358" s="85"/>
      <c r="AL358" s="230">
        <v>88580000</v>
      </c>
      <c r="AM358" s="230" t="e">
        <f>VLOOKUP(AF358,'[1]SEPTIEMBRE 2018'!$N$4:$Y$18,11,FALSE)</f>
        <v>#N/A</v>
      </c>
      <c r="AN358" s="230">
        <f t="shared" si="39"/>
        <v>47380000</v>
      </c>
      <c r="AO358" s="133"/>
      <c r="AP358" s="178">
        <f t="shared" si="40"/>
        <v>0</v>
      </c>
      <c r="AQ358" s="133"/>
      <c r="AR358" s="133"/>
      <c r="AS358" s="133"/>
      <c r="AT358" s="133"/>
      <c r="AU358" s="133"/>
      <c r="AV358" s="179" t="s">
        <v>921</v>
      </c>
      <c r="AW358" s="220"/>
    </row>
    <row r="359" spans="1:49" s="221" customFormat="1" ht="409.5" x14ac:dyDescent="0.25">
      <c r="A359" s="173">
        <v>8</v>
      </c>
      <c r="B359" s="173" t="s">
        <v>922</v>
      </c>
      <c r="C359" s="173" t="s">
        <v>881</v>
      </c>
      <c r="D359" s="173" t="s">
        <v>882</v>
      </c>
      <c r="E359" s="174" t="s">
        <v>883</v>
      </c>
      <c r="F359" s="173" t="s">
        <v>52</v>
      </c>
      <c r="G359" s="173" t="s">
        <v>53</v>
      </c>
      <c r="H359" s="175" t="s">
        <v>884</v>
      </c>
      <c r="I359" s="173" t="s">
        <v>55</v>
      </c>
      <c r="J359" s="173" t="s">
        <v>56</v>
      </c>
      <c r="K359" s="63">
        <v>80111600</v>
      </c>
      <c r="L359" s="63" t="s">
        <v>885</v>
      </c>
      <c r="M359" s="63" t="s">
        <v>58</v>
      </c>
      <c r="N359" s="63" t="s">
        <v>59</v>
      </c>
      <c r="O359" s="64" t="s">
        <v>886</v>
      </c>
      <c r="P359" s="133" t="s">
        <v>923</v>
      </c>
      <c r="Q359" s="133">
        <v>3399139.1304347827</v>
      </c>
      <c r="R359" s="133">
        <v>1</v>
      </c>
      <c r="S359" s="143">
        <f>39090100-1600</f>
        <v>39088500</v>
      </c>
      <c r="T359" s="133" t="s">
        <v>888</v>
      </c>
      <c r="U359" s="173" t="s">
        <v>445</v>
      </c>
      <c r="V359" s="176" t="s">
        <v>64</v>
      </c>
      <c r="W359" s="177">
        <v>11.5</v>
      </c>
      <c r="X359" s="85" t="s">
        <v>924</v>
      </c>
      <c r="Y359" s="150">
        <v>43102</v>
      </c>
      <c r="Z359" s="229">
        <v>39090100</v>
      </c>
      <c r="AA359" s="140"/>
      <c r="AB359" s="85">
        <v>103</v>
      </c>
      <c r="AC359" s="51">
        <v>43103</v>
      </c>
      <c r="AD359" s="230">
        <v>39088500</v>
      </c>
      <c r="AE359" s="231">
        <f t="shared" si="38"/>
        <v>0</v>
      </c>
      <c r="AF359" s="85">
        <v>111</v>
      </c>
      <c r="AG359" s="51">
        <v>43117</v>
      </c>
      <c r="AH359" s="230">
        <v>39088500</v>
      </c>
      <c r="AI359" s="64" t="s">
        <v>925</v>
      </c>
      <c r="AJ359" s="85">
        <v>104</v>
      </c>
      <c r="AK359" s="85"/>
      <c r="AL359" s="230">
        <v>25379200</v>
      </c>
      <c r="AM359" s="230" t="e">
        <f>VLOOKUP(AF359,'[1]SEPTIEMBRE 2018'!$N$4:$Y$18,11,FALSE)</f>
        <v>#N/A</v>
      </c>
      <c r="AN359" s="230">
        <f t="shared" si="39"/>
        <v>13709300</v>
      </c>
      <c r="AO359" s="133"/>
      <c r="AP359" s="178">
        <f t="shared" si="40"/>
        <v>0</v>
      </c>
      <c r="AQ359" s="133"/>
      <c r="AR359" s="133"/>
      <c r="AS359" s="133"/>
      <c r="AT359" s="133"/>
      <c r="AU359" s="133"/>
      <c r="AV359" s="179" t="s">
        <v>925</v>
      </c>
      <c r="AW359" s="220"/>
    </row>
    <row r="360" spans="1:49" s="221" customFormat="1" ht="256.5" x14ac:dyDescent="0.25">
      <c r="A360" s="173">
        <v>9</v>
      </c>
      <c r="B360" s="173" t="s">
        <v>926</v>
      </c>
      <c r="C360" s="173" t="s">
        <v>881</v>
      </c>
      <c r="D360" s="173" t="s">
        <v>882</v>
      </c>
      <c r="E360" s="174" t="s">
        <v>902</v>
      </c>
      <c r="F360" s="173" t="s">
        <v>52</v>
      </c>
      <c r="G360" s="173" t="s">
        <v>53</v>
      </c>
      <c r="H360" s="175" t="s">
        <v>884</v>
      </c>
      <c r="I360" s="173" t="s">
        <v>55</v>
      </c>
      <c r="J360" s="173" t="s">
        <v>56</v>
      </c>
      <c r="K360" s="63">
        <v>80111600</v>
      </c>
      <c r="L360" s="63" t="s">
        <v>885</v>
      </c>
      <c r="M360" s="63" t="s">
        <v>58</v>
      </c>
      <c r="N360" s="63" t="s">
        <v>59</v>
      </c>
      <c r="O360" s="64" t="s">
        <v>886</v>
      </c>
      <c r="P360" s="133" t="s">
        <v>927</v>
      </c>
      <c r="Q360" s="182">
        <v>3038500</v>
      </c>
      <c r="R360" s="133">
        <v>1</v>
      </c>
      <c r="S360" s="143">
        <f>+Q360*W360</f>
        <v>34942750</v>
      </c>
      <c r="T360" s="133" t="s">
        <v>928</v>
      </c>
      <c r="U360" s="173" t="s">
        <v>445</v>
      </c>
      <c r="V360" s="176" t="s">
        <v>64</v>
      </c>
      <c r="W360" s="177">
        <v>11.5</v>
      </c>
      <c r="X360" s="85" t="s">
        <v>929</v>
      </c>
      <c r="Y360" s="150">
        <v>43102</v>
      </c>
      <c r="Z360" s="229">
        <v>34942750</v>
      </c>
      <c r="AA360" s="140"/>
      <c r="AB360" s="85">
        <v>104</v>
      </c>
      <c r="AC360" s="51">
        <v>43103</v>
      </c>
      <c r="AD360" s="230">
        <v>34942750</v>
      </c>
      <c r="AE360" s="231">
        <f t="shared" si="38"/>
        <v>0</v>
      </c>
      <c r="AF360" s="85">
        <v>46</v>
      </c>
      <c r="AG360" s="51">
        <v>43116</v>
      </c>
      <c r="AH360" s="230">
        <v>34942750</v>
      </c>
      <c r="AI360" s="220" t="s">
        <v>930</v>
      </c>
      <c r="AJ360" s="85">
        <v>51</v>
      </c>
      <c r="AK360" s="85"/>
      <c r="AL360" s="230">
        <v>22687467</v>
      </c>
      <c r="AM360" s="230" t="e">
        <f>VLOOKUP(AF360,'[1]SEPTIEMBRE 2018'!$N$4:$Y$18,11,FALSE)</f>
        <v>#N/A</v>
      </c>
      <c r="AN360" s="230">
        <f t="shared" si="39"/>
        <v>12255283</v>
      </c>
      <c r="AO360" s="133"/>
      <c r="AP360" s="178">
        <f t="shared" si="40"/>
        <v>0</v>
      </c>
      <c r="AQ360" s="133"/>
      <c r="AR360" s="133"/>
      <c r="AS360" s="133"/>
      <c r="AT360" s="133"/>
      <c r="AU360" s="133"/>
      <c r="AV360" s="179" t="s">
        <v>930</v>
      </c>
      <c r="AW360" s="220"/>
    </row>
    <row r="361" spans="1:49" s="221" customFormat="1" ht="342" x14ac:dyDescent="0.25">
      <c r="A361" s="173">
        <v>10</v>
      </c>
      <c r="B361" s="173" t="s">
        <v>931</v>
      </c>
      <c r="C361" s="173" t="s">
        <v>881</v>
      </c>
      <c r="D361" s="173" t="s">
        <v>882</v>
      </c>
      <c r="E361" s="174" t="s">
        <v>883</v>
      </c>
      <c r="F361" s="173" t="s">
        <v>425</v>
      </c>
      <c r="G361" s="173" t="s">
        <v>932</v>
      </c>
      <c r="H361" s="183" t="s">
        <v>933</v>
      </c>
      <c r="I361" s="173" t="s">
        <v>55</v>
      </c>
      <c r="J361" s="173" t="s">
        <v>56</v>
      </c>
      <c r="K361" s="173">
        <v>82101600</v>
      </c>
      <c r="L361" s="63" t="s">
        <v>885</v>
      </c>
      <c r="M361" s="63" t="s">
        <v>58</v>
      </c>
      <c r="N361" s="63" t="s">
        <v>59</v>
      </c>
      <c r="O361" s="64" t="s">
        <v>886</v>
      </c>
      <c r="P361" s="133" t="s">
        <v>934</v>
      </c>
      <c r="Q361" s="178">
        <f>S361/W361</f>
        <v>68748362</v>
      </c>
      <c r="R361" s="133">
        <v>1</v>
      </c>
      <c r="S361" s="143">
        <f>333688400-57506733-35562400</f>
        <v>240619267</v>
      </c>
      <c r="T361" s="63" t="s">
        <v>935</v>
      </c>
      <c r="U361" s="173" t="s">
        <v>936</v>
      </c>
      <c r="V361" s="176">
        <v>43314</v>
      </c>
      <c r="W361" s="184">
        <v>3.5</v>
      </c>
      <c r="X361" s="85" t="s">
        <v>937</v>
      </c>
      <c r="Y361" s="150">
        <v>43321</v>
      </c>
      <c r="Z361" s="140">
        <v>240619267</v>
      </c>
      <c r="AA361" s="140"/>
      <c r="AB361" s="142">
        <v>1058</v>
      </c>
      <c r="AC361" s="51">
        <v>43325</v>
      </c>
      <c r="AD361" s="230">
        <v>240619267</v>
      </c>
      <c r="AE361" s="133"/>
      <c r="AF361" s="85"/>
      <c r="AG361" s="63"/>
      <c r="AH361" s="115"/>
      <c r="AI361" s="63"/>
      <c r="AJ361" s="133"/>
      <c r="AK361" s="133"/>
      <c r="AL361" s="232"/>
      <c r="AM361" s="230"/>
      <c r="AN361" s="230">
        <f t="shared" si="39"/>
        <v>0</v>
      </c>
      <c r="AO361" s="133"/>
      <c r="AP361" s="178">
        <f t="shared" si="40"/>
        <v>240619267</v>
      </c>
      <c r="AQ361" s="133"/>
      <c r="AR361" s="133"/>
      <c r="AS361" s="133"/>
      <c r="AT361" s="133"/>
      <c r="AU361" s="133"/>
      <c r="AV361" s="179"/>
      <c r="AW361" s="220"/>
    </row>
    <row r="362" spans="1:49" s="221" customFormat="1" ht="356.25" x14ac:dyDescent="0.25">
      <c r="A362" s="173">
        <v>11</v>
      </c>
      <c r="B362" s="173" t="s">
        <v>938</v>
      </c>
      <c r="C362" s="173" t="s">
        <v>881</v>
      </c>
      <c r="D362" s="173" t="s">
        <v>882</v>
      </c>
      <c r="E362" s="174" t="s">
        <v>883</v>
      </c>
      <c r="F362" s="173" t="s">
        <v>425</v>
      </c>
      <c r="G362" s="173" t="s">
        <v>932</v>
      </c>
      <c r="H362" s="183" t="s">
        <v>933</v>
      </c>
      <c r="I362" s="173" t="s">
        <v>55</v>
      </c>
      <c r="J362" s="173" t="s">
        <v>56</v>
      </c>
      <c r="K362" s="173">
        <v>82101600</v>
      </c>
      <c r="L362" s="63" t="s">
        <v>885</v>
      </c>
      <c r="M362" s="63" t="s">
        <v>58</v>
      </c>
      <c r="N362" s="63" t="s">
        <v>59</v>
      </c>
      <c r="O362" s="64" t="s">
        <v>886</v>
      </c>
      <c r="P362" s="133" t="s">
        <v>939</v>
      </c>
      <c r="Q362" s="178">
        <f>S362/W362</f>
        <v>33333333.333333332</v>
      </c>
      <c r="R362" s="133">
        <v>1</v>
      </c>
      <c r="S362" s="143">
        <f>64437600+35562400</f>
        <v>100000000</v>
      </c>
      <c r="T362" s="63" t="s">
        <v>935</v>
      </c>
      <c r="U362" s="173" t="s">
        <v>445</v>
      </c>
      <c r="V362" s="176">
        <v>43357</v>
      </c>
      <c r="W362" s="184">
        <v>3</v>
      </c>
      <c r="X362" s="85" t="s">
        <v>940</v>
      </c>
      <c r="Y362" s="150">
        <v>43357</v>
      </c>
      <c r="Z362" s="140">
        <v>100000000</v>
      </c>
      <c r="AA362" s="140"/>
      <c r="AB362" s="142">
        <v>1166</v>
      </c>
      <c r="AC362" s="133" t="s">
        <v>941</v>
      </c>
      <c r="AD362" s="230">
        <v>100000000</v>
      </c>
      <c r="AE362" s="133"/>
      <c r="AF362" s="85"/>
      <c r="AG362" s="63"/>
      <c r="AH362" s="63"/>
      <c r="AI362" s="63"/>
      <c r="AJ362" s="133"/>
      <c r="AK362" s="133"/>
      <c r="AL362" s="232"/>
      <c r="AM362" s="230"/>
      <c r="AN362" s="230">
        <f t="shared" si="39"/>
        <v>0</v>
      </c>
      <c r="AO362" s="133"/>
      <c r="AP362" s="178">
        <f t="shared" si="40"/>
        <v>100000000</v>
      </c>
      <c r="AQ362" s="133"/>
      <c r="AR362" s="133"/>
      <c r="AS362" s="133"/>
      <c r="AT362" s="133"/>
      <c r="AU362" s="133"/>
      <c r="AV362" s="179"/>
      <c r="AW362" s="220"/>
    </row>
    <row r="363" spans="1:49" s="221" customFormat="1" ht="256.5" x14ac:dyDescent="0.25">
      <c r="A363" s="173">
        <v>12</v>
      </c>
      <c r="B363" s="173" t="s">
        <v>942</v>
      </c>
      <c r="C363" s="173" t="s">
        <v>881</v>
      </c>
      <c r="D363" s="173" t="s">
        <v>882</v>
      </c>
      <c r="E363" s="174" t="s">
        <v>883</v>
      </c>
      <c r="F363" s="173" t="s">
        <v>52</v>
      </c>
      <c r="G363" s="173" t="s">
        <v>53</v>
      </c>
      <c r="H363" s="175" t="s">
        <v>884</v>
      </c>
      <c r="I363" s="173" t="s">
        <v>55</v>
      </c>
      <c r="J363" s="173" t="s">
        <v>56</v>
      </c>
      <c r="K363" s="63">
        <v>80111600</v>
      </c>
      <c r="L363" s="63" t="s">
        <v>885</v>
      </c>
      <c r="M363" s="63" t="s">
        <v>58</v>
      </c>
      <c r="N363" s="63" t="s">
        <v>59</v>
      </c>
      <c r="O363" s="64" t="s">
        <v>886</v>
      </c>
      <c r="P363" s="133" t="s">
        <v>943</v>
      </c>
      <c r="Q363" s="182">
        <v>4532000</v>
      </c>
      <c r="R363" s="133">
        <v>1</v>
      </c>
      <c r="S363" s="143">
        <f>4145750+57506733-36122216</f>
        <v>25530267</v>
      </c>
      <c r="T363" s="133" t="s">
        <v>928</v>
      </c>
      <c r="U363" s="173" t="s">
        <v>445</v>
      </c>
      <c r="V363" s="133" t="s">
        <v>844</v>
      </c>
      <c r="W363" s="233">
        <v>5.63</v>
      </c>
      <c r="X363" s="85" t="s">
        <v>944</v>
      </c>
      <c r="Y363" s="150">
        <v>43291</v>
      </c>
      <c r="Z363" s="143">
        <f>4145750+21384517</f>
        <v>25530267</v>
      </c>
      <c r="AA363" s="140"/>
      <c r="AB363" s="142">
        <v>972</v>
      </c>
      <c r="AC363" s="51">
        <v>43293</v>
      </c>
      <c r="AD363" s="230">
        <v>24926000</v>
      </c>
      <c r="AE363" s="133"/>
      <c r="AF363" s="85">
        <v>2507</v>
      </c>
      <c r="AG363" s="81">
        <v>43299</v>
      </c>
      <c r="AH363" s="230">
        <v>24926000</v>
      </c>
      <c r="AI363" s="64" t="s">
        <v>945</v>
      </c>
      <c r="AJ363" s="85">
        <v>446</v>
      </c>
      <c r="AK363" s="85"/>
      <c r="AL363" s="232">
        <v>6344800</v>
      </c>
      <c r="AM363" s="230" t="e">
        <f>VLOOKUP(AF363,'[1]SEPTIEMBRE 2018'!$N$4:$Y$18,11,FALSE)</f>
        <v>#N/A</v>
      </c>
      <c r="AN363" s="230">
        <f t="shared" si="39"/>
        <v>18581200</v>
      </c>
      <c r="AO363" s="133"/>
      <c r="AP363" s="178">
        <f t="shared" si="40"/>
        <v>604267</v>
      </c>
      <c r="AQ363" s="133"/>
      <c r="AR363" s="133"/>
      <c r="AS363" s="133"/>
      <c r="AT363" s="133"/>
      <c r="AU363" s="133"/>
      <c r="AV363" s="179" t="s">
        <v>946</v>
      </c>
      <c r="AW363" s="220"/>
    </row>
    <row r="364" spans="1:49" s="221" customFormat="1" ht="256.5" x14ac:dyDescent="0.25">
      <c r="A364" s="173">
        <v>13</v>
      </c>
      <c r="B364" s="173" t="s">
        <v>947</v>
      </c>
      <c r="C364" s="173" t="s">
        <v>881</v>
      </c>
      <c r="D364" s="173" t="s">
        <v>882</v>
      </c>
      <c r="E364" s="174" t="s">
        <v>883</v>
      </c>
      <c r="F364" s="173" t="s">
        <v>52</v>
      </c>
      <c r="G364" s="173" t="s">
        <v>53</v>
      </c>
      <c r="H364" s="175" t="s">
        <v>884</v>
      </c>
      <c r="I364" s="173" t="s">
        <v>55</v>
      </c>
      <c r="J364" s="173" t="s">
        <v>56</v>
      </c>
      <c r="K364" s="63">
        <v>80111600</v>
      </c>
      <c r="L364" s="63" t="s">
        <v>885</v>
      </c>
      <c r="M364" s="63" t="s">
        <v>58</v>
      </c>
      <c r="N364" s="63" t="s">
        <v>59</v>
      </c>
      <c r="O364" s="64" t="s">
        <v>886</v>
      </c>
      <c r="P364" s="133" t="s">
        <v>943</v>
      </c>
      <c r="Q364" s="182"/>
      <c r="R364" s="133">
        <v>1</v>
      </c>
      <c r="S364" s="143">
        <f>36122216+77250+1600</f>
        <v>36201066</v>
      </c>
      <c r="T364" s="133" t="s">
        <v>928</v>
      </c>
      <c r="U364" s="173" t="s">
        <v>445</v>
      </c>
      <c r="V364" s="150">
        <v>43313</v>
      </c>
      <c r="W364" s="233">
        <v>5.2</v>
      </c>
      <c r="X364" s="85" t="s">
        <v>948</v>
      </c>
      <c r="Y364" s="150">
        <v>43313</v>
      </c>
      <c r="Z364" s="143">
        <v>36201066</v>
      </c>
      <c r="AA364" s="140"/>
      <c r="AB364" s="142">
        <v>1032</v>
      </c>
      <c r="AC364" s="51">
        <v>43320</v>
      </c>
      <c r="AD364" s="230">
        <v>32445000</v>
      </c>
      <c r="AE364" s="133"/>
      <c r="AF364" s="85">
        <v>2683</v>
      </c>
      <c r="AG364" s="81">
        <v>43329</v>
      </c>
      <c r="AH364" s="230">
        <v>32445000</v>
      </c>
      <c r="AI364" s="63" t="s">
        <v>949</v>
      </c>
      <c r="AJ364" s="85">
        <v>507</v>
      </c>
      <c r="AK364" s="85"/>
      <c r="AL364" s="232">
        <v>2403330</v>
      </c>
      <c r="AM364" s="230" t="e">
        <f>VLOOKUP(AF364,'[1]SEPTIEMBRE 2018'!$N$4:$Y$18,11,FALSE)</f>
        <v>#N/A</v>
      </c>
      <c r="AN364" s="230">
        <f t="shared" si="39"/>
        <v>30041670</v>
      </c>
      <c r="AO364" s="133"/>
      <c r="AP364" s="178">
        <f t="shared" si="40"/>
        <v>3756066</v>
      </c>
      <c r="AQ364" s="133"/>
      <c r="AR364" s="133"/>
      <c r="AS364" s="133"/>
      <c r="AT364" s="133"/>
      <c r="AU364" s="133"/>
      <c r="AV364" s="179" t="s">
        <v>946</v>
      </c>
      <c r="AW364" s="220"/>
    </row>
    <row r="365" spans="1:49" s="221" customFormat="1" x14ac:dyDescent="0.25">
      <c r="A365" s="220"/>
      <c r="B365" s="220"/>
      <c r="C365" s="220"/>
      <c r="D365" s="220"/>
      <c r="E365" s="220"/>
      <c r="F365" s="220"/>
      <c r="G365" s="220"/>
      <c r="H365" s="220"/>
      <c r="I365" s="220"/>
      <c r="J365" s="220"/>
      <c r="K365" s="220"/>
      <c r="L365" s="220"/>
      <c r="M365" s="220"/>
      <c r="N365" s="220"/>
      <c r="O365" s="220"/>
      <c r="P365" s="220"/>
      <c r="Q365" s="220"/>
      <c r="R365" s="220"/>
      <c r="S365" s="220"/>
      <c r="T365" s="220"/>
      <c r="U365" s="220"/>
      <c r="V365" s="220"/>
      <c r="W365" s="220"/>
      <c r="X365" s="220"/>
      <c r="Y365" s="220"/>
      <c r="Z365" s="220"/>
      <c r="AA365" s="220"/>
      <c r="AB365" s="220"/>
      <c r="AC365" s="220"/>
      <c r="AD365" s="220"/>
      <c r="AE365" s="220"/>
      <c r="AF365" s="220"/>
      <c r="AG365" s="220"/>
      <c r="AH365" s="220"/>
      <c r="AI365" s="220"/>
      <c r="AJ365" s="220"/>
      <c r="AK365" s="220"/>
      <c r="AL365" s="220"/>
      <c r="AM365" s="220"/>
      <c r="AN365" s="220"/>
      <c r="AO365" s="220"/>
      <c r="AP365" s="220"/>
      <c r="AQ365" s="220"/>
      <c r="AR365" s="220"/>
      <c r="AS365" s="220"/>
      <c r="AT365" s="220"/>
      <c r="AU365" s="220"/>
      <c r="AV365" s="220"/>
      <c r="AW365" s="220"/>
    </row>
    <row r="366" spans="1:49" s="221" customFormat="1" x14ac:dyDescent="0.25">
      <c r="A366" s="220"/>
      <c r="B366" s="220"/>
      <c r="C366" s="220"/>
      <c r="D366" s="220"/>
      <c r="E366" s="220"/>
      <c r="F366" s="220"/>
      <c r="G366" s="220"/>
      <c r="H366" s="220"/>
      <c r="I366" s="220"/>
      <c r="J366" s="220"/>
      <c r="K366" s="220"/>
      <c r="L366" s="220"/>
      <c r="M366" s="220"/>
      <c r="N366" s="220"/>
      <c r="O366" s="220"/>
      <c r="P366" s="220"/>
      <c r="Q366" s="220"/>
      <c r="R366" s="220"/>
      <c r="S366" s="220"/>
      <c r="T366" s="220"/>
      <c r="U366" s="220"/>
      <c r="V366" s="220"/>
      <c r="W366" s="220"/>
      <c r="X366" s="220"/>
      <c r="Y366" s="220"/>
      <c r="Z366" s="220"/>
      <c r="AA366" s="220"/>
      <c r="AB366" s="220"/>
      <c r="AC366" s="220"/>
      <c r="AD366" s="220"/>
      <c r="AE366" s="220"/>
      <c r="AF366" s="220"/>
      <c r="AG366" s="220"/>
      <c r="AH366" s="220"/>
      <c r="AI366" s="220"/>
      <c r="AJ366" s="220"/>
      <c r="AK366" s="220"/>
      <c r="AL366" s="220"/>
      <c r="AM366" s="220"/>
      <c r="AN366" s="220"/>
      <c r="AO366" s="220"/>
      <c r="AP366" s="220"/>
      <c r="AQ366" s="220"/>
      <c r="AR366" s="220"/>
      <c r="AS366" s="220"/>
      <c r="AT366" s="220"/>
      <c r="AU366" s="220"/>
      <c r="AV366" s="220"/>
      <c r="AW366" s="220"/>
    </row>
    <row r="367" spans="1:49" s="221" customFormat="1" ht="156.75" x14ac:dyDescent="0.25">
      <c r="A367" s="173">
        <v>1</v>
      </c>
      <c r="B367" s="173" t="s">
        <v>950</v>
      </c>
      <c r="C367" s="173" t="s">
        <v>951</v>
      </c>
      <c r="D367" s="173" t="s">
        <v>952</v>
      </c>
      <c r="E367" s="173" t="s">
        <v>953</v>
      </c>
      <c r="F367" s="173" t="s">
        <v>52</v>
      </c>
      <c r="G367" s="173" t="s">
        <v>53</v>
      </c>
      <c r="H367" s="175" t="s">
        <v>884</v>
      </c>
      <c r="I367" s="173" t="s">
        <v>55</v>
      </c>
      <c r="J367" s="173" t="s">
        <v>56</v>
      </c>
      <c r="K367" s="63">
        <v>80111600</v>
      </c>
      <c r="L367" s="63" t="s">
        <v>954</v>
      </c>
      <c r="M367" s="63" t="s">
        <v>58</v>
      </c>
      <c r="N367" s="63" t="s">
        <v>59</v>
      </c>
      <c r="O367" s="64" t="s">
        <v>886</v>
      </c>
      <c r="P367" s="63" t="s">
        <v>955</v>
      </c>
      <c r="Q367" s="185">
        <v>7210000</v>
      </c>
      <c r="R367" s="184">
        <v>1</v>
      </c>
      <c r="S367" s="185">
        <f>83636000-721000</f>
        <v>82915000</v>
      </c>
      <c r="T367" s="133" t="s">
        <v>888</v>
      </c>
      <c r="U367" s="173" t="s">
        <v>445</v>
      </c>
      <c r="V367" s="176" t="s">
        <v>493</v>
      </c>
      <c r="W367" s="177">
        <v>11.57</v>
      </c>
      <c r="X367" s="234" t="s">
        <v>956</v>
      </c>
      <c r="Y367" s="60">
        <v>43102</v>
      </c>
      <c r="Z367" s="185">
        <v>83636000</v>
      </c>
      <c r="AA367" s="64"/>
      <c r="AB367" s="186">
        <v>90</v>
      </c>
      <c r="AC367" s="60">
        <v>43103</v>
      </c>
      <c r="AD367" s="230">
        <v>82915000</v>
      </c>
      <c r="AE367" s="235">
        <f>S367-AD367</f>
        <v>0</v>
      </c>
      <c r="AF367" s="186">
        <v>166</v>
      </c>
      <c r="AG367" s="60">
        <v>43118</v>
      </c>
      <c r="AH367" s="230">
        <v>82915000</v>
      </c>
      <c r="AI367" s="64" t="s">
        <v>957</v>
      </c>
      <c r="AJ367" s="50">
        <v>124</v>
      </c>
      <c r="AK367" s="64"/>
      <c r="AL367" s="69">
        <v>53594333</v>
      </c>
      <c r="AM367" s="236">
        <f>AH367-AL367</f>
        <v>29320667</v>
      </c>
      <c r="AN367" s="64"/>
      <c r="AO367" s="237">
        <f>S367-AH367</f>
        <v>0</v>
      </c>
      <c r="AP367" s="64"/>
      <c r="AQ367" s="64"/>
      <c r="AR367" s="64"/>
      <c r="AS367" s="64"/>
      <c r="AT367" s="64"/>
      <c r="AU367" s="64"/>
      <c r="AV367" s="64"/>
      <c r="AW367" s="220"/>
    </row>
    <row r="368" spans="1:49" s="221" customFormat="1" ht="199.5" x14ac:dyDescent="0.25">
      <c r="A368" s="173">
        <f t="shared" ref="A368:A413" si="41">+A367+1</f>
        <v>2</v>
      </c>
      <c r="B368" s="173" t="s">
        <v>958</v>
      </c>
      <c r="C368" s="173" t="s">
        <v>951</v>
      </c>
      <c r="D368" s="173" t="s">
        <v>952</v>
      </c>
      <c r="E368" s="173" t="s">
        <v>953</v>
      </c>
      <c r="F368" s="173" t="s">
        <v>52</v>
      </c>
      <c r="G368" s="173" t="s">
        <v>53</v>
      </c>
      <c r="H368" s="175" t="s">
        <v>884</v>
      </c>
      <c r="I368" s="173" t="s">
        <v>55</v>
      </c>
      <c r="J368" s="173" t="s">
        <v>56</v>
      </c>
      <c r="K368" s="63">
        <v>80111600</v>
      </c>
      <c r="L368" s="63" t="s">
        <v>954</v>
      </c>
      <c r="M368" s="63" t="s">
        <v>58</v>
      </c>
      <c r="N368" s="63" t="s">
        <v>59</v>
      </c>
      <c r="O368" s="64" t="s">
        <v>886</v>
      </c>
      <c r="P368" s="63" t="s">
        <v>959</v>
      </c>
      <c r="Q368" s="185">
        <v>4532000</v>
      </c>
      <c r="R368" s="184">
        <v>1</v>
      </c>
      <c r="S368" s="185">
        <v>36256000</v>
      </c>
      <c r="T368" s="133" t="s">
        <v>888</v>
      </c>
      <c r="U368" s="173" t="s">
        <v>445</v>
      </c>
      <c r="V368" s="176" t="s">
        <v>493</v>
      </c>
      <c r="W368" s="177">
        <v>8</v>
      </c>
      <c r="X368" s="234" t="s">
        <v>960</v>
      </c>
      <c r="Y368" s="60">
        <v>43102</v>
      </c>
      <c r="Z368" s="185">
        <v>36256000</v>
      </c>
      <c r="AA368" s="64"/>
      <c r="AB368" s="186">
        <v>91</v>
      </c>
      <c r="AC368" s="60">
        <v>43103</v>
      </c>
      <c r="AD368" s="230">
        <v>36256000</v>
      </c>
      <c r="AE368" s="235">
        <f t="shared" ref="AE368:AE377" si="42">S368-AD368</f>
        <v>0</v>
      </c>
      <c r="AF368" s="186">
        <v>490</v>
      </c>
      <c r="AG368" s="60">
        <v>43126</v>
      </c>
      <c r="AH368" s="230">
        <v>36256000</v>
      </c>
      <c r="AI368" s="64" t="s">
        <v>961</v>
      </c>
      <c r="AJ368" s="50">
        <v>419</v>
      </c>
      <c r="AK368" s="64"/>
      <c r="AL368" s="69">
        <v>31724000</v>
      </c>
      <c r="AM368" s="236">
        <f t="shared" ref="AM368:AM413" si="43">AH368-AL368</f>
        <v>4532000</v>
      </c>
      <c r="AN368" s="64"/>
      <c r="AO368" s="237">
        <f t="shared" ref="AO368:AO413" si="44">S368-AH368</f>
        <v>0</v>
      </c>
      <c r="AP368" s="64"/>
      <c r="AQ368" s="64"/>
      <c r="AR368" s="64"/>
      <c r="AS368" s="64"/>
      <c r="AT368" s="64"/>
      <c r="AU368" s="64"/>
      <c r="AV368" s="64"/>
      <c r="AW368" s="220"/>
    </row>
    <row r="369" spans="1:49" s="221" customFormat="1" ht="228" x14ac:dyDescent="0.25">
      <c r="A369" s="173">
        <f t="shared" si="41"/>
        <v>3</v>
      </c>
      <c r="B369" s="173" t="s">
        <v>962</v>
      </c>
      <c r="C369" s="173" t="s">
        <v>951</v>
      </c>
      <c r="D369" s="173" t="s">
        <v>952</v>
      </c>
      <c r="E369" s="173" t="s">
        <v>953</v>
      </c>
      <c r="F369" s="173" t="s">
        <v>52</v>
      </c>
      <c r="G369" s="173" t="s">
        <v>53</v>
      </c>
      <c r="H369" s="175" t="s">
        <v>884</v>
      </c>
      <c r="I369" s="173" t="s">
        <v>55</v>
      </c>
      <c r="J369" s="173" t="s">
        <v>56</v>
      </c>
      <c r="K369" s="63">
        <v>80111600</v>
      </c>
      <c r="L369" s="63" t="s">
        <v>954</v>
      </c>
      <c r="M369" s="63" t="s">
        <v>58</v>
      </c>
      <c r="N369" s="63" t="s">
        <v>59</v>
      </c>
      <c r="O369" s="64" t="s">
        <v>886</v>
      </c>
      <c r="P369" s="63" t="s">
        <v>963</v>
      </c>
      <c r="Q369" s="185">
        <v>5253000</v>
      </c>
      <c r="R369" s="184">
        <v>1</v>
      </c>
      <c r="S369" s="185">
        <v>59709100</v>
      </c>
      <c r="T369" s="133" t="s">
        <v>888</v>
      </c>
      <c r="U369" s="173" t="s">
        <v>445</v>
      </c>
      <c r="V369" s="176" t="s">
        <v>493</v>
      </c>
      <c r="W369" s="177">
        <v>11.4</v>
      </c>
      <c r="X369" s="234" t="s">
        <v>964</v>
      </c>
      <c r="Y369" s="60">
        <v>43102</v>
      </c>
      <c r="Z369" s="185">
        <v>59709100</v>
      </c>
      <c r="AA369" s="64"/>
      <c r="AB369" s="186">
        <v>92</v>
      </c>
      <c r="AC369" s="60">
        <v>43103</v>
      </c>
      <c r="AD369" s="230">
        <v>59709100</v>
      </c>
      <c r="AE369" s="235">
        <f t="shared" si="42"/>
        <v>0</v>
      </c>
      <c r="AF369" s="186">
        <v>468</v>
      </c>
      <c r="AG369" s="60">
        <v>43126</v>
      </c>
      <c r="AH369" s="230">
        <v>59709100</v>
      </c>
      <c r="AI369" s="64" t="s">
        <v>965</v>
      </c>
      <c r="AJ369" s="50">
        <v>395</v>
      </c>
      <c r="AK369" s="64"/>
      <c r="AL369" s="69">
        <v>37646500</v>
      </c>
      <c r="AM369" s="236">
        <f t="shared" si="43"/>
        <v>22062600</v>
      </c>
      <c r="AN369" s="64"/>
      <c r="AO369" s="237">
        <f t="shared" si="44"/>
        <v>0</v>
      </c>
      <c r="AP369" s="64"/>
      <c r="AQ369" s="64"/>
      <c r="AR369" s="64"/>
      <c r="AS369" s="64"/>
      <c r="AT369" s="64"/>
      <c r="AU369" s="64"/>
      <c r="AV369" s="64"/>
      <c r="AW369" s="220"/>
    </row>
    <row r="370" spans="1:49" s="221" customFormat="1" ht="270.75" x14ac:dyDescent="0.25">
      <c r="A370" s="173">
        <f t="shared" si="41"/>
        <v>4</v>
      </c>
      <c r="B370" s="173" t="s">
        <v>966</v>
      </c>
      <c r="C370" s="173" t="s">
        <v>951</v>
      </c>
      <c r="D370" s="173" t="s">
        <v>952</v>
      </c>
      <c r="E370" s="173" t="s">
        <v>953</v>
      </c>
      <c r="F370" s="173" t="s">
        <v>52</v>
      </c>
      <c r="G370" s="173" t="s">
        <v>53</v>
      </c>
      <c r="H370" s="175" t="s">
        <v>884</v>
      </c>
      <c r="I370" s="173" t="s">
        <v>55</v>
      </c>
      <c r="J370" s="173" t="s">
        <v>56</v>
      </c>
      <c r="K370" s="63">
        <v>80111600</v>
      </c>
      <c r="L370" s="63" t="s">
        <v>954</v>
      </c>
      <c r="M370" s="63" t="s">
        <v>58</v>
      </c>
      <c r="N370" s="63" t="s">
        <v>59</v>
      </c>
      <c r="O370" s="64" t="s">
        <v>886</v>
      </c>
      <c r="P370" s="63" t="s">
        <v>967</v>
      </c>
      <c r="Q370" s="185">
        <v>4532000</v>
      </c>
      <c r="R370" s="184">
        <v>1</v>
      </c>
      <c r="S370" s="185">
        <v>51966933.329999998</v>
      </c>
      <c r="T370" s="133" t="s">
        <v>888</v>
      </c>
      <c r="U370" s="173" t="s">
        <v>445</v>
      </c>
      <c r="V370" s="176" t="s">
        <v>493</v>
      </c>
      <c r="W370" s="177">
        <v>11.5</v>
      </c>
      <c r="X370" s="234" t="s">
        <v>968</v>
      </c>
      <c r="Y370" s="60">
        <v>43102</v>
      </c>
      <c r="Z370" s="185">
        <v>51966933.329999998</v>
      </c>
      <c r="AA370" s="64"/>
      <c r="AB370" s="186">
        <v>94</v>
      </c>
      <c r="AC370" s="60">
        <v>43103</v>
      </c>
      <c r="AD370" s="230">
        <v>51966933</v>
      </c>
      <c r="AE370" s="238">
        <f t="shared" si="42"/>
        <v>0.32999999821186066</v>
      </c>
      <c r="AF370" s="186">
        <v>333</v>
      </c>
      <c r="AG370" s="60">
        <v>43123</v>
      </c>
      <c r="AH370" s="230">
        <v>51966933</v>
      </c>
      <c r="AI370" s="64" t="s">
        <v>969</v>
      </c>
      <c r="AJ370" s="50">
        <v>283</v>
      </c>
      <c r="AK370" s="64"/>
      <c r="AL370" s="69">
        <v>32932533</v>
      </c>
      <c r="AM370" s="236">
        <f t="shared" si="43"/>
        <v>19034400</v>
      </c>
      <c r="AN370" s="64"/>
      <c r="AO370" s="231">
        <f t="shared" si="44"/>
        <v>0.32999999821186066</v>
      </c>
      <c r="AP370" s="64"/>
      <c r="AQ370" s="64"/>
      <c r="AR370" s="64"/>
      <c r="AS370" s="64"/>
      <c r="AT370" s="64"/>
      <c r="AU370" s="64"/>
      <c r="AV370" s="64"/>
      <c r="AW370" s="220"/>
    </row>
    <row r="371" spans="1:49" s="221" customFormat="1" ht="242.25" x14ac:dyDescent="0.25">
      <c r="A371" s="173">
        <f t="shared" si="41"/>
        <v>5</v>
      </c>
      <c r="B371" s="173" t="s">
        <v>970</v>
      </c>
      <c r="C371" s="173" t="s">
        <v>951</v>
      </c>
      <c r="D371" s="173" t="s">
        <v>952</v>
      </c>
      <c r="E371" s="173" t="s">
        <v>953</v>
      </c>
      <c r="F371" s="173" t="s">
        <v>52</v>
      </c>
      <c r="G371" s="173" t="s">
        <v>53</v>
      </c>
      <c r="H371" s="175" t="s">
        <v>884</v>
      </c>
      <c r="I371" s="173" t="s">
        <v>55</v>
      </c>
      <c r="J371" s="173" t="s">
        <v>56</v>
      </c>
      <c r="K371" s="63">
        <v>80111600</v>
      </c>
      <c r="L371" s="63" t="s">
        <v>954</v>
      </c>
      <c r="M371" s="63" t="s">
        <v>58</v>
      </c>
      <c r="N371" s="63" t="s">
        <v>59</v>
      </c>
      <c r="O371" s="64" t="s">
        <v>886</v>
      </c>
      <c r="P371" s="63" t="s">
        <v>971</v>
      </c>
      <c r="Q371" s="185">
        <v>3326900</v>
      </c>
      <c r="R371" s="184">
        <v>1</v>
      </c>
      <c r="S371" s="185">
        <f>18297950+18297950</f>
        <v>36595900</v>
      </c>
      <c r="T371" s="133" t="s">
        <v>972</v>
      </c>
      <c r="U371" s="173" t="s">
        <v>445</v>
      </c>
      <c r="V371" s="176" t="s">
        <v>493</v>
      </c>
      <c r="W371" s="177">
        <v>5.5</v>
      </c>
      <c r="X371" s="234" t="s">
        <v>973</v>
      </c>
      <c r="Y371" s="60">
        <v>43116</v>
      </c>
      <c r="Z371" s="185">
        <v>36595900</v>
      </c>
      <c r="AA371" s="64" t="s">
        <v>974</v>
      </c>
      <c r="AB371" s="186">
        <v>515</v>
      </c>
      <c r="AC371" s="60">
        <v>43117</v>
      </c>
      <c r="AD371" s="230">
        <v>36595900</v>
      </c>
      <c r="AE371" s="238">
        <f t="shared" si="42"/>
        <v>0</v>
      </c>
      <c r="AF371" s="186">
        <v>251</v>
      </c>
      <c r="AG371" s="60">
        <v>43119</v>
      </c>
      <c r="AH371" s="230">
        <v>36595900</v>
      </c>
      <c r="AI371" s="64" t="s">
        <v>975</v>
      </c>
      <c r="AJ371" s="50">
        <v>204</v>
      </c>
      <c r="AK371" s="50"/>
      <c r="AL371" s="69">
        <v>24619060</v>
      </c>
      <c r="AM371" s="236">
        <f t="shared" si="43"/>
        <v>11976840</v>
      </c>
      <c r="AN371" s="64"/>
      <c r="AO371" s="231">
        <f t="shared" si="44"/>
        <v>0</v>
      </c>
      <c r="AP371" s="64"/>
      <c r="AQ371" s="64"/>
      <c r="AR371" s="64"/>
      <c r="AS371" s="64"/>
      <c r="AT371" s="64"/>
      <c r="AU371" s="64"/>
      <c r="AV371" s="64"/>
      <c r="AW371" s="220"/>
    </row>
    <row r="372" spans="1:49" s="221" customFormat="1" ht="342" x14ac:dyDescent="0.25">
      <c r="A372" s="173">
        <f t="shared" si="41"/>
        <v>6</v>
      </c>
      <c r="B372" s="173" t="s">
        <v>976</v>
      </c>
      <c r="C372" s="173" t="s">
        <v>951</v>
      </c>
      <c r="D372" s="173" t="s">
        <v>952</v>
      </c>
      <c r="E372" s="173" t="s">
        <v>953</v>
      </c>
      <c r="F372" s="173" t="s">
        <v>52</v>
      </c>
      <c r="G372" s="173" t="s">
        <v>53</v>
      </c>
      <c r="H372" s="175" t="s">
        <v>884</v>
      </c>
      <c r="I372" s="173" t="s">
        <v>55</v>
      </c>
      <c r="J372" s="173" t="s">
        <v>56</v>
      </c>
      <c r="K372" s="63">
        <v>80111600</v>
      </c>
      <c r="L372" s="63" t="s">
        <v>954</v>
      </c>
      <c r="M372" s="63" t="s">
        <v>58</v>
      </c>
      <c r="N372" s="63" t="s">
        <v>59</v>
      </c>
      <c r="O372" s="64" t="s">
        <v>886</v>
      </c>
      <c r="P372" s="63" t="s">
        <v>977</v>
      </c>
      <c r="Q372" s="185">
        <v>6695000</v>
      </c>
      <c r="R372" s="184">
        <v>1</v>
      </c>
      <c r="S372" s="185">
        <f>77215666.6666667-223167</f>
        <v>76992499.666666701</v>
      </c>
      <c r="T372" s="133" t="s">
        <v>888</v>
      </c>
      <c r="U372" s="173" t="s">
        <v>445</v>
      </c>
      <c r="V372" s="176" t="s">
        <v>493</v>
      </c>
      <c r="W372" s="177">
        <v>11.5</v>
      </c>
      <c r="X372" s="234" t="s">
        <v>978</v>
      </c>
      <c r="Y372" s="60">
        <v>43102</v>
      </c>
      <c r="Z372" s="185">
        <v>77215666.666666657</v>
      </c>
      <c r="AA372" s="64"/>
      <c r="AB372" s="186">
        <v>96</v>
      </c>
      <c r="AC372" s="60">
        <v>43103</v>
      </c>
      <c r="AD372" s="230">
        <v>76992500</v>
      </c>
      <c r="AE372" s="238">
        <f t="shared" si="42"/>
        <v>-0.33333329856395721</v>
      </c>
      <c r="AF372" s="186">
        <v>54</v>
      </c>
      <c r="AG372" s="60">
        <v>43116</v>
      </c>
      <c r="AH372" s="230">
        <v>76992500</v>
      </c>
      <c r="AI372" s="64" t="s">
        <v>979</v>
      </c>
      <c r="AJ372" s="50">
        <v>41</v>
      </c>
      <c r="AK372" s="50"/>
      <c r="AL372" s="69">
        <v>49989333</v>
      </c>
      <c r="AM372" s="236">
        <f t="shared" si="43"/>
        <v>27003167</v>
      </c>
      <c r="AN372" s="64"/>
      <c r="AO372" s="231">
        <f t="shared" si="44"/>
        <v>-0.33333329856395721</v>
      </c>
      <c r="AP372" s="64"/>
      <c r="AQ372" s="64"/>
      <c r="AR372" s="64"/>
      <c r="AS372" s="64"/>
      <c r="AT372" s="64"/>
      <c r="AU372" s="64"/>
      <c r="AV372" s="64"/>
      <c r="AW372" s="220"/>
    </row>
    <row r="373" spans="1:49" s="221" customFormat="1" ht="242.25" x14ac:dyDescent="0.25">
      <c r="A373" s="173">
        <f t="shared" si="41"/>
        <v>7</v>
      </c>
      <c r="B373" s="173" t="s">
        <v>980</v>
      </c>
      <c r="C373" s="173" t="s">
        <v>951</v>
      </c>
      <c r="D373" s="173" t="s">
        <v>952</v>
      </c>
      <c r="E373" s="173" t="s">
        <v>953</v>
      </c>
      <c r="F373" s="173" t="s">
        <v>52</v>
      </c>
      <c r="G373" s="173" t="s">
        <v>53</v>
      </c>
      <c r="H373" s="175" t="s">
        <v>884</v>
      </c>
      <c r="I373" s="173" t="s">
        <v>55</v>
      </c>
      <c r="J373" s="173" t="s">
        <v>56</v>
      </c>
      <c r="K373" s="63">
        <v>80111600</v>
      </c>
      <c r="L373" s="63" t="s">
        <v>954</v>
      </c>
      <c r="M373" s="63" t="s">
        <v>58</v>
      </c>
      <c r="N373" s="63" t="s">
        <v>59</v>
      </c>
      <c r="O373" s="64" t="s">
        <v>886</v>
      </c>
      <c r="P373" s="63" t="s">
        <v>981</v>
      </c>
      <c r="Q373" s="185">
        <v>3553500</v>
      </c>
      <c r="R373" s="184">
        <v>1</v>
      </c>
      <c r="S373" s="185">
        <v>39799200</v>
      </c>
      <c r="T373" s="133" t="s">
        <v>888</v>
      </c>
      <c r="U373" s="173" t="s">
        <v>445</v>
      </c>
      <c r="V373" s="176" t="s">
        <v>493</v>
      </c>
      <c r="W373" s="177">
        <v>11.17</v>
      </c>
      <c r="X373" s="234" t="s">
        <v>982</v>
      </c>
      <c r="Y373" s="60">
        <v>43102</v>
      </c>
      <c r="Z373" s="185">
        <v>39799200</v>
      </c>
      <c r="AA373" s="64"/>
      <c r="AB373" s="186">
        <v>97</v>
      </c>
      <c r="AC373" s="60">
        <v>43103</v>
      </c>
      <c r="AD373" s="230">
        <v>39799200</v>
      </c>
      <c r="AE373" s="238">
        <f t="shared" si="42"/>
        <v>0</v>
      </c>
      <c r="AF373" s="186">
        <v>489</v>
      </c>
      <c r="AG373" s="60">
        <v>43126</v>
      </c>
      <c r="AH373" s="230">
        <v>39799200</v>
      </c>
      <c r="AI373" s="64" t="s">
        <v>983</v>
      </c>
      <c r="AJ373" s="50">
        <v>418</v>
      </c>
      <c r="AK373" s="50"/>
      <c r="AL373" s="69">
        <v>24992950</v>
      </c>
      <c r="AM373" s="236">
        <f t="shared" si="43"/>
        <v>14806250</v>
      </c>
      <c r="AN373" s="64"/>
      <c r="AO373" s="231">
        <f t="shared" si="44"/>
        <v>0</v>
      </c>
      <c r="AP373" s="64"/>
      <c r="AQ373" s="64"/>
      <c r="AR373" s="64"/>
      <c r="AS373" s="64"/>
      <c r="AT373" s="64"/>
      <c r="AU373" s="64"/>
      <c r="AV373" s="64"/>
      <c r="AW373" s="220"/>
    </row>
    <row r="374" spans="1:49" s="221" customFormat="1" ht="242.25" x14ac:dyDescent="0.25">
      <c r="A374" s="173">
        <f t="shared" si="41"/>
        <v>8</v>
      </c>
      <c r="B374" s="173" t="s">
        <v>984</v>
      </c>
      <c r="C374" s="173" t="s">
        <v>951</v>
      </c>
      <c r="D374" s="173" t="s">
        <v>952</v>
      </c>
      <c r="E374" s="173" t="s">
        <v>953</v>
      </c>
      <c r="F374" s="173" t="s">
        <v>52</v>
      </c>
      <c r="G374" s="173" t="s">
        <v>53</v>
      </c>
      <c r="H374" s="175" t="s">
        <v>884</v>
      </c>
      <c r="I374" s="173" t="s">
        <v>55</v>
      </c>
      <c r="J374" s="173" t="s">
        <v>56</v>
      </c>
      <c r="K374" s="63">
        <v>80111600</v>
      </c>
      <c r="L374" s="63" t="s">
        <v>954</v>
      </c>
      <c r="M374" s="63" t="s">
        <v>58</v>
      </c>
      <c r="N374" s="63" t="s">
        <v>59</v>
      </c>
      <c r="O374" s="64" t="s">
        <v>886</v>
      </c>
      <c r="P374" s="63" t="s">
        <v>985</v>
      </c>
      <c r="Q374" s="185">
        <v>3399000</v>
      </c>
      <c r="R374" s="184">
        <v>1</v>
      </c>
      <c r="S374" s="185">
        <f>39428400-339900</f>
        <v>39088500</v>
      </c>
      <c r="T374" s="133" t="s">
        <v>888</v>
      </c>
      <c r="U374" s="173" t="s">
        <v>445</v>
      </c>
      <c r="V374" s="176" t="s">
        <v>493</v>
      </c>
      <c r="W374" s="177">
        <v>11.6</v>
      </c>
      <c r="X374" s="234" t="s">
        <v>986</v>
      </c>
      <c r="Y374" s="60">
        <v>43102</v>
      </c>
      <c r="Z374" s="185">
        <v>39428400</v>
      </c>
      <c r="AA374" s="64"/>
      <c r="AB374" s="186">
        <v>98</v>
      </c>
      <c r="AC374" s="60">
        <v>43103</v>
      </c>
      <c r="AD374" s="230">
        <v>39088500</v>
      </c>
      <c r="AE374" s="238">
        <f t="shared" si="42"/>
        <v>0</v>
      </c>
      <c r="AF374" s="186">
        <v>172</v>
      </c>
      <c r="AG374" s="60">
        <v>43118</v>
      </c>
      <c r="AH374" s="230">
        <v>39088500</v>
      </c>
      <c r="AI374" s="64" t="s">
        <v>987</v>
      </c>
      <c r="AJ374" s="50">
        <v>139</v>
      </c>
      <c r="AK374" s="50"/>
      <c r="AL374" s="69">
        <v>25265900</v>
      </c>
      <c r="AM374" s="236">
        <f t="shared" si="43"/>
        <v>13822600</v>
      </c>
      <c r="AN374" s="64"/>
      <c r="AO374" s="231">
        <f t="shared" si="44"/>
        <v>0</v>
      </c>
      <c r="AP374" s="64"/>
      <c r="AQ374" s="64"/>
      <c r="AR374" s="64"/>
      <c r="AS374" s="64"/>
      <c r="AT374" s="64"/>
      <c r="AU374" s="64"/>
      <c r="AV374" s="64"/>
      <c r="AW374" s="220"/>
    </row>
    <row r="375" spans="1:49" s="221" customFormat="1" ht="256.5" x14ac:dyDescent="0.25">
      <c r="A375" s="173">
        <f t="shared" si="41"/>
        <v>9</v>
      </c>
      <c r="B375" s="173" t="s">
        <v>988</v>
      </c>
      <c r="C375" s="173" t="s">
        <v>951</v>
      </c>
      <c r="D375" s="173" t="s">
        <v>952</v>
      </c>
      <c r="E375" s="173" t="s">
        <v>953</v>
      </c>
      <c r="F375" s="173" t="s">
        <v>52</v>
      </c>
      <c r="G375" s="173" t="s">
        <v>53</v>
      </c>
      <c r="H375" s="175" t="s">
        <v>884</v>
      </c>
      <c r="I375" s="173" t="s">
        <v>55</v>
      </c>
      <c r="J375" s="173" t="s">
        <v>56</v>
      </c>
      <c r="K375" s="63">
        <v>80111600</v>
      </c>
      <c r="L375" s="63" t="s">
        <v>954</v>
      </c>
      <c r="M375" s="63" t="s">
        <v>58</v>
      </c>
      <c r="N375" s="63" t="s">
        <v>59</v>
      </c>
      <c r="O375" s="64" t="s">
        <v>886</v>
      </c>
      <c r="P375" s="63" t="s">
        <v>989</v>
      </c>
      <c r="Q375" s="185">
        <v>3326900</v>
      </c>
      <c r="R375" s="184">
        <v>1</v>
      </c>
      <c r="S375" s="185">
        <f>18297950+15858223</f>
        <v>34156173</v>
      </c>
      <c r="T375" s="133" t="s">
        <v>972</v>
      </c>
      <c r="U375" s="173" t="s">
        <v>445</v>
      </c>
      <c r="V375" s="176" t="s">
        <v>493</v>
      </c>
      <c r="W375" s="177">
        <v>5.5</v>
      </c>
      <c r="X375" s="234" t="s">
        <v>990</v>
      </c>
      <c r="Y375" s="60">
        <v>43116</v>
      </c>
      <c r="Z375" s="185">
        <v>34156173</v>
      </c>
      <c r="AA375" s="64" t="s">
        <v>991</v>
      </c>
      <c r="AB375" s="186">
        <v>516</v>
      </c>
      <c r="AC375" s="60">
        <v>43117</v>
      </c>
      <c r="AD375" s="230">
        <v>34156173</v>
      </c>
      <c r="AE375" s="238">
        <f t="shared" si="42"/>
        <v>0</v>
      </c>
      <c r="AF375" s="186">
        <v>221</v>
      </c>
      <c r="AG375" s="60">
        <v>43117</v>
      </c>
      <c r="AH375" s="230">
        <v>34156173</v>
      </c>
      <c r="AI375" s="64" t="s">
        <v>992</v>
      </c>
      <c r="AJ375" s="50">
        <v>195</v>
      </c>
      <c r="AK375" s="50"/>
      <c r="AL375" s="69">
        <v>24619060</v>
      </c>
      <c r="AM375" s="236">
        <f t="shared" si="43"/>
        <v>9537113</v>
      </c>
      <c r="AN375" s="64"/>
      <c r="AO375" s="231">
        <f t="shared" si="44"/>
        <v>0</v>
      </c>
      <c r="AP375" s="64"/>
      <c r="AQ375" s="64"/>
      <c r="AR375" s="64"/>
      <c r="AS375" s="64"/>
      <c r="AT375" s="64"/>
      <c r="AU375" s="64"/>
      <c r="AV375" s="64"/>
      <c r="AW375" s="220"/>
    </row>
    <row r="376" spans="1:49" s="221" customFormat="1" ht="299.25" x14ac:dyDescent="0.25">
      <c r="A376" s="173">
        <f t="shared" si="41"/>
        <v>10</v>
      </c>
      <c r="B376" s="173" t="s">
        <v>993</v>
      </c>
      <c r="C376" s="173" t="s">
        <v>951</v>
      </c>
      <c r="D376" s="173" t="s">
        <v>952</v>
      </c>
      <c r="E376" s="173" t="s">
        <v>953</v>
      </c>
      <c r="F376" s="173" t="s">
        <v>52</v>
      </c>
      <c r="G376" s="173" t="s">
        <v>53</v>
      </c>
      <c r="H376" s="175" t="s">
        <v>884</v>
      </c>
      <c r="I376" s="173" t="s">
        <v>55</v>
      </c>
      <c r="J376" s="173" t="s">
        <v>56</v>
      </c>
      <c r="K376" s="63">
        <v>80111600</v>
      </c>
      <c r="L376" s="63" t="s">
        <v>954</v>
      </c>
      <c r="M376" s="63" t="s">
        <v>58</v>
      </c>
      <c r="N376" s="63" t="s">
        <v>59</v>
      </c>
      <c r="O376" s="64" t="s">
        <v>886</v>
      </c>
      <c r="P376" s="63" t="s">
        <v>994</v>
      </c>
      <c r="Q376" s="185">
        <v>7210000</v>
      </c>
      <c r="R376" s="184">
        <v>1</v>
      </c>
      <c r="S376" s="185">
        <v>80511666.666666672</v>
      </c>
      <c r="T376" s="133" t="s">
        <v>888</v>
      </c>
      <c r="U376" s="173" t="s">
        <v>445</v>
      </c>
      <c r="V376" s="176" t="s">
        <v>493</v>
      </c>
      <c r="W376" s="177">
        <v>11.17</v>
      </c>
      <c r="X376" s="234" t="s">
        <v>995</v>
      </c>
      <c r="Y376" s="60">
        <v>43102</v>
      </c>
      <c r="Z376" s="185">
        <v>80511666.666666672</v>
      </c>
      <c r="AA376" s="64"/>
      <c r="AB376" s="186">
        <v>100</v>
      </c>
      <c r="AC376" s="60">
        <v>43103</v>
      </c>
      <c r="AD376" s="230">
        <v>80511667</v>
      </c>
      <c r="AE376" s="238">
        <f t="shared" si="42"/>
        <v>-0.3333333283662796</v>
      </c>
      <c r="AF376" s="186">
        <v>495</v>
      </c>
      <c r="AG376" s="60">
        <v>43126</v>
      </c>
      <c r="AH376" s="230">
        <v>80511667</v>
      </c>
      <c r="AI376" s="64" t="s">
        <v>996</v>
      </c>
      <c r="AJ376" s="50">
        <v>424</v>
      </c>
      <c r="AK376" s="50"/>
      <c r="AL376" s="69">
        <v>50950667</v>
      </c>
      <c r="AM376" s="236">
        <f t="shared" si="43"/>
        <v>29561000</v>
      </c>
      <c r="AN376" s="64"/>
      <c r="AO376" s="231">
        <f t="shared" si="44"/>
        <v>-0.3333333283662796</v>
      </c>
      <c r="AP376" s="64"/>
      <c r="AQ376" s="64"/>
      <c r="AR376" s="64"/>
      <c r="AS376" s="64"/>
      <c r="AT376" s="64"/>
      <c r="AU376" s="64"/>
      <c r="AV376" s="64"/>
      <c r="AW376" s="220"/>
    </row>
    <row r="377" spans="1:49" s="221" customFormat="1" ht="256.5" x14ac:dyDescent="0.25">
      <c r="A377" s="173">
        <f t="shared" si="41"/>
        <v>11</v>
      </c>
      <c r="B377" s="173" t="s">
        <v>997</v>
      </c>
      <c r="C377" s="173" t="s">
        <v>951</v>
      </c>
      <c r="D377" s="173" t="s">
        <v>952</v>
      </c>
      <c r="E377" s="173" t="s">
        <v>953</v>
      </c>
      <c r="F377" s="173" t="s">
        <v>52</v>
      </c>
      <c r="G377" s="173" t="s">
        <v>53</v>
      </c>
      <c r="H377" s="175" t="s">
        <v>884</v>
      </c>
      <c r="I377" s="173" t="s">
        <v>55</v>
      </c>
      <c r="J377" s="173" t="s">
        <v>56</v>
      </c>
      <c r="K377" s="63">
        <v>80111600</v>
      </c>
      <c r="L377" s="63" t="s">
        <v>954</v>
      </c>
      <c r="M377" s="63" t="s">
        <v>58</v>
      </c>
      <c r="N377" s="63" t="s">
        <v>59</v>
      </c>
      <c r="O377" s="64" t="s">
        <v>886</v>
      </c>
      <c r="P377" s="63" t="s">
        <v>989</v>
      </c>
      <c r="Q377" s="185">
        <v>12133.33</v>
      </c>
      <c r="R377" s="184">
        <v>1</v>
      </c>
      <c r="S377" s="187">
        <f>12133.33-12133.33</f>
        <v>0</v>
      </c>
      <c r="T377" s="133" t="s">
        <v>972</v>
      </c>
      <c r="U377" s="173" t="s">
        <v>445</v>
      </c>
      <c r="V377" s="176" t="s">
        <v>431</v>
      </c>
      <c r="W377" s="177">
        <v>1</v>
      </c>
      <c r="X377" s="234" t="s">
        <v>998</v>
      </c>
      <c r="Y377" s="60">
        <v>43102</v>
      </c>
      <c r="Z377" s="185">
        <v>12133.33</v>
      </c>
      <c r="AA377" s="64"/>
      <c r="AB377" s="186"/>
      <c r="AC377" s="64"/>
      <c r="AD377" s="230"/>
      <c r="AE377" s="235">
        <f t="shared" si="42"/>
        <v>0</v>
      </c>
      <c r="AF377" s="186"/>
      <c r="AG377" s="64"/>
      <c r="AH377" s="230"/>
      <c r="AI377" s="64"/>
      <c r="AJ377" s="50"/>
      <c r="AK377" s="64"/>
      <c r="AL377" s="236">
        <v>0</v>
      </c>
      <c r="AM377" s="236">
        <f t="shared" si="43"/>
        <v>0</v>
      </c>
      <c r="AN377" s="64"/>
      <c r="AO377" s="237">
        <f t="shared" si="44"/>
        <v>0</v>
      </c>
      <c r="AP377" s="64"/>
      <c r="AQ377" s="64"/>
      <c r="AR377" s="64"/>
      <c r="AS377" s="64"/>
      <c r="AT377" s="64"/>
      <c r="AU377" s="64"/>
      <c r="AV377" s="64"/>
      <c r="AW377" s="220"/>
    </row>
    <row r="378" spans="1:49" s="221" customFormat="1" ht="256.5" x14ac:dyDescent="0.25">
      <c r="A378" s="173">
        <f t="shared" si="41"/>
        <v>12</v>
      </c>
      <c r="B378" s="173" t="s">
        <v>999</v>
      </c>
      <c r="C378" s="173" t="s">
        <v>951</v>
      </c>
      <c r="D378" s="173" t="s">
        <v>952</v>
      </c>
      <c r="E378" s="173" t="s">
        <v>953</v>
      </c>
      <c r="F378" s="173" t="s">
        <v>52</v>
      </c>
      <c r="G378" s="173" t="s">
        <v>53</v>
      </c>
      <c r="H378" s="175" t="s">
        <v>884</v>
      </c>
      <c r="I378" s="173" t="s">
        <v>55</v>
      </c>
      <c r="J378" s="173" t="s">
        <v>56</v>
      </c>
      <c r="K378" s="63">
        <v>80111600</v>
      </c>
      <c r="L378" s="63" t="s">
        <v>954</v>
      </c>
      <c r="M378" s="63" t="s">
        <v>58</v>
      </c>
      <c r="N378" s="63" t="s">
        <v>59</v>
      </c>
      <c r="O378" s="64" t="s">
        <v>886</v>
      </c>
      <c r="P378" s="63" t="s">
        <v>1000</v>
      </c>
      <c r="Q378" s="185">
        <v>4120000</v>
      </c>
      <c r="R378" s="184">
        <v>1</v>
      </c>
      <c r="S378" s="187">
        <f>34196000-18297950-15858223-39827</f>
        <v>0</v>
      </c>
      <c r="T378" s="133" t="s">
        <v>888</v>
      </c>
      <c r="U378" s="173" t="s">
        <v>445</v>
      </c>
      <c r="V378" s="176" t="s">
        <v>64</v>
      </c>
      <c r="W378" s="177">
        <v>8.3000000000000007</v>
      </c>
      <c r="X378" s="234"/>
      <c r="Y378" s="60"/>
      <c r="Z378" s="185"/>
      <c r="AA378" s="64"/>
      <c r="AB378" s="186"/>
      <c r="AC378" s="64"/>
      <c r="AD378" s="230"/>
      <c r="AE378" s="235">
        <f>S378-Z378</f>
        <v>0</v>
      </c>
      <c r="AF378" s="186"/>
      <c r="AG378" s="64"/>
      <c r="AH378" s="230"/>
      <c r="AI378" s="64"/>
      <c r="AJ378" s="50"/>
      <c r="AK378" s="64"/>
      <c r="AL378" s="236"/>
      <c r="AM378" s="236">
        <f t="shared" si="43"/>
        <v>0</v>
      </c>
      <c r="AN378" s="64"/>
      <c r="AO378" s="231">
        <f t="shared" si="44"/>
        <v>0</v>
      </c>
      <c r="AP378" s="64"/>
      <c r="AQ378" s="64"/>
      <c r="AR378" s="64"/>
      <c r="AS378" s="64"/>
      <c r="AT378" s="64"/>
      <c r="AU378" s="64"/>
      <c r="AV378" s="64"/>
      <c r="AW378" s="220"/>
    </row>
    <row r="379" spans="1:49" s="221" customFormat="1" ht="327.75" x14ac:dyDescent="0.25">
      <c r="A379" s="173">
        <f t="shared" si="41"/>
        <v>13</v>
      </c>
      <c r="B379" s="173" t="s">
        <v>1001</v>
      </c>
      <c r="C379" s="173" t="s">
        <v>951</v>
      </c>
      <c r="D379" s="173" t="s">
        <v>952</v>
      </c>
      <c r="E379" s="173" t="s">
        <v>953</v>
      </c>
      <c r="F379" s="173" t="s">
        <v>1002</v>
      </c>
      <c r="G379" s="173" t="s">
        <v>1003</v>
      </c>
      <c r="H379" s="173" t="s">
        <v>1004</v>
      </c>
      <c r="I379" s="173" t="s">
        <v>55</v>
      </c>
      <c r="J379" s="173" t="s">
        <v>56</v>
      </c>
      <c r="K379" s="173" t="s">
        <v>1005</v>
      </c>
      <c r="L379" s="63" t="s">
        <v>954</v>
      </c>
      <c r="M379" s="63" t="s">
        <v>58</v>
      </c>
      <c r="N379" s="63" t="s">
        <v>59</v>
      </c>
      <c r="O379" s="64" t="s">
        <v>1006</v>
      </c>
      <c r="P379" s="63" t="s">
        <v>1007</v>
      </c>
      <c r="Q379" s="185">
        <f>S379/6</f>
        <v>47017391.5</v>
      </c>
      <c r="R379" s="63">
        <v>1</v>
      </c>
      <c r="S379" s="188">
        <f>540000000-177905000-69061438-10929213</f>
        <v>282104349</v>
      </c>
      <c r="T379" s="63" t="s">
        <v>1008</v>
      </c>
      <c r="U379" s="173" t="s">
        <v>439</v>
      </c>
      <c r="V379" s="176">
        <v>43276</v>
      </c>
      <c r="W379" s="184">
        <v>6</v>
      </c>
      <c r="X379" s="234" t="s">
        <v>1009</v>
      </c>
      <c r="Y379" s="60">
        <v>43357</v>
      </c>
      <c r="Z379" s="185">
        <v>126086295</v>
      </c>
      <c r="AA379" s="64" t="s">
        <v>1010</v>
      </c>
      <c r="AB379" s="64">
        <v>1160</v>
      </c>
      <c r="AC379" s="60">
        <v>43360</v>
      </c>
      <c r="AD379" s="230">
        <v>126086295</v>
      </c>
      <c r="AE379" s="238">
        <f>S379-AD379</f>
        <v>156018054</v>
      </c>
      <c r="AF379" s="186"/>
      <c r="AG379" s="64"/>
      <c r="AH379" s="230"/>
      <c r="AI379" s="64"/>
      <c r="AJ379" s="50"/>
      <c r="AK379" s="64"/>
      <c r="AL379" s="236"/>
      <c r="AM379" s="236">
        <f t="shared" si="43"/>
        <v>0</v>
      </c>
      <c r="AN379" s="64"/>
      <c r="AO379" s="231">
        <f t="shared" si="44"/>
        <v>282104349</v>
      </c>
      <c r="AP379" s="64"/>
      <c r="AQ379" s="64"/>
      <c r="AR379" s="64"/>
      <c r="AS379" s="64"/>
      <c r="AT379" s="64"/>
      <c r="AU379" s="64"/>
      <c r="AV379" s="64"/>
      <c r="AW379" s="220"/>
    </row>
    <row r="380" spans="1:49" s="221" customFormat="1" ht="185.25" x14ac:dyDescent="0.25">
      <c r="A380" s="173">
        <f t="shared" si="41"/>
        <v>14</v>
      </c>
      <c r="B380" s="173" t="s">
        <v>1011</v>
      </c>
      <c r="C380" s="173" t="s">
        <v>951</v>
      </c>
      <c r="D380" s="173" t="s">
        <v>952</v>
      </c>
      <c r="E380" s="173" t="s">
        <v>953</v>
      </c>
      <c r="F380" s="173" t="s">
        <v>1002</v>
      </c>
      <c r="G380" s="173" t="s">
        <v>1003</v>
      </c>
      <c r="H380" s="173" t="s">
        <v>1004</v>
      </c>
      <c r="I380" s="173" t="s">
        <v>55</v>
      </c>
      <c r="J380" s="173" t="s">
        <v>56</v>
      </c>
      <c r="K380" s="173" t="s">
        <v>1005</v>
      </c>
      <c r="L380" s="63" t="s">
        <v>954</v>
      </c>
      <c r="M380" s="63" t="s">
        <v>58</v>
      </c>
      <c r="N380" s="63" t="s">
        <v>59</v>
      </c>
      <c r="O380" s="64" t="s">
        <v>1006</v>
      </c>
      <c r="P380" s="63" t="s">
        <v>1012</v>
      </c>
      <c r="Q380" s="185">
        <f>S380/12</f>
        <v>53818536.5</v>
      </c>
      <c r="R380" s="63">
        <v>1</v>
      </c>
      <c r="S380" s="188">
        <f>1640000000-982741291-107769709+69061438+27272000</f>
        <v>645822438</v>
      </c>
      <c r="T380" s="63" t="s">
        <v>1013</v>
      </c>
      <c r="U380" s="133" t="s">
        <v>723</v>
      </c>
      <c r="V380" s="176">
        <v>43297</v>
      </c>
      <c r="W380" s="184">
        <v>12</v>
      </c>
      <c r="X380" s="234"/>
      <c r="Y380" s="60"/>
      <c r="Z380" s="185"/>
      <c r="AA380" s="64"/>
      <c r="AB380" s="186"/>
      <c r="AC380" s="64"/>
      <c r="AD380" s="230"/>
      <c r="AE380" s="238">
        <f>S380-Z380</f>
        <v>645822438</v>
      </c>
      <c r="AF380" s="186"/>
      <c r="AG380" s="64"/>
      <c r="AH380" s="230"/>
      <c r="AI380" s="64"/>
      <c r="AJ380" s="50"/>
      <c r="AK380" s="64"/>
      <c r="AL380" s="236"/>
      <c r="AM380" s="236">
        <f t="shared" si="43"/>
        <v>0</v>
      </c>
      <c r="AN380" s="64"/>
      <c r="AO380" s="231">
        <f t="shared" si="44"/>
        <v>645822438</v>
      </c>
      <c r="AP380" s="64"/>
      <c r="AQ380" s="64"/>
      <c r="AR380" s="64"/>
      <c r="AS380" s="64"/>
      <c r="AT380" s="64"/>
      <c r="AU380" s="64"/>
      <c r="AV380" s="64"/>
      <c r="AW380" s="220"/>
    </row>
    <row r="381" spans="1:49" s="221" customFormat="1" ht="285" x14ac:dyDescent="0.25">
      <c r="A381" s="173">
        <f t="shared" si="41"/>
        <v>15</v>
      </c>
      <c r="B381" s="173" t="s">
        <v>1014</v>
      </c>
      <c r="C381" s="173" t="s">
        <v>951</v>
      </c>
      <c r="D381" s="173" t="s">
        <v>952</v>
      </c>
      <c r="E381" s="173" t="s">
        <v>953</v>
      </c>
      <c r="F381" s="173" t="s">
        <v>1002</v>
      </c>
      <c r="G381" s="173" t="s">
        <v>1003</v>
      </c>
      <c r="H381" s="173" t="s">
        <v>1004</v>
      </c>
      <c r="I381" s="173" t="s">
        <v>55</v>
      </c>
      <c r="J381" s="173" t="s">
        <v>56</v>
      </c>
      <c r="K381" s="173" t="s">
        <v>1005</v>
      </c>
      <c r="L381" s="63" t="s">
        <v>954</v>
      </c>
      <c r="M381" s="63" t="s">
        <v>58</v>
      </c>
      <c r="N381" s="63" t="s">
        <v>59</v>
      </c>
      <c r="O381" s="64" t="s">
        <v>1006</v>
      </c>
      <c r="P381" s="63" t="s">
        <v>1015</v>
      </c>
      <c r="Q381" s="185">
        <v>5712000</v>
      </c>
      <c r="R381" s="63">
        <v>1</v>
      </c>
      <c r="S381" s="187">
        <f>34272000-27272000-7000000</f>
        <v>0</v>
      </c>
      <c r="T381" s="63" t="s">
        <v>1013</v>
      </c>
      <c r="U381" s="173" t="s">
        <v>445</v>
      </c>
      <c r="V381" s="176" t="s">
        <v>844</v>
      </c>
      <c r="W381" s="184">
        <v>6</v>
      </c>
      <c r="X381" s="234"/>
      <c r="Y381" s="60"/>
      <c r="Z381" s="185"/>
      <c r="AA381" s="64"/>
      <c r="AB381" s="186"/>
      <c r="AC381" s="64"/>
      <c r="AD381" s="230"/>
      <c r="AE381" s="238">
        <f>S381-Z381</f>
        <v>0</v>
      </c>
      <c r="AF381" s="186"/>
      <c r="AG381" s="64"/>
      <c r="AH381" s="230"/>
      <c r="AI381" s="64"/>
      <c r="AJ381" s="50"/>
      <c r="AK381" s="64"/>
      <c r="AL381" s="236"/>
      <c r="AM381" s="236">
        <f t="shared" si="43"/>
        <v>0</v>
      </c>
      <c r="AN381" s="64"/>
      <c r="AO381" s="231">
        <f t="shared" si="44"/>
        <v>0</v>
      </c>
      <c r="AP381" s="64"/>
      <c r="AQ381" s="64"/>
      <c r="AR381" s="64"/>
      <c r="AS381" s="64"/>
      <c r="AT381" s="64"/>
      <c r="AU381" s="64"/>
      <c r="AV381" s="64"/>
      <c r="AW381" s="220"/>
    </row>
    <row r="382" spans="1:49" s="221" customFormat="1" ht="256.5" x14ac:dyDescent="0.25">
      <c r="A382" s="173">
        <f t="shared" si="41"/>
        <v>16</v>
      </c>
      <c r="B382" s="173" t="s">
        <v>1016</v>
      </c>
      <c r="C382" s="173" t="s">
        <v>951</v>
      </c>
      <c r="D382" s="173" t="s">
        <v>952</v>
      </c>
      <c r="E382" s="173" t="s">
        <v>953</v>
      </c>
      <c r="F382" s="173" t="s">
        <v>425</v>
      </c>
      <c r="G382" s="173" t="s">
        <v>1017</v>
      </c>
      <c r="H382" s="175" t="s">
        <v>1018</v>
      </c>
      <c r="I382" s="173" t="s">
        <v>55</v>
      </c>
      <c r="J382" s="173" t="s">
        <v>56</v>
      </c>
      <c r="K382" s="173">
        <v>72154000</v>
      </c>
      <c r="L382" s="63" t="s">
        <v>954</v>
      </c>
      <c r="M382" s="63" t="s">
        <v>58</v>
      </c>
      <c r="N382" s="63" t="s">
        <v>59</v>
      </c>
      <c r="O382" s="64" t="s">
        <v>886</v>
      </c>
      <c r="P382" s="63" t="s">
        <v>1019</v>
      </c>
      <c r="Q382" s="185">
        <v>233459</v>
      </c>
      <c r="R382" s="63">
        <v>1</v>
      </c>
      <c r="S382" s="187">
        <f>700377-700377</f>
        <v>0</v>
      </c>
      <c r="T382" s="63" t="s">
        <v>1013</v>
      </c>
      <c r="U382" s="63" t="s">
        <v>1020</v>
      </c>
      <c r="V382" s="176" t="s">
        <v>875</v>
      </c>
      <c r="W382" s="189">
        <v>3</v>
      </c>
      <c r="X382" s="234"/>
      <c r="Y382" s="60"/>
      <c r="Z382" s="185"/>
      <c r="AA382" s="64"/>
      <c r="AB382" s="186"/>
      <c r="AC382" s="64"/>
      <c r="AD382" s="230"/>
      <c r="AE382" s="238">
        <f>S382-Z382</f>
        <v>0</v>
      </c>
      <c r="AF382" s="186"/>
      <c r="AG382" s="64"/>
      <c r="AH382" s="230"/>
      <c r="AI382" s="64"/>
      <c r="AJ382" s="50"/>
      <c r="AK382" s="64"/>
      <c r="AL382" s="236"/>
      <c r="AM382" s="236">
        <f t="shared" si="43"/>
        <v>0</v>
      </c>
      <c r="AN382" s="64"/>
      <c r="AO382" s="231">
        <f t="shared" si="44"/>
        <v>0</v>
      </c>
      <c r="AP382" s="64"/>
      <c r="AQ382" s="64"/>
      <c r="AR382" s="64"/>
      <c r="AS382" s="64"/>
      <c r="AT382" s="64"/>
      <c r="AU382" s="64"/>
      <c r="AV382" s="64"/>
      <c r="AW382" s="220"/>
    </row>
    <row r="383" spans="1:49" s="221" customFormat="1" ht="228" x14ac:dyDescent="0.25">
      <c r="A383" s="173">
        <f t="shared" si="41"/>
        <v>17</v>
      </c>
      <c r="B383" s="173" t="s">
        <v>1021</v>
      </c>
      <c r="C383" s="173" t="s">
        <v>951</v>
      </c>
      <c r="D383" s="173" t="s">
        <v>952</v>
      </c>
      <c r="E383" s="173" t="s">
        <v>953</v>
      </c>
      <c r="F383" s="173" t="s">
        <v>425</v>
      </c>
      <c r="G383" s="173" t="s">
        <v>1017</v>
      </c>
      <c r="H383" s="175" t="s">
        <v>1018</v>
      </c>
      <c r="I383" s="173" t="s">
        <v>55</v>
      </c>
      <c r="J383" s="173" t="s">
        <v>56</v>
      </c>
      <c r="K383" s="173">
        <v>81112200</v>
      </c>
      <c r="L383" s="63" t="s">
        <v>954</v>
      </c>
      <c r="M383" s="63" t="s">
        <v>58</v>
      </c>
      <c r="N383" s="63" t="s">
        <v>59</v>
      </c>
      <c r="O383" s="64" t="s">
        <v>886</v>
      </c>
      <c r="P383" s="63" t="s">
        <v>1022</v>
      </c>
      <c r="Q383" s="185">
        <v>565000000</v>
      </c>
      <c r="R383" s="63">
        <v>1</v>
      </c>
      <c r="S383" s="187">
        <f>565000000-565000000</f>
        <v>0</v>
      </c>
      <c r="T383" s="63" t="s">
        <v>1013</v>
      </c>
      <c r="U383" s="173" t="s">
        <v>723</v>
      </c>
      <c r="V383" s="176" t="s">
        <v>1023</v>
      </c>
      <c r="W383" s="189">
        <v>12</v>
      </c>
      <c r="X383" s="234"/>
      <c r="Y383" s="60"/>
      <c r="Z383" s="185"/>
      <c r="AA383" s="64"/>
      <c r="AB383" s="186"/>
      <c r="AC383" s="64"/>
      <c r="AD383" s="230"/>
      <c r="AE383" s="238">
        <f>S383-Z383</f>
        <v>0</v>
      </c>
      <c r="AF383" s="186"/>
      <c r="AG383" s="64"/>
      <c r="AH383" s="230"/>
      <c r="AI383" s="64"/>
      <c r="AJ383" s="50"/>
      <c r="AK383" s="64"/>
      <c r="AL383" s="236"/>
      <c r="AM383" s="236">
        <f t="shared" si="43"/>
        <v>0</v>
      </c>
      <c r="AN383" s="64"/>
      <c r="AO383" s="231">
        <f t="shared" si="44"/>
        <v>0</v>
      </c>
      <c r="AP383" s="64"/>
      <c r="AQ383" s="64"/>
      <c r="AR383" s="64"/>
      <c r="AS383" s="64"/>
      <c r="AT383" s="64"/>
      <c r="AU383" s="64"/>
      <c r="AV383" s="64"/>
      <c r="AW383" s="220"/>
    </row>
    <row r="384" spans="1:49" s="221" customFormat="1" ht="228" x14ac:dyDescent="0.25">
      <c r="A384" s="173">
        <f t="shared" si="41"/>
        <v>18</v>
      </c>
      <c r="B384" s="173" t="s">
        <v>1024</v>
      </c>
      <c r="C384" s="173" t="s">
        <v>951</v>
      </c>
      <c r="D384" s="173" t="s">
        <v>952</v>
      </c>
      <c r="E384" s="173" t="s">
        <v>953</v>
      </c>
      <c r="F384" s="173" t="s">
        <v>425</v>
      </c>
      <c r="G384" s="173" t="s">
        <v>1017</v>
      </c>
      <c r="H384" s="175" t="s">
        <v>1018</v>
      </c>
      <c r="I384" s="173" t="s">
        <v>55</v>
      </c>
      <c r="J384" s="173" t="s">
        <v>56</v>
      </c>
      <c r="K384" s="173">
        <v>39121004</v>
      </c>
      <c r="L384" s="63" t="s">
        <v>954</v>
      </c>
      <c r="M384" s="63" t="s">
        <v>58</v>
      </c>
      <c r="N384" s="63" t="s">
        <v>59</v>
      </c>
      <c r="O384" s="64" t="s">
        <v>886</v>
      </c>
      <c r="P384" s="63" t="s">
        <v>1025</v>
      </c>
      <c r="Q384" s="185">
        <v>3429000</v>
      </c>
      <c r="R384" s="63">
        <v>1</v>
      </c>
      <c r="S384" s="188">
        <v>20574000</v>
      </c>
      <c r="T384" s="63" t="s">
        <v>1013</v>
      </c>
      <c r="U384" s="173" t="s">
        <v>1026</v>
      </c>
      <c r="V384" s="176" t="s">
        <v>431</v>
      </c>
      <c r="W384" s="189">
        <v>6</v>
      </c>
      <c r="X384" s="234"/>
      <c r="Y384" s="60"/>
      <c r="Z384" s="185"/>
      <c r="AA384" s="64"/>
      <c r="AB384" s="186"/>
      <c r="AC384" s="64"/>
      <c r="AD384" s="230"/>
      <c r="AE384" s="238">
        <f>S384-Z384</f>
        <v>20574000</v>
      </c>
      <c r="AF384" s="186"/>
      <c r="AG384" s="64"/>
      <c r="AH384" s="230"/>
      <c r="AI384" s="64"/>
      <c r="AJ384" s="50"/>
      <c r="AK384" s="64"/>
      <c r="AL384" s="236"/>
      <c r="AM384" s="236">
        <f t="shared" si="43"/>
        <v>0</v>
      </c>
      <c r="AN384" s="64"/>
      <c r="AO384" s="231">
        <f t="shared" si="44"/>
        <v>20574000</v>
      </c>
      <c r="AP384" s="64"/>
      <c r="AQ384" s="64"/>
      <c r="AR384" s="64"/>
      <c r="AS384" s="64"/>
      <c r="AT384" s="64"/>
      <c r="AU384" s="64"/>
      <c r="AV384" s="64"/>
      <c r="AW384" s="220"/>
    </row>
    <row r="385" spans="1:49" s="221" customFormat="1" ht="228" x14ac:dyDescent="0.25">
      <c r="A385" s="173">
        <f t="shared" si="41"/>
        <v>19</v>
      </c>
      <c r="B385" s="173" t="s">
        <v>1027</v>
      </c>
      <c r="C385" s="173" t="s">
        <v>951</v>
      </c>
      <c r="D385" s="173" t="s">
        <v>952</v>
      </c>
      <c r="E385" s="173" t="s">
        <v>953</v>
      </c>
      <c r="F385" s="173" t="s">
        <v>425</v>
      </c>
      <c r="G385" s="173" t="s">
        <v>1017</v>
      </c>
      <c r="H385" s="175" t="s">
        <v>1018</v>
      </c>
      <c r="I385" s="173" t="s">
        <v>55</v>
      </c>
      <c r="J385" s="173" t="s">
        <v>56</v>
      </c>
      <c r="K385" s="173">
        <v>81111500</v>
      </c>
      <c r="L385" s="63" t="s">
        <v>954</v>
      </c>
      <c r="M385" s="63" t="s">
        <v>58</v>
      </c>
      <c r="N385" s="63" t="s">
        <v>59</v>
      </c>
      <c r="O385" s="64" t="s">
        <v>886</v>
      </c>
      <c r="P385" s="63" t="s">
        <v>1028</v>
      </c>
      <c r="Q385" s="185">
        <f>S385/W385</f>
        <v>150000000</v>
      </c>
      <c r="R385" s="63">
        <v>50</v>
      </c>
      <c r="S385" s="188">
        <f>60000000-32267736+52267736+948594+34098806+55640912+6495682+40020000+1100000+35061045+44672045+1962916</f>
        <v>300000000</v>
      </c>
      <c r="T385" s="133" t="s">
        <v>1029</v>
      </c>
      <c r="U385" s="173" t="s">
        <v>1030</v>
      </c>
      <c r="V385" s="176">
        <v>43355</v>
      </c>
      <c r="W385" s="189">
        <v>2</v>
      </c>
      <c r="X385" s="234" t="s">
        <v>1031</v>
      </c>
      <c r="Y385" s="60">
        <v>43355</v>
      </c>
      <c r="Z385" s="185">
        <v>300000000</v>
      </c>
      <c r="AA385" s="64" t="s">
        <v>1032</v>
      </c>
      <c r="AB385" s="186">
        <v>1163</v>
      </c>
      <c r="AC385" s="64"/>
      <c r="AD385" s="230">
        <v>300000000</v>
      </c>
      <c r="AE385" s="238">
        <f>S385-AD385</f>
        <v>0</v>
      </c>
      <c r="AF385" s="186"/>
      <c r="AG385" s="64"/>
      <c r="AH385" s="230"/>
      <c r="AI385" s="64"/>
      <c r="AJ385" s="50"/>
      <c r="AK385" s="64"/>
      <c r="AL385" s="236"/>
      <c r="AM385" s="236">
        <f t="shared" si="43"/>
        <v>0</v>
      </c>
      <c r="AN385" s="64"/>
      <c r="AO385" s="231">
        <f t="shared" si="44"/>
        <v>300000000</v>
      </c>
      <c r="AP385" s="64"/>
      <c r="AQ385" s="64"/>
      <c r="AR385" s="64"/>
      <c r="AS385" s="64"/>
      <c r="AT385" s="64"/>
      <c r="AU385" s="64"/>
      <c r="AV385" s="64"/>
      <c r="AW385" s="220"/>
    </row>
    <row r="386" spans="1:49" s="221" customFormat="1" ht="228" x14ac:dyDescent="0.25">
      <c r="A386" s="173">
        <f t="shared" si="41"/>
        <v>20</v>
      </c>
      <c r="B386" s="173" t="s">
        <v>1033</v>
      </c>
      <c r="C386" s="173" t="s">
        <v>951</v>
      </c>
      <c r="D386" s="173" t="s">
        <v>952</v>
      </c>
      <c r="E386" s="173" t="s">
        <v>953</v>
      </c>
      <c r="F386" s="173" t="s">
        <v>425</v>
      </c>
      <c r="G386" s="173" t="s">
        <v>1017</v>
      </c>
      <c r="H386" s="175" t="s">
        <v>1018</v>
      </c>
      <c r="I386" s="173" t="s">
        <v>55</v>
      </c>
      <c r="J386" s="173" t="s">
        <v>56</v>
      </c>
      <c r="K386" s="173">
        <v>43190000</v>
      </c>
      <c r="L386" s="63" t="s">
        <v>954</v>
      </c>
      <c r="M386" s="63" t="s">
        <v>58</v>
      </c>
      <c r="N386" s="63" t="s">
        <v>59</v>
      </c>
      <c r="O386" s="64" t="s">
        <v>886</v>
      </c>
      <c r="P386" s="63" t="s">
        <v>1034</v>
      </c>
      <c r="Q386" s="185">
        <v>4000000</v>
      </c>
      <c r="R386" s="63">
        <v>1</v>
      </c>
      <c r="S386" s="187">
        <f>24000000-24000000</f>
        <v>0</v>
      </c>
      <c r="T386" s="63" t="s">
        <v>1013</v>
      </c>
      <c r="U386" s="173" t="s">
        <v>1026</v>
      </c>
      <c r="V386" s="176" t="s">
        <v>431</v>
      </c>
      <c r="W386" s="189">
        <v>6</v>
      </c>
      <c r="X386" s="234"/>
      <c r="Y386" s="60"/>
      <c r="Z386" s="185"/>
      <c r="AA386" s="64"/>
      <c r="AB386" s="186"/>
      <c r="AC386" s="64"/>
      <c r="AD386" s="230"/>
      <c r="AE386" s="238">
        <f>S386-Z386</f>
        <v>0</v>
      </c>
      <c r="AF386" s="186"/>
      <c r="AG386" s="64"/>
      <c r="AH386" s="230"/>
      <c r="AI386" s="64"/>
      <c r="AJ386" s="50"/>
      <c r="AK386" s="64"/>
      <c r="AL386" s="236"/>
      <c r="AM386" s="236">
        <f t="shared" si="43"/>
        <v>0</v>
      </c>
      <c r="AN386" s="64"/>
      <c r="AO386" s="231">
        <f t="shared" si="44"/>
        <v>0</v>
      </c>
      <c r="AP386" s="64"/>
      <c r="AQ386" s="64"/>
      <c r="AR386" s="64"/>
      <c r="AS386" s="64"/>
      <c r="AT386" s="64"/>
      <c r="AU386" s="64"/>
      <c r="AV386" s="64"/>
      <c r="AW386" s="220"/>
    </row>
    <row r="387" spans="1:49" s="221" customFormat="1" ht="409.5" x14ac:dyDescent="0.25">
      <c r="A387" s="173">
        <f t="shared" si="41"/>
        <v>21</v>
      </c>
      <c r="B387" s="173" t="s">
        <v>1035</v>
      </c>
      <c r="C387" s="173" t="s">
        <v>951</v>
      </c>
      <c r="D387" s="173" t="s">
        <v>952</v>
      </c>
      <c r="E387" s="173" t="s">
        <v>953</v>
      </c>
      <c r="F387" s="173" t="s">
        <v>425</v>
      </c>
      <c r="G387" s="173" t="s">
        <v>1017</v>
      </c>
      <c r="H387" s="175" t="s">
        <v>1018</v>
      </c>
      <c r="I387" s="173" t="s">
        <v>55</v>
      </c>
      <c r="J387" s="173" t="s">
        <v>56</v>
      </c>
      <c r="K387" s="173">
        <v>81111500</v>
      </c>
      <c r="L387" s="63" t="s">
        <v>954</v>
      </c>
      <c r="M387" s="63" t="s">
        <v>58</v>
      </c>
      <c r="N387" s="63" t="s">
        <v>59</v>
      </c>
      <c r="O387" s="64" t="s">
        <v>886</v>
      </c>
      <c r="P387" s="63" t="s">
        <v>1036</v>
      </c>
      <c r="Q387" s="185">
        <v>126735256</v>
      </c>
      <c r="R387" s="63">
        <v>10</v>
      </c>
      <c r="S387" s="239">
        <f>346913623-62302353+982741291-342263852-92303874-52267736-55344464-40020000-27900000-1100000-11061045-114056996-50516069</f>
        <v>480518525</v>
      </c>
      <c r="T387" s="63" t="s">
        <v>1013</v>
      </c>
      <c r="U387" s="111" t="s">
        <v>1037</v>
      </c>
      <c r="V387" s="176" t="s">
        <v>64</v>
      </c>
      <c r="W387" s="189">
        <v>12</v>
      </c>
      <c r="X387" s="234" t="s">
        <v>1038</v>
      </c>
      <c r="Y387" s="60">
        <v>43165</v>
      </c>
      <c r="Z387" s="185">
        <v>480518525</v>
      </c>
      <c r="AA387" s="47" t="s">
        <v>1039</v>
      </c>
      <c r="AB387" s="186">
        <v>700</v>
      </c>
      <c r="AC387" s="60">
        <v>43166</v>
      </c>
      <c r="AD387" s="230">
        <v>480518525</v>
      </c>
      <c r="AE387" s="238">
        <f>S387-AD387</f>
        <v>0</v>
      </c>
      <c r="AF387" s="186">
        <v>1658</v>
      </c>
      <c r="AG387" s="60">
        <v>43126</v>
      </c>
      <c r="AH387" s="230">
        <v>480518525</v>
      </c>
      <c r="AI387" s="64" t="s">
        <v>1040</v>
      </c>
      <c r="AJ387" s="50">
        <v>430</v>
      </c>
      <c r="AK387" s="64"/>
      <c r="AL387" s="69">
        <v>249760864</v>
      </c>
      <c r="AM387" s="236">
        <f t="shared" si="43"/>
        <v>230757661</v>
      </c>
      <c r="AN387" s="64"/>
      <c r="AO387" s="231">
        <f t="shared" si="44"/>
        <v>0</v>
      </c>
      <c r="AP387" s="64"/>
      <c r="AQ387" s="64"/>
      <c r="AR387" s="64"/>
      <c r="AS387" s="64"/>
      <c r="AT387" s="64"/>
      <c r="AU387" s="64"/>
      <c r="AV387" s="64"/>
      <c r="AW387" s="220"/>
    </row>
    <row r="388" spans="1:49" s="221" customFormat="1" ht="185.25" x14ac:dyDescent="0.25">
      <c r="A388" s="173">
        <f t="shared" si="41"/>
        <v>22</v>
      </c>
      <c r="B388" s="173" t="s">
        <v>1041</v>
      </c>
      <c r="C388" s="173" t="s">
        <v>951</v>
      </c>
      <c r="D388" s="173" t="s">
        <v>952</v>
      </c>
      <c r="E388" s="173" t="s">
        <v>953</v>
      </c>
      <c r="F388" s="173" t="s">
        <v>1002</v>
      </c>
      <c r="G388" s="173" t="s">
        <v>1003</v>
      </c>
      <c r="H388" s="175" t="s">
        <v>1004</v>
      </c>
      <c r="I388" s="173" t="s">
        <v>1042</v>
      </c>
      <c r="J388" s="173" t="s">
        <v>1043</v>
      </c>
      <c r="K388" s="173">
        <v>81111500</v>
      </c>
      <c r="L388" s="63" t="s">
        <v>954</v>
      </c>
      <c r="M388" s="63" t="s">
        <v>58</v>
      </c>
      <c r="N388" s="63" t="s">
        <v>59</v>
      </c>
      <c r="O388" s="64" t="s">
        <v>886</v>
      </c>
      <c r="P388" s="63" t="s">
        <v>1012</v>
      </c>
      <c r="Q388" s="185">
        <v>29166667</v>
      </c>
      <c r="R388" s="63">
        <v>1</v>
      </c>
      <c r="S388" s="240">
        <v>350000000</v>
      </c>
      <c r="T388" s="63" t="s">
        <v>1013</v>
      </c>
      <c r="U388" s="111" t="s">
        <v>723</v>
      </c>
      <c r="V388" s="176">
        <v>43297</v>
      </c>
      <c r="W388" s="189">
        <v>12</v>
      </c>
      <c r="X388" s="234"/>
      <c r="Y388" s="60"/>
      <c r="Z388" s="185"/>
      <c r="AA388" s="64"/>
      <c r="AB388" s="186"/>
      <c r="AC388" s="64"/>
      <c r="AD388" s="230"/>
      <c r="AE388" s="238">
        <f>S388-Z388</f>
        <v>350000000</v>
      </c>
      <c r="AF388" s="186"/>
      <c r="AG388" s="64"/>
      <c r="AH388" s="230"/>
      <c r="AI388" s="64"/>
      <c r="AJ388" s="50"/>
      <c r="AK388" s="64"/>
      <c r="AL388" s="236"/>
      <c r="AM388" s="236">
        <f t="shared" si="43"/>
        <v>0</v>
      </c>
      <c r="AN388" s="64"/>
      <c r="AO388" s="231">
        <f t="shared" si="44"/>
        <v>350000000</v>
      </c>
      <c r="AP388" s="64"/>
      <c r="AQ388" s="64"/>
      <c r="AR388" s="64"/>
      <c r="AS388" s="64"/>
      <c r="AT388" s="64"/>
      <c r="AU388" s="64"/>
      <c r="AV388" s="64"/>
      <c r="AW388" s="220"/>
    </row>
    <row r="389" spans="1:49" s="221" customFormat="1" ht="185.25" x14ac:dyDescent="0.25">
      <c r="A389" s="173">
        <f t="shared" si="41"/>
        <v>23</v>
      </c>
      <c r="B389" s="173" t="s">
        <v>1044</v>
      </c>
      <c r="C389" s="173" t="s">
        <v>951</v>
      </c>
      <c r="D389" s="173" t="s">
        <v>952</v>
      </c>
      <c r="E389" s="173" t="s">
        <v>953</v>
      </c>
      <c r="F389" s="173" t="s">
        <v>1002</v>
      </c>
      <c r="G389" s="173" t="s">
        <v>1003</v>
      </c>
      <c r="H389" s="175" t="s">
        <v>1004</v>
      </c>
      <c r="I389" s="173" t="s">
        <v>1045</v>
      </c>
      <c r="J389" s="173" t="s">
        <v>1046</v>
      </c>
      <c r="K389" s="173">
        <v>81111500</v>
      </c>
      <c r="L389" s="63" t="s">
        <v>954</v>
      </c>
      <c r="M389" s="63" t="s">
        <v>58</v>
      </c>
      <c r="N389" s="63" t="s">
        <v>59</v>
      </c>
      <c r="O389" s="64" t="s">
        <v>886</v>
      </c>
      <c r="P389" s="63" t="s">
        <v>1012</v>
      </c>
      <c r="Q389" s="185">
        <f>S389/W389</f>
        <v>61709250</v>
      </c>
      <c r="R389" s="63">
        <v>1</v>
      </c>
      <c r="S389" s="240">
        <v>740511000</v>
      </c>
      <c r="T389" s="63" t="s">
        <v>1013</v>
      </c>
      <c r="U389" s="111" t="s">
        <v>723</v>
      </c>
      <c r="V389" s="176">
        <v>43297</v>
      </c>
      <c r="W389" s="189">
        <v>12</v>
      </c>
      <c r="X389" s="234"/>
      <c r="Y389" s="60"/>
      <c r="Z389" s="185"/>
      <c r="AA389" s="64"/>
      <c r="AB389" s="186"/>
      <c r="AC389" s="64"/>
      <c r="AD389" s="230"/>
      <c r="AE389" s="238">
        <f>S389-Z389</f>
        <v>740511000</v>
      </c>
      <c r="AF389" s="186"/>
      <c r="AG389" s="64"/>
      <c r="AH389" s="230"/>
      <c r="AI389" s="64"/>
      <c r="AJ389" s="50"/>
      <c r="AK389" s="64"/>
      <c r="AL389" s="236"/>
      <c r="AM389" s="236">
        <f t="shared" si="43"/>
        <v>0</v>
      </c>
      <c r="AN389" s="64"/>
      <c r="AO389" s="231">
        <f t="shared" si="44"/>
        <v>740511000</v>
      </c>
      <c r="AP389" s="64"/>
      <c r="AQ389" s="64"/>
      <c r="AR389" s="64"/>
      <c r="AS389" s="64"/>
      <c r="AT389" s="64"/>
      <c r="AU389" s="64"/>
      <c r="AV389" s="64"/>
      <c r="AW389" s="220"/>
    </row>
    <row r="390" spans="1:49" s="221" customFormat="1" ht="228" x14ac:dyDescent="0.25">
      <c r="A390" s="173">
        <f t="shared" si="41"/>
        <v>24</v>
      </c>
      <c r="B390" s="173" t="s">
        <v>1047</v>
      </c>
      <c r="C390" s="173" t="s">
        <v>951</v>
      </c>
      <c r="D390" s="173" t="s">
        <v>952</v>
      </c>
      <c r="E390" s="173" t="s">
        <v>953</v>
      </c>
      <c r="F390" s="173" t="s">
        <v>425</v>
      </c>
      <c r="G390" s="173" t="s">
        <v>1017</v>
      </c>
      <c r="H390" s="175" t="s">
        <v>1018</v>
      </c>
      <c r="I390" s="173" t="s">
        <v>55</v>
      </c>
      <c r="J390" s="173" t="s">
        <v>56</v>
      </c>
      <c r="K390" s="63">
        <v>81112204</v>
      </c>
      <c r="L390" s="63" t="s">
        <v>954</v>
      </c>
      <c r="M390" s="63" t="s">
        <v>58</v>
      </c>
      <c r="N390" s="63" t="s">
        <v>59</v>
      </c>
      <c r="O390" s="64" t="s">
        <v>886</v>
      </c>
      <c r="P390" s="63" t="s">
        <v>1048</v>
      </c>
      <c r="Q390" s="185">
        <v>2100000</v>
      </c>
      <c r="R390" s="63">
        <v>1</v>
      </c>
      <c r="S390" s="187">
        <f>25200000-7735-2511218-22681047</f>
        <v>0</v>
      </c>
      <c r="T390" s="63" t="s">
        <v>1013</v>
      </c>
      <c r="U390" s="173" t="s">
        <v>1026</v>
      </c>
      <c r="V390" s="176" t="s">
        <v>64</v>
      </c>
      <c r="W390" s="189">
        <v>12</v>
      </c>
      <c r="X390" s="234"/>
      <c r="Y390" s="60"/>
      <c r="Z390" s="185"/>
      <c r="AA390" s="64"/>
      <c r="AB390" s="186"/>
      <c r="AC390" s="64"/>
      <c r="AD390" s="230"/>
      <c r="AE390" s="238">
        <f>S390-Z390</f>
        <v>0</v>
      </c>
      <c r="AF390" s="186"/>
      <c r="AG390" s="64"/>
      <c r="AH390" s="230"/>
      <c r="AI390" s="64"/>
      <c r="AJ390" s="50"/>
      <c r="AK390" s="64"/>
      <c r="AL390" s="236"/>
      <c r="AM390" s="236">
        <f t="shared" si="43"/>
        <v>0</v>
      </c>
      <c r="AN390" s="64"/>
      <c r="AO390" s="231">
        <f t="shared" si="44"/>
        <v>0</v>
      </c>
      <c r="AP390" s="64"/>
      <c r="AQ390" s="64"/>
      <c r="AR390" s="64"/>
      <c r="AS390" s="64"/>
      <c r="AT390" s="64"/>
      <c r="AU390" s="64"/>
      <c r="AV390" s="64"/>
      <c r="AW390" s="220"/>
    </row>
    <row r="391" spans="1:49" s="221" customFormat="1" ht="270.75" x14ac:dyDescent="0.25">
      <c r="A391" s="173">
        <f t="shared" si="41"/>
        <v>25</v>
      </c>
      <c r="B391" s="173" t="s">
        <v>1049</v>
      </c>
      <c r="C391" s="173" t="s">
        <v>951</v>
      </c>
      <c r="D391" s="173" t="s">
        <v>952</v>
      </c>
      <c r="E391" s="173" t="s">
        <v>953</v>
      </c>
      <c r="F391" s="173" t="s">
        <v>425</v>
      </c>
      <c r="G391" s="173" t="s">
        <v>1017</v>
      </c>
      <c r="H391" s="175" t="s">
        <v>1018</v>
      </c>
      <c r="I391" s="173" t="s">
        <v>55</v>
      </c>
      <c r="J391" s="173" t="s">
        <v>56</v>
      </c>
      <c r="K391" s="173">
        <v>81111500</v>
      </c>
      <c r="L391" s="63" t="s">
        <v>954</v>
      </c>
      <c r="M391" s="63" t="s">
        <v>58</v>
      </c>
      <c r="N391" s="63" t="s">
        <v>59</v>
      </c>
      <c r="O391" s="64" t="s">
        <v>886</v>
      </c>
      <c r="P391" s="63" t="s">
        <v>1050</v>
      </c>
      <c r="Q391" s="185">
        <f>43500000-7589820+1174332</f>
        <v>37084512</v>
      </c>
      <c r="R391" s="63">
        <v>1</v>
      </c>
      <c r="S391" s="185">
        <f>43500000-7589820+1174332-948594</f>
        <v>36135918</v>
      </c>
      <c r="T391" s="133" t="s">
        <v>1051</v>
      </c>
      <c r="U391" s="111" t="s">
        <v>1037</v>
      </c>
      <c r="V391" s="176">
        <v>43266</v>
      </c>
      <c r="W391" s="189">
        <v>1</v>
      </c>
      <c r="X391" s="234" t="s">
        <v>1052</v>
      </c>
      <c r="Y391" s="60">
        <v>43269</v>
      </c>
      <c r="Z391" s="185">
        <f>43500000-7589820+1174332-948594</f>
        <v>36135918</v>
      </c>
      <c r="AA391" s="64"/>
      <c r="AB391" s="186">
        <v>902</v>
      </c>
      <c r="AC391" s="60">
        <v>43270</v>
      </c>
      <c r="AD391" s="230">
        <f>37084512-948594</f>
        <v>36135918</v>
      </c>
      <c r="AE391" s="238">
        <f t="shared" ref="AE391:AE396" si="45">S391-AD391</f>
        <v>0</v>
      </c>
      <c r="AF391" s="186">
        <v>2551</v>
      </c>
      <c r="AG391" s="60">
        <v>43312</v>
      </c>
      <c r="AH391" s="230">
        <v>36135918</v>
      </c>
      <c r="AI391" s="64" t="s">
        <v>1053</v>
      </c>
      <c r="AJ391" s="50">
        <v>474</v>
      </c>
      <c r="AK391" s="64"/>
      <c r="AL391" s="236">
        <v>36135918</v>
      </c>
      <c r="AM391" s="236">
        <f t="shared" si="43"/>
        <v>0</v>
      </c>
      <c r="AN391" s="64"/>
      <c r="AO391" s="231">
        <f t="shared" si="44"/>
        <v>0</v>
      </c>
      <c r="AP391" s="64"/>
      <c r="AQ391" s="64"/>
      <c r="AR391" s="64"/>
      <c r="AS391" s="64"/>
      <c r="AT391" s="64"/>
      <c r="AU391" s="64"/>
      <c r="AV391" s="64"/>
      <c r="AW391" s="220"/>
    </row>
    <row r="392" spans="1:49" s="221" customFormat="1" ht="270.75" x14ac:dyDescent="0.25">
      <c r="A392" s="173">
        <f t="shared" si="41"/>
        <v>26</v>
      </c>
      <c r="B392" s="173" t="s">
        <v>1054</v>
      </c>
      <c r="C392" s="173" t="s">
        <v>951</v>
      </c>
      <c r="D392" s="173" t="s">
        <v>952</v>
      </c>
      <c r="E392" s="173" t="s">
        <v>953</v>
      </c>
      <c r="F392" s="173" t="s">
        <v>425</v>
      </c>
      <c r="G392" s="173" t="s">
        <v>1017</v>
      </c>
      <c r="H392" s="175" t="s">
        <v>1018</v>
      </c>
      <c r="I392" s="173" t="s">
        <v>55</v>
      </c>
      <c r="J392" s="173" t="s">
        <v>56</v>
      </c>
      <c r="K392" s="173">
        <v>81111500</v>
      </c>
      <c r="L392" s="63" t="s">
        <v>954</v>
      </c>
      <c r="M392" s="63" t="s">
        <v>58</v>
      </c>
      <c r="N392" s="63" t="s">
        <v>59</v>
      </c>
      <c r="O392" s="64" t="s">
        <v>886</v>
      </c>
      <c r="P392" s="63" t="s">
        <v>1055</v>
      </c>
      <c r="Q392" s="185">
        <v>13300000</v>
      </c>
      <c r="R392" s="63">
        <v>1</v>
      </c>
      <c r="S392" s="185">
        <f>159600000+92303874-1174332-17965260-34098806</f>
        <v>198665476</v>
      </c>
      <c r="T392" s="133" t="s">
        <v>1051</v>
      </c>
      <c r="U392" s="111" t="s">
        <v>1037</v>
      </c>
      <c r="V392" s="176" t="s">
        <v>1023</v>
      </c>
      <c r="W392" s="189">
        <v>12</v>
      </c>
      <c r="X392" s="241" t="s">
        <v>1056</v>
      </c>
      <c r="Y392" s="60">
        <v>43227</v>
      </c>
      <c r="Z392" s="185">
        <v>198665476</v>
      </c>
      <c r="AA392" s="64" t="s">
        <v>1057</v>
      </c>
      <c r="AB392" s="186">
        <v>815</v>
      </c>
      <c r="AC392" s="60">
        <v>43227</v>
      </c>
      <c r="AD392" s="230">
        <v>198665476</v>
      </c>
      <c r="AE392" s="238">
        <f t="shared" si="45"/>
        <v>0</v>
      </c>
      <c r="AF392" s="186">
        <v>1991</v>
      </c>
      <c r="AG392" s="60">
        <v>43252</v>
      </c>
      <c r="AH392" s="69">
        <v>198665476</v>
      </c>
      <c r="AI392" s="64" t="s">
        <v>1058</v>
      </c>
      <c r="AJ392" s="50">
        <v>435</v>
      </c>
      <c r="AK392" s="64"/>
      <c r="AL392" s="242">
        <v>198665476</v>
      </c>
      <c r="AM392" s="236">
        <f t="shared" si="43"/>
        <v>0</v>
      </c>
      <c r="AN392" s="64"/>
      <c r="AO392" s="231">
        <f t="shared" si="44"/>
        <v>0</v>
      </c>
      <c r="AP392" s="64"/>
      <c r="AQ392" s="64"/>
      <c r="AR392" s="64"/>
      <c r="AS392" s="64"/>
      <c r="AT392" s="64"/>
      <c r="AU392" s="64"/>
      <c r="AV392" s="64"/>
      <c r="AW392" s="220"/>
    </row>
    <row r="393" spans="1:49" s="221" customFormat="1" ht="228" x14ac:dyDescent="0.25">
      <c r="A393" s="173">
        <f t="shared" si="41"/>
        <v>27</v>
      </c>
      <c r="B393" s="173" t="s">
        <v>1059</v>
      </c>
      <c r="C393" s="173" t="s">
        <v>951</v>
      </c>
      <c r="D393" s="173" t="s">
        <v>952</v>
      </c>
      <c r="E393" s="173" t="s">
        <v>953</v>
      </c>
      <c r="F393" s="173" t="s">
        <v>425</v>
      </c>
      <c r="G393" s="173" t="s">
        <v>1017</v>
      </c>
      <c r="H393" s="175" t="s">
        <v>1018</v>
      </c>
      <c r="I393" s="173" t="s">
        <v>55</v>
      </c>
      <c r="J393" s="173" t="s">
        <v>56</v>
      </c>
      <c r="K393" s="173">
        <v>81111500</v>
      </c>
      <c r="L393" s="63" t="s">
        <v>954</v>
      </c>
      <c r="M393" s="63" t="s">
        <v>58</v>
      </c>
      <c r="N393" s="63" t="s">
        <v>59</v>
      </c>
      <c r="O393" s="64" t="s">
        <v>886</v>
      </c>
      <c r="P393" s="63" t="s">
        <v>1060</v>
      </c>
      <c r="Q393" s="185">
        <v>9800000</v>
      </c>
      <c r="R393" s="63">
        <v>1</v>
      </c>
      <c r="S393" s="185">
        <f>79721000-55640912</f>
        <v>24080088</v>
      </c>
      <c r="T393" s="133" t="s">
        <v>1051</v>
      </c>
      <c r="U393" s="173" t="s">
        <v>1026</v>
      </c>
      <c r="V393" s="176">
        <v>43320</v>
      </c>
      <c r="W393" s="189">
        <v>8</v>
      </c>
      <c r="X393" s="234" t="s">
        <v>1061</v>
      </c>
      <c r="Y393" s="60">
        <v>43321</v>
      </c>
      <c r="Z393" s="185">
        <v>24080088</v>
      </c>
      <c r="AA393" s="64"/>
      <c r="AB393" s="186">
        <v>1060</v>
      </c>
      <c r="AC393" s="60">
        <v>43325</v>
      </c>
      <c r="AD393" s="230">
        <v>24080088</v>
      </c>
      <c r="AE393" s="238">
        <f t="shared" si="45"/>
        <v>0</v>
      </c>
      <c r="AF393" s="186"/>
      <c r="AG393" s="64"/>
      <c r="AH393" s="230"/>
      <c r="AI393" s="64"/>
      <c r="AJ393" s="50"/>
      <c r="AK393" s="64"/>
      <c r="AL393" s="236"/>
      <c r="AM393" s="236">
        <f t="shared" si="43"/>
        <v>0</v>
      </c>
      <c r="AN393" s="64"/>
      <c r="AO393" s="231">
        <f t="shared" si="44"/>
        <v>24080088</v>
      </c>
      <c r="AP393" s="64"/>
      <c r="AQ393" s="64"/>
      <c r="AR393" s="64"/>
      <c r="AS393" s="64"/>
      <c r="AT393" s="64"/>
      <c r="AU393" s="64"/>
      <c r="AV393" s="64"/>
      <c r="AW393" s="220"/>
    </row>
    <row r="394" spans="1:49" s="221" customFormat="1" ht="409.5" x14ac:dyDescent="0.25">
      <c r="A394" s="173">
        <f t="shared" si="41"/>
        <v>28</v>
      </c>
      <c r="B394" s="173" t="s">
        <v>1062</v>
      </c>
      <c r="C394" s="173" t="s">
        <v>951</v>
      </c>
      <c r="D394" s="173" t="s">
        <v>952</v>
      </c>
      <c r="E394" s="173" t="s">
        <v>953</v>
      </c>
      <c r="F394" s="173" t="s">
        <v>52</v>
      </c>
      <c r="G394" s="173" t="s">
        <v>53</v>
      </c>
      <c r="H394" s="175" t="s">
        <v>884</v>
      </c>
      <c r="I394" s="173" t="s">
        <v>55</v>
      </c>
      <c r="J394" s="173" t="s">
        <v>56</v>
      </c>
      <c r="K394" s="63">
        <v>80111600</v>
      </c>
      <c r="L394" s="63" t="s">
        <v>954</v>
      </c>
      <c r="M394" s="63" t="s">
        <v>58</v>
      </c>
      <c r="N394" s="63" t="s">
        <v>59</v>
      </c>
      <c r="O394" s="64" t="s">
        <v>1006</v>
      </c>
      <c r="P394" s="63" t="s">
        <v>1063</v>
      </c>
      <c r="Q394" s="185">
        <v>15470000</v>
      </c>
      <c r="R394" s="63">
        <v>1</v>
      </c>
      <c r="S394" s="185">
        <v>177905000</v>
      </c>
      <c r="T394" s="133" t="s">
        <v>888</v>
      </c>
      <c r="U394" s="63" t="s">
        <v>1064</v>
      </c>
      <c r="V394" s="176" t="s">
        <v>64</v>
      </c>
      <c r="W394" s="184">
        <v>12</v>
      </c>
      <c r="X394" s="241" t="s">
        <v>1065</v>
      </c>
      <c r="Y394" s="60">
        <v>43122</v>
      </c>
      <c r="Z394" s="185">
        <v>177905000</v>
      </c>
      <c r="AA394" s="64" t="s">
        <v>1010</v>
      </c>
      <c r="AB394" s="186">
        <v>560</v>
      </c>
      <c r="AC394" s="60">
        <v>43123</v>
      </c>
      <c r="AD394" s="230">
        <v>177905000</v>
      </c>
      <c r="AE394" s="238">
        <f t="shared" si="45"/>
        <v>0</v>
      </c>
      <c r="AF394" s="186">
        <v>486</v>
      </c>
      <c r="AG394" s="60">
        <v>43126</v>
      </c>
      <c r="AH394" s="230">
        <v>177905000</v>
      </c>
      <c r="AI394" s="64" t="s">
        <v>1066</v>
      </c>
      <c r="AJ394" s="50">
        <v>408</v>
      </c>
      <c r="AK394" s="64"/>
      <c r="AL394" s="242">
        <v>110868334</v>
      </c>
      <c r="AM394" s="236">
        <f t="shared" si="43"/>
        <v>67036666</v>
      </c>
      <c r="AN394" s="64"/>
      <c r="AO394" s="231">
        <f t="shared" si="44"/>
        <v>0</v>
      </c>
      <c r="AP394" s="64"/>
      <c r="AQ394" s="64"/>
      <c r="AR394" s="64"/>
      <c r="AS394" s="64"/>
      <c r="AT394" s="64"/>
      <c r="AU394" s="64"/>
      <c r="AV394" s="64"/>
      <c r="AW394" s="220"/>
    </row>
    <row r="395" spans="1:49" s="221" customFormat="1" ht="270.75" x14ac:dyDescent="0.25">
      <c r="A395" s="173">
        <f t="shared" si="41"/>
        <v>29</v>
      </c>
      <c r="B395" s="173" t="s">
        <v>1067</v>
      </c>
      <c r="C395" s="173" t="s">
        <v>951</v>
      </c>
      <c r="D395" s="173" t="s">
        <v>952</v>
      </c>
      <c r="E395" s="173" t="s">
        <v>953</v>
      </c>
      <c r="F395" s="173" t="s">
        <v>425</v>
      </c>
      <c r="G395" s="173" t="s">
        <v>1017</v>
      </c>
      <c r="H395" s="175" t="s">
        <v>1018</v>
      </c>
      <c r="I395" s="173" t="s">
        <v>55</v>
      </c>
      <c r="J395" s="173" t="s">
        <v>56</v>
      </c>
      <c r="K395" s="173">
        <v>81111500</v>
      </c>
      <c r="L395" s="63" t="s">
        <v>954</v>
      </c>
      <c r="M395" s="63" t="s">
        <v>58</v>
      </c>
      <c r="N395" s="63" t="s">
        <v>59</v>
      </c>
      <c r="O395" s="64" t="s">
        <v>886</v>
      </c>
      <c r="P395" s="190" t="s">
        <v>1068</v>
      </c>
      <c r="Q395" s="191">
        <v>33376261</v>
      </c>
      <c r="R395" s="63">
        <v>1.87</v>
      </c>
      <c r="S395" s="239">
        <v>62302353</v>
      </c>
      <c r="T395" s="63" t="s">
        <v>1013</v>
      </c>
      <c r="U395" s="111" t="s">
        <v>1037</v>
      </c>
      <c r="V395" s="176" t="s">
        <v>64</v>
      </c>
      <c r="W395" s="189">
        <v>12</v>
      </c>
      <c r="X395" s="241" t="s">
        <v>1069</v>
      </c>
      <c r="Y395" s="60">
        <v>43139</v>
      </c>
      <c r="Z395" s="185">
        <v>62302353</v>
      </c>
      <c r="AA395" s="64" t="s">
        <v>1070</v>
      </c>
      <c r="AB395" s="186">
        <v>639</v>
      </c>
      <c r="AC395" s="60">
        <v>43139</v>
      </c>
      <c r="AD395" s="230">
        <v>62302353</v>
      </c>
      <c r="AE395" s="238">
        <f t="shared" si="45"/>
        <v>0</v>
      </c>
      <c r="AF395" s="186">
        <v>1468</v>
      </c>
      <c r="AG395" s="60">
        <v>43154</v>
      </c>
      <c r="AH395" s="230">
        <v>62302353</v>
      </c>
      <c r="AI395" s="64" t="s">
        <v>1071</v>
      </c>
      <c r="AJ395" s="50">
        <v>327</v>
      </c>
      <c r="AK395" s="64"/>
      <c r="AL395" s="242">
        <v>62302353</v>
      </c>
      <c r="AM395" s="236">
        <f t="shared" si="43"/>
        <v>0</v>
      </c>
      <c r="AN395" s="64"/>
      <c r="AO395" s="231">
        <f t="shared" si="44"/>
        <v>0</v>
      </c>
      <c r="AP395" s="64"/>
      <c r="AQ395" s="64"/>
      <c r="AR395" s="64"/>
      <c r="AS395" s="64"/>
      <c r="AT395" s="64"/>
      <c r="AU395" s="64"/>
      <c r="AV395" s="64"/>
      <c r="AW395" s="220"/>
    </row>
    <row r="396" spans="1:49" s="221" customFormat="1" ht="270.75" x14ac:dyDescent="0.25">
      <c r="A396" s="173">
        <f t="shared" si="41"/>
        <v>30</v>
      </c>
      <c r="B396" s="173" t="s">
        <v>1072</v>
      </c>
      <c r="C396" s="173" t="s">
        <v>951</v>
      </c>
      <c r="D396" s="173" t="s">
        <v>952</v>
      </c>
      <c r="E396" s="173" t="s">
        <v>953</v>
      </c>
      <c r="F396" s="173" t="s">
        <v>425</v>
      </c>
      <c r="G396" s="173" t="s">
        <v>1017</v>
      </c>
      <c r="H396" s="175" t="s">
        <v>1018</v>
      </c>
      <c r="I396" s="173" t="s">
        <v>55</v>
      </c>
      <c r="J396" s="173" t="s">
        <v>56</v>
      </c>
      <c r="K396" s="173">
        <v>81111500</v>
      </c>
      <c r="L396" s="63" t="s">
        <v>954</v>
      </c>
      <c r="M396" s="63" t="s">
        <v>58</v>
      </c>
      <c r="N396" s="63" t="s">
        <v>59</v>
      </c>
      <c r="O396" s="64" t="s">
        <v>1006</v>
      </c>
      <c r="P396" s="63" t="s">
        <v>1073</v>
      </c>
      <c r="Q396" s="192">
        <f>S396/R396</f>
        <v>339036000</v>
      </c>
      <c r="R396" s="63">
        <v>2</v>
      </c>
      <c r="S396" s="185">
        <f>107769709+565000000+32267736+7589820-34555265</f>
        <v>678072000</v>
      </c>
      <c r="T396" s="64"/>
      <c r="U396" s="111" t="s">
        <v>1037</v>
      </c>
      <c r="V396" s="64"/>
      <c r="W396" s="189">
        <v>1</v>
      </c>
      <c r="X396" s="241" t="s">
        <v>1074</v>
      </c>
      <c r="Y396" s="60">
        <v>43173</v>
      </c>
      <c r="Z396" s="185">
        <v>678072000</v>
      </c>
      <c r="AA396" s="64" t="s">
        <v>1075</v>
      </c>
      <c r="AB396" s="186">
        <v>761</v>
      </c>
      <c r="AC396" s="60">
        <v>43185</v>
      </c>
      <c r="AD396" s="230">
        <v>678072000</v>
      </c>
      <c r="AE396" s="238">
        <f t="shared" si="45"/>
        <v>0</v>
      </c>
      <c r="AF396" s="186">
        <v>1802</v>
      </c>
      <c r="AG396" s="60">
        <v>43203</v>
      </c>
      <c r="AH396" s="230">
        <v>678072000</v>
      </c>
      <c r="AI396" s="64" t="s">
        <v>1076</v>
      </c>
      <c r="AJ396" s="50">
        <v>433</v>
      </c>
      <c r="AK396" s="64"/>
      <c r="AL396" s="242">
        <v>678072000</v>
      </c>
      <c r="AM396" s="236">
        <f t="shared" si="43"/>
        <v>0</v>
      </c>
      <c r="AN396" s="220"/>
      <c r="AO396" s="231">
        <f t="shared" si="44"/>
        <v>0</v>
      </c>
      <c r="AP396" s="220"/>
      <c r="AQ396" s="220"/>
      <c r="AR396" s="220"/>
      <c r="AS396" s="220"/>
      <c r="AT396" s="220"/>
      <c r="AU396" s="220"/>
      <c r="AV396" s="220"/>
      <c r="AW396" s="220"/>
    </row>
    <row r="397" spans="1:49" s="221" customFormat="1" ht="270.75" x14ac:dyDescent="0.25">
      <c r="A397" s="173">
        <f t="shared" si="41"/>
        <v>31</v>
      </c>
      <c r="B397" s="173" t="s">
        <v>1077</v>
      </c>
      <c r="C397" s="173" t="s">
        <v>951</v>
      </c>
      <c r="D397" s="173" t="s">
        <v>952</v>
      </c>
      <c r="E397" s="173" t="s">
        <v>953</v>
      </c>
      <c r="F397" s="173" t="s">
        <v>425</v>
      </c>
      <c r="G397" s="173" t="s">
        <v>1017</v>
      </c>
      <c r="H397" s="175" t="s">
        <v>1018</v>
      </c>
      <c r="I397" s="173" t="s">
        <v>55</v>
      </c>
      <c r="J397" s="173" t="s">
        <v>56</v>
      </c>
      <c r="K397" s="173">
        <v>81111500</v>
      </c>
      <c r="L397" s="63" t="s">
        <v>954</v>
      </c>
      <c r="M397" s="63" t="s">
        <v>58</v>
      </c>
      <c r="N397" s="63" t="s">
        <v>59</v>
      </c>
      <c r="O397" s="64" t="s">
        <v>1006</v>
      </c>
      <c r="P397" s="63" t="s">
        <v>1073</v>
      </c>
      <c r="Q397" s="192">
        <f>S397/R397</f>
        <v>0</v>
      </c>
      <c r="R397" s="63">
        <v>2</v>
      </c>
      <c r="S397" s="187">
        <f>7735-7735</f>
        <v>0</v>
      </c>
      <c r="T397" s="64"/>
      <c r="U397" s="111" t="s">
        <v>1037</v>
      </c>
      <c r="V397" s="64"/>
      <c r="W397" s="189">
        <v>1</v>
      </c>
      <c r="X397" s="241" t="s">
        <v>1078</v>
      </c>
      <c r="Y397" s="60"/>
      <c r="Z397" s="185"/>
      <c r="AA397" s="64" t="s">
        <v>1079</v>
      </c>
      <c r="AB397" s="186"/>
      <c r="AC397" s="60"/>
      <c r="AD397" s="230"/>
      <c r="AE397" s="238">
        <f>S397-Z397</f>
        <v>0</v>
      </c>
      <c r="AF397" s="186">
        <v>1802</v>
      </c>
      <c r="AG397" s="60">
        <v>43203</v>
      </c>
      <c r="AH397" s="230">
        <v>0</v>
      </c>
      <c r="AI397" s="64"/>
      <c r="AJ397" s="50"/>
      <c r="AK397" s="64"/>
      <c r="AL397" s="236">
        <v>0</v>
      </c>
      <c r="AM397" s="236">
        <f t="shared" si="43"/>
        <v>0</v>
      </c>
      <c r="AN397" s="220"/>
      <c r="AO397" s="231">
        <f t="shared" si="44"/>
        <v>0</v>
      </c>
      <c r="AP397" s="220"/>
      <c r="AQ397" s="220"/>
      <c r="AR397" s="220"/>
      <c r="AS397" s="220"/>
      <c r="AT397" s="220"/>
      <c r="AU397" s="220"/>
      <c r="AV397" s="220"/>
      <c r="AW397" s="220"/>
    </row>
    <row r="398" spans="1:49" s="221" customFormat="1" ht="327.75" x14ac:dyDescent="0.25">
      <c r="A398" s="173">
        <f t="shared" si="41"/>
        <v>32</v>
      </c>
      <c r="B398" s="173" t="s">
        <v>1080</v>
      </c>
      <c r="C398" s="173" t="s">
        <v>951</v>
      </c>
      <c r="D398" s="173" t="s">
        <v>952</v>
      </c>
      <c r="E398" s="173" t="s">
        <v>953</v>
      </c>
      <c r="F398" s="173" t="s">
        <v>425</v>
      </c>
      <c r="G398" s="173" t="s">
        <v>1017</v>
      </c>
      <c r="H398" s="175" t="s">
        <v>1018</v>
      </c>
      <c r="I398" s="173" t="s">
        <v>55</v>
      </c>
      <c r="J398" s="173" t="s">
        <v>56</v>
      </c>
      <c r="K398" s="63">
        <v>81112204</v>
      </c>
      <c r="L398" s="63" t="s">
        <v>954</v>
      </c>
      <c r="M398" s="63" t="s">
        <v>58</v>
      </c>
      <c r="N398" s="63" t="s">
        <v>59</v>
      </c>
      <c r="O398" s="64" t="s">
        <v>886</v>
      </c>
      <c r="P398" s="63" t="s">
        <v>1081</v>
      </c>
      <c r="Q398" s="185">
        <v>1004487</v>
      </c>
      <c r="R398" s="63">
        <v>1</v>
      </c>
      <c r="S398" s="185">
        <v>2511218</v>
      </c>
      <c r="T398" s="63" t="s">
        <v>439</v>
      </c>
      <c r="U398" s="173" t="s">
        <v>1082</v>
      </c>
      <c r="V398" s="176" t="s">
        <v>411</v>
      </c>
      <c r="W398" s="189" t="s">
        <v>1083</v>
      </c>
      <c r="X398" s="241" t="s">
        <v>1084</v>
      </c>
      <c r="Y398" s="60">
        <v>43196</v>
      </c>
      <c r="Z398" s="185">
        <v>2511218</v>
      </c>
      <c r="AA398" s="64" t="s">
        <v>1085</v>
      </c>
      <c r="AB398" s="186">
        <v>767</v>
      </c>
      <c r="AC398" s="60">
        <v>43199</v>
      </c>
      <c r="AD398" s="230">
        <v>2511218</v>
      </c>
      <c r="AE398" s="238">
        <f t="shared" ref="AE398:AE399" si="46">S398-AD398</f>
        <v>0</v>
      </c>
      <c r="AF398" s="186">
        <v>1756</v>
      </c>
      <c r="AG398" s="60">
        <v>43200</v>
      </c>
      <c r="AH398" s="230">
        <v>2511218</v>
      </c>
      <c r="AI398" s="64" t="s">
        <v>1086</v>
      </c>
      <c r="AJ398" s="50">
        <v>562</v>
      </c>
      <c r="AK398" s="64"/>
      <c r="AL398" s="242">
        <v>2511218</v>
      </c>
      <c r="AM398" s="236">
        <f t="shared" si="43"/>
        <v>0</v>
      </c>
      <c r="AN398" s="64"/>
      <c r="AO398" s="231">
        <f t="shared" si="44"/>
        <v>0</v>
      </c>
      <c r="AP398" s="64"/>
      <c r="AQ398" s="64"/>
      <c r="AR398" s="64"/>
      <c r="AS398" s="64"/>
      <c r="AT398" s="64"/>
      <c r="AU398" s="64"/>
      <c r="AV398" s="64"/>
      <c r="AW398" s="220"/>
    </row>
    <row r="399" spans="1:49" s="221" customFormat="1" ht="270.75" x14ac:dyDescent="0.25">
      <c r="A399" s="173">
        <f t="shared" si="41"/>
        <v>33</v>
      </c>
      <c r="B399" s="173" t="s">
        <v>1087</v>
      </c>
      <c r="C399" s="173" t="s">
        <v>951</v>
      </c>
      <c r="D399" s="173" t="s">
        <v>952</v>
      </c>
      <c r="E399" s="173" t="s">
        <v>953</v>
      </c>
      <c r="F399" s="173" t="s">
        <v>425</v>
      </c>
      <c r="G399" s="173" t="s">
        <v>1017</v>
      </c>
      <c r="H399" s="175" t="s">
        <v>1018</v>
      </c>
      <c r="I399" s="173" t="s">
        <v>55</v>
      </c>
      <c r="J399" s="173" t="s">
        <v>56</v>
      </c>
      <c r="K399" s="173">
        <v>81111500</v>
      </c>
      <c r="L399" s="63" t="s">
        <v>954</v>
      </c>
      <c r="M399" s="63" t="s">
        <v>58</v>
      </c>
      <c r="N399" s="63" t="s">
        <v>59</v>
      </c>
      <c r="O399" s="64" t="s">
        <v>886</v>
      </c>
      <c r="P399" s="63" t="s">
        <v>1088</v>
      </c>
      <c r="Q399" s="239">
        <v>342263852</v>
      </c>
      <c r="R399" s="63">
        <v>1</v>
      </c>
      <c r="S399" s="239">
        <f>342263852-6495682</f>
        <v>335768170</v>
      </c>
      <c r="T399" s="63" t="s">
        <v>1051</v>
      </c>
      <c r="U399" s="111" t="s">
        <v>1037</v>
      </c>
      <c r="V399" s="176" t="s">
        <v>1089</v>
      </c>
      <c r="W399" s="189">
        <v>1</v>
      </c>
      <c r="X399" s="234" t="s">
        <v>1090</v>
      </c>
      <c r="Y399" s="60">
        <v>43216</v>
      </c>
      <c r="Z399" s="239">
        <v>317799910</v>
      </c>
      <c r="AA399" s="64" t="s">
        <v>1070</v>
      </c>
      <c r="AB399" s="186">
        <v>807</v>
      </c>
      <c r="AC399" s="60">
        <v>42852</v>
      </c>
      <c r="AD399" s="230">
        <v>317799910</v>
      </c>
      <c r="AE399" s="238">
        <f t="shared" si="46"/>
        <v>17968260</v>
      </c>
      <c r="AF399" s="186">
        <v>1960</v>
      </c>
      <c r="AG399" s="60">
        <v>43250</v>
      </c>
      <c r="AH399" s="230">
        <v>317799910</v>
      </c>
      <c r="AI399" s="64" t="s">
        <v>1091</v>
      </c>
      <c r="AJ399" s="64">
        <v>434</v>
      </c>
      <c r="AK399" s="64"/>
      <c r="AL399" s="69">
        <v>317799910</v>
      </c>
      <c r="AM399" s="236">
        <f t="shared" si="43"/>
        <v>0</v>
      </c>
      <c r="AN399" s="64"/>
      <c r="AO399" s="231">
        <f t="shared" si="44"/>
        <v>17968260</v>
      </c>
      <c r="AP399" s="64"/>
      <c r="AQ399" s="64"/>
      <c r="AR399" s="64"/>
      <c r="AS399" s="64"/>
      <c r="AT399" s="64"/>
      <c r="AU399" s="64"/>
      <c r="AV399" s="64"/>
      <c r="AW399" s="220"/>
    </row>
    <row r="400" spans="1:49" s="221" customFormat="1" ht="185.25" x14ac:dyDescent="0.25">
      <c r="A400" s="173">
        <f t="shared" si="41"/>
        <v>34</v>
      </c>
      <c r="B400" s="173" t="s">
        <v>1092</v>
      </c>
      <c r="C400" s="173" t="s">
        <v>951</v>
      </c>
      <c r="D400" s="173" t="s">
        <v>952</v>
      </c>
      <c r="E400" s="173" t="s">
        <v>953</v>
      </c>
      <c r="F400" s="173" t="s">
        <v>1002</v>
      </c>
      <c r="G400" s="173" t="s">
        <v>1003</v>
      </c>
      <c r="H400" s="173" t="s">
        <v>1004</v>
      </c>
      <c r="I400" s="173" t="s">
        <v>55</v>
      </c>
      <c r="J400" s="173" t="s">
        <v>56</v>
      </c>
      <c r="K400" s="173" t="s">
        <v>1005</v>
      </c>
      <c r="L400" s="63" t="s">
        <v>954</v>
      </c>
      <c r="M400" s="63" t="s">
        <v>58</v>
      </c>
      <c r="N400" s="63" t="s">
        <v>59</v>
      </c>
      <c r="O400" s="64" t="s">
        <v>1006</v>
      </c>
      <c r="P400" s="63" t="s">
        <v>1093</v>
      </c>
      <c r="Q400" s="185">
        <v>7000000</v>
      </c>
      <c r="R400" s="63">
        <v>1</v>
      </c>
      <c r="S400" s="188">
        <v>7000000</v>
      </c>
      <c r="T400" s="63" t="s">
        <v>439</v>
      </c>
      <c r="U400" s="173" t="s">
        <v>445</v>
      </c>
      <c r="V400" s="176">
        <v>43327</v>
      </c>
      <c r="W400" s="184">
        <v>1</v>
      </c>
      <c r="X400" s="234"/>
      <c r="Y400" s="60"/>
      <c r="Z400" s="185"/>
      <c r="AA400" s="64"/>
      <c r="AB400" s="186"/>
      <c r="AC400" s="64"/>
      <c r="AD400" s="64"/>
      <c r="AE400" s="238">
        <f t="shared" ref="AE400:AE406" si="47">S400-Z400</f>
        <v>7000000</v>
      </c>
      <c r="AF400" s="186"/>
      <c r="AG400" s="64"/>
      <c r="AH400" s="230"/>
      <c r="AI400" s="64"/>
      <c r="AJ400" s="64"/>
      <c r="AK400" s="64"/>
      <c r="AL400" s="64"/>
      <c r="AM400" s="236">
        <f t="shared" si="43"/>
        <v>0</v>
      </c>
      <c r="AN400" s="64"/>
      <c r="AO400" s="231">
        <f t="shared" si="44"/>
        <v>7000000</v>
      </c>
      <c r="AP400" s="64"/>
      <c r="AQ400" s="64"/>
      <c r="AR400" s="64"/>
      <c r="AS400" s="64"/>
      <c r="AT400" s="64"/>
      <c r="AU400" s="64"/>
      <c r="AV400" s="64"/>
      <c r="AW400" s="220"/>
    </row>
    <row r="401" spans="1:49" s="221" customFormat="1" ht="299.25" x14ac:dyDescent="0.25">
      <c r="A401" s="173">
        <f t="shared" si="41"/>
        <v>35</v>
      </c>
      <c r="B401" s="173" t="s">
        <v>1094</v>
      </c>
      <c r="C401" s="173" t="s">
        <v>951</v>
      </c>
      <c r="D401" s="173" t="s">
        <v>952</v>
      </c>
      <c r="E401" s="173" t="s">
        <v>953</v>
      </c>
      <c r="F401" s="173" t="s">
        <v>425</v>
      </c>
      <c r="G401" s="173" t="s">
        <v>1017</v>
      </c>
      <c r="H401" s="175" t="s">
        <v>1018</v>
      </c>
      <c r="I401" s="173" t="s">
        <v>55</v>
      </c>
      <c r="J401" s="173" t="s">
        <v>56</v>
      </c>
      <c r="K401" s="173">
        <v>81111500</v>
      </c>
      <c r="L401" s="63" t="s">
        <v>954</v>
      </c>
      <c r="M401" s="63" t="s">
        <v>58</v>
      </c>
      <c r="N401" s="63" t="s">
        <v>59</v>
      </c>
      <c r="O401" s="64" t="s">
        <v>886</v>
      </c>
      <c r="P401" s="63" t="s">
        <v>1095</v>
      </c>
      <c r="Q401" s="185">
        <f t="shared" ref="Q401:Q413" si="48">S401/W401</f>
        <v>55344464</v>
      </c>
      <c r="R401" s="63">
        <v>1</v>
      </c>
      <c r="S401" s="239">
        <v>55344464</v>
      </c>
      <c r="T401" s="63" t="s">
        <v>1096</v>
      </c>
      <c r="U401" s="111" t="s">
        <v>1037</v>
      </c>
      <c r="V401" s="176">
        <v>43292</v>
      </c>
      <c r="W401" s="189">
        <v>1</v>
      </c>
      <c r="X401" s="234" t="s">
        <v>1097</v>
      </c>
      <c r="Y401" s="60"/>
      <c r="Z401" s="185"/>
      <c r="AA401" s="47"/>
      <c r="AB401" s="186"/>
      <c r="AC401" s="60"/>
      <c r="AD401" s="230"/>
      <c r="AE401" s="238">
        <f t="shared" si="47"/>
        <v>55344464</v>
      </c>
      <c r="AF401" s="186"/>
      <c r="AG401" s="60"/>
      <c r="AH401" s="230"/>
      <c r="AI401" s="64"/>
      <c r="AJ401" s="64"/>
      <c r="AK401" s="64"/>
      <c r="AL401" s="236">
        <v>0</v>
      </c>
      <c r="AM401" s="236">
        <f t="shared" si="43"/>
        <v>0</v>
      </c>
      <c r="AN401" s="64"/>
      <c r="AO401" s="231">
        <f t="shared" si="44"/>
        <v>55344464</v>
      </c>
      <c r="AP401" s="64"/>
      <c r="AQ401" s="64"/>
      <c r="AR401" s="64"/>
      <c r="AS401" s="64"/>
      <c r="AT401" s="64"/>
      <c r="AU401" s="64"/>
      <c r="AV401" s="64"/>
      <c r="AW401" s="220"/>
    </row>
    <row r="402" spans="1:49" s="221" customFormat="1" ht="270.75" x14ac:dyDescent="0.25">
      <c r="A402" s="173">
        <f t="shared" si="41"/>
        <v>36</v>
      </c>
      <c r="B402" s="173" t="s">
        <v>1098</v>
      </c>
      <c r="C402" s="173" t="s">
        <v>951</v>
      </c>
      <c r="D402" s="173" t="s">
        <v>952</v>
      </c>
      <c r="E402" s="173" t="s">
        <v>953</v>
      </c>
      <c r="F402" s="173" t="s">
        <v>425</v>
      </c>
      <c r="G402" s="173" t="s">
        <v>1017</v>
      </c>
      <c r="H402" s="175" t="s">
        <v>1018</v>
      </c>
      <c r="I402" s="173" t="s">
        <v>55</v>
      </c>
      <c r="J402" s="173" t="s">
        <v>56</v>
      </c>
      <c r="K402" s="173">
        <v>81111500</v>
      </c>
      <c r="L402" s="63" t="s">
        <v>954</v>
      </c>
      <c r="M402" s="63" t="s">
        <v>58</v>
      </c>
      <c r="N402" s="63" t="s">
        <v>59</v>
      </c>
      <c r="O402" s="64" t="s">
        <v>886</v>
      </c>
      <c r="P402" s="63" t="s">
        <v>1099</v>
      </c>
      <c r="Q402" s="185">
        <f t="shared" si="48"/>
        <v>0</v>
      </c>
      <c r="R402" s="63">
        <v>1</v>
      </c>
      <c r="S402" s="240">
        <f>40020000-40020000</f>
        <v>0</v>
      </c>
      <c r="T402" s="63" t="s">
        <v>1096</v>
      </c>
      <c r="U402" s="111" t="s">
        <v>1037</v>
      </c>
      <c r="V402" s="176">
        <v>43297</v>
      </c>
      <c r="W402" s="189">
        <v>2</v>
      </c>
      <c r="X402" s="234"/>
      <c r="Y402" s="60"/>
      <c r="Z402" s="185"/>
      <c r="AA402" s="47"/>
      <c r="AB402" s="186"/>
      <c r="AC402" s="60"/>
      <c r="AD402" s="230"/>
      <c r="AE402" s="238">
        <f t="shared" si="47"/>
        <v>0</v>
      </c>
      <c r="AF402" s="186"/>
      <c r="AG402" s="60"/>
      <c r="AH402" s="230"/>
      <c r="AI402" s="64"/>
      <c r="AJ402" s="64"/>
      <c r="AK402" s="64"/>
      <c r="AL402" s="236"/>
      <c r="AM402" s="236">
        <f t="shared" si="43"/>
        <v>0</v>
      </c>
      <c r="AN402" s="64"/>
      <c r="AO402" s="231">
        <f t="shared" si="44"/>
        <v>0</v>
      </c>
      <c r="AP402" s="64"/>
      <c r="AQ402" s="64"/>
      <c r="AR402" s="64"/>
      <c r="AS402" s="64"/>
      <c r="AT402" s="64"/>
      <c r="AU402" s="64"/>
      <c r="AV402" s="64"/>
      <c r="AW402" s="220"/>
    </row>
    <row r="403" spans="1:49" s="221" customFormat="1" ht="270.75" x14ac:dyDescent="0.25">
      <c r="A403" s="173">
        <f t="shared" si="41"/>
        <v>37</v>
      </c>
      <c r="B403" s="173" t="s">
        <v>1100</v>
      </c>
      <c r="C403" s="173" t="s">
        <v>951</v>
      </c>
      <c r="D403" s="173" t="s">
        <v>952</v>
      </c>
      <c r="E403" s="173" t="s">
        <v>953</v>
      </c>
      <c r="F403" s="173" t="s">
        <v>425</v>
      </c>
      <c r="G403" s="173" t="s">
        <v>1017</v>
      </c>
      <c r="H403" s="175" t="s">
        <v>1018</v>
      </c>
      <c r="I403" s="173" t="s">
        <v>55</v>
      </c>
      <c r="J403" s="173" t="s">
        <v>56</v>
      </c>
      <c r="K403" s="173">
        <v>81111500</v>
      </c>
      <c r="L403" s="63" t="s">
        <v>954</v>
      </c>
      <c r="M403" s="63" t="s">
        <v>58</v>
      </c>
      <c r="N403" s="63" t="s">
        <v>59</v>
      </c>
      <c r="O403" s="64" t="s">
        <v>886</v>
      </c>
      <c r="P403" s="63" t="s">
        <v>1101</v>
      </c>
      <c r="Q403" s="185">
        <f t="shared" si="48"/>
        <v>4650000</v>
      </c>
      <c r="R403" s="63">
        <v>1</v>
      </c>
      <c r="S403" s="240">
        <v>27900000</v>
      </c>
      <c r="T403" s="63" t="s">
        <v>1096</v>
      </c>
      <c r="U403" s="111" t="s">
        <v>1037</v>
      </c>
      <c r="V403" s="176">
        <v>43374</v>
      </c>
      <c r="W403" s="189">
        <v>6</v>
      </c>
      <c r="X403" s="234"/>
      <c r="Y403" s="60"/>
      <c r="Z403" s="185"/>
      <c r="AA403" s="47"/>
      <c r="AB403" s="186"/>
      <c r="AC403" s="60"/>
      <c r="AD403" s="230"/>
      <c r="AE403" s="238">
        <f t="shared" si="47"/>
        <v>27900000</v>
      </c>
      <c r="AF403" s="186"/>
      <c r="AG403" s="60"/>
      <c r="AH403" s="230"/>
      <c r="AI403" s="64"/>
      <c r="AJ403" s="64"/>
      <c r="AK403" s="64"/>
      <c r="AL403" s="236"/>
      <c r="AM403" s="236">
        <f t="shared" si="43"/>
        <v>0</v>
      </c>
      <c r="AN403" s="64"/>
      <c r="AO403" s="231">
        <f t="shared" si="44"/>
        <v>27900000</v>
      </c>
      <c r="AP403" s="64"/>
      <c r="AQ403" s="64"/>
      <c r="AR403" s="64"/>
      <c r="AS403" s="64"/>
      <c r="AT403" s="64"/>
      <c r="AU403" s="64"/>
      <c r="AV403" s="64"/>
      <c r="AW403" s="220"/>
    </row>
    <row r="404" spans="1:49" s="221" customFormat="1" ht="228" x14ac:dyDescent="0.25">
      <c r="A404" s="173">
        <f t="shared" si="41"/>
        <v>38</v>
      </c>
      <c r="B404" s="173" t="s">
        <v>1102</v>
      </c>
      <c r="C404" s="173" t="s">
        <v>951</v>
      </c>
      <c r="D404" s="173" t="s">
        <v>952</v>
      </c>
      <c r="E404" s="173" t="s">
        <v>953</v>
      </c>
      <c r="F404" s="173" t="s">
        <v>425</v>
      </c>
      <c r="G404" s="173" t="s">
        <v>1017</v>
      </c>
      <c r="H404" s="175" t="s">
        <v>1018</v>
      </c>
      <c r="I404" s="173" t="s">
        <v>55</v>
      </c>
      <c r="J404" s="173" t="s">
        <v>56</v>
      </c>
      <c r="K404" s="173">
        <v>81111500</v>
      </c>
      <c r="L404" s="63" t="s">
        <v>954</v>
      </c>
      <c r="M404" s="63" t="s">
        <v>58</v>
      </c>
      <c r="N404" s="63" t="s">
        <v>59</v>
      </c>
      <c r="O404" s="64" t="s">
        <v>886</v>
      </c>
      <c r="P404" s="63" t="s">
        <v>1103</v>
      </c>
      <c r="Q404" s="185">
        <f t="shared" si="48"/>
        <v>0</v>
      </c>
      <c r="R404" s="63">
        <v>1</v>
      </c>
      <c r="S404" s="240">
        <f>1100000-1100000</f>
        <v>0</v>
      </c>
      <c r="T404" s="63" t="s">
        <v>1096</v>
      </c>
      <c r="U404" s="111" t="s">
        <v>445</v>
      </c>
      <c r="V404" s="176">
        <v>43248</v>
      </c>
      <c r="W404" s="189">
        <v>11.66</v>
      </c>
      <c r="X404" s="234"/>
      <c r="Y404" s="60"/>
      <c r="Z404" s="185"/>
      <c r="AA404" s="47"/>
      <c r="AB404" s="186"/>
      <c r="AC404" s="60"/>
      <c r="AD404" s="230"/>
      <c r="AE404" s="238">
        <f t="shared" si="47"/>
        <v>0</v>
      </c>
      <c r="AF404" s="186"/>
      <c r="AG404" s="60"/>
      <c r="AH404" s="230"/>
      <c r="AI404" s="64"/>
      <c r="AJ404" s="64"/>
      <c r="AK404" s="64"/>
      <c r="AL404" s="236"/>
      <c r="AM404" s="236">
        <f t="shared" si="43"/>
        <v>0</v>
      </c>
      <c r="AN404" s="64"/>
      <c r="AO404" s="231">
        <f t="shared" si="44"/>
        <v>0</v>
      </c>
      <c r="AP404" s="64"/>
      <c r="AQ404" s="64"/>
      <c r="AR404" s="64"/>
      <c r="AS404" s="64"/>
      <c r="AT404" s="64"/>
      <c r="AU404" s="64"/>
      <c r="AV404" s="64"/>
      <c r="AW404" s="220"/>
    </row>
    <row r="405" spans="1:49" s="221" customFormat="1" ht="228" x14ac:dyDescent="0.25">
      <c r="A405" s="173">
        <f t="shared" si="41"/>
        <v>39</v>
      </c>
      <c r="B405" s="173" t="s">
        <v>1104</v>
      </c>
      <c r="C405" s="173" t="s">
        <v>951</v>
      </c>
      <c r="D405" s="173" t="s">
        <v>952</v>
      </c>
      <c r="E405" s="173" t="s">
        <v>953</v>
      </c>
      <c r="F405" s="173" t="s">
        <v>425</v>
      </c>
      <c r="G405" s="173" t="s">
        <v>1017</v>
      </c>
      <c r="H405" s="175" t="s">
        <v>1018</v>
      </c>
      <c r="I405" s="173" t="s">
        <v>55</v>
      </c>
      <c r="J405" s="173" t="s">
        <v>56</v>
      </c>
      <c r="K405" s="173">
        <v>81111500</v>
      </c>
      <c r="L405" s="63" t="s">
        <v>954</v>
      </c>
      <c r="M405" s="63" t="s">
        <v>58</v>
      </c>
      <c r="N405" s="63" t="s">
        <v>59</v>
      </c>
      <c r="O405" s="64" t="s">
        <v>886</v>
      </c>
      <c r="P405" s="63" t="s">
        <v>1105</v>
      </c>
      <c r="Q405" s="185">
        <f t="shared" si="48"/>
        <v>0</v>
      </c>
      <c r="R405" s="63"/>
      <c r="S405" s="240">
        <f>11061045+24000000-35061045</f>
        <v>0</v>
      </c>
      <c r="T405" s="63" t="s">
        <v>1096</v>
      </c>
      <c r="U405" s="111" t="s">
        <v>445</v>
      </c>
      <c r="V405" s="176">
        <v>43313</v>
      </c>
      <c r="W405" s="189">
        <v>3</v>
      </c>
      <c r="X405" s="234"/>
      <c r="Y405" s="60"/>
      <c r="Z405" s="185"/>
      <c r="AA405" s="47"/>
      <c r="AB405" s="186"/>
      <c r="AC405" s="60"/>
      <c r="AD405" s="230"/>
      <c r="AE405" s="238">
        <f t="shared" si="47"/>
        <v>0</v>
      </c>
      <c r="AF405" s="186"/>
      <c r="AG405" s="60"/>
      <c r="AH405" s="230"/>
      <c r="AI405" s="64"/>
      <c r="AJ405" s="64"/>
      <c r="AK405" s="64"/>
      <c r="AL405" s="236"/>
      <c r="AM405" s="236">
        <f t="shared" si="43"/>
        <v>0</v>
      </c>
      <c r="AN405" s="64"/>
      <c r="AO405" s="231">
        <f t="shared" si="44"/>
        <v>0</v>
      </c>
      <c r="AP405" s="64"/>
      <c r="AQ405" s="64"/>
      <c r="AR405" s="64"/>
      <c r="AS405" s="64"/>
      <c r="AT405" s="64"/>
      <c r="AU405" s="64"/>
      <c r="AV405" s="64"/>
      <c r="AW405" s="220"/>
    </row>
    <row r="406" spans="1:49" s="221" customFormat="1" ht="228" x14ac:dyDescent="0.25">
      <c r="A406" s="173">
        <f t="shared" si="41"/>
        <v>40</v>
      </c>
      <c r="B406" s="173" t="s">
        <v>1106</v>
      </c>
      <c r="C406" s="173" t="s">
        <v>951</v>
      </c>
      <c r="D406" s="173" t="s">
        <v>952</v>
      </c>
      <c r="E406" s="173" t="s">
        <v>953</v>
      </c>
      <c r="F406" s="173" t="s">
        <v>425</v>
      </c>
      <c r="G406" s="173" t="s">
        <v>1017</v>
      </c>
      <c r="H406" s="175" t="s">
        <v>1018</v>
      </c>
      <c r="I406" s="173" t="s">
        <v>55</v>
      </c>
      <c r="J406" s="173" t="s">
        <v>56</v>
      </c>
      <c r="K406" s="173">
        <v>81111500</v>
      </c>
      <c r="L406" s="63" t="s">
        <v>954</v>
      </c>
      <c r="M406" s="63" t="s">
        <v>58</v>
      </c>
      <c r="N406" s="63" t="s">
        <v>59</v>
      </c>
      <c r="O406" s="64" t="s">
        <v>886</v>
      </c>
      <c r="P406" s="63" t="s">
        <v>1107</v>
      </c>
      <c r="Q406" s="185">
        <f t="shared" si="48"/>
        <v>3985255.4782608696</v>
      </c>
      <c r="R406" s="63"/>
      <c r="S406" s="240">
        <f>114056996+22681047+34555265+7735-44672045-376590-11666801-47678275-8339121-12737773</f>
        <v>45830438</v>
      </c>
      <c r="T406" s="63" t="s">
        <v>1096</v>
      </c>
      <c r="U406" s="111" t="s">
        <v>445</v>
      </c>
      <c r="V406" s="176">
        <v>43353</v>
      </c>
      <c r="W406" s="189">
        <v>11.5</v>
      </c>
      <c r="X406" s="234"/>
      <c r="Y406" s="60"/>
      <c r="Z406" s="185"/>
      <c r="AA406" s="47" t="s">
        <v>1108</v>
      </c>
      <c r="AB406" s="186"/>
      <c r="AC406" s="60"/>
      <c r="AD406" s="230"/>
      <c r="AE406" s="238">
        <f t="shared" si="47"/>
        <v>45830438</v>
      </c>
      <c r="AF406" s="186"/>
      <c r="AG406" s="60"/>
      <c r="AH406" s="230"/>
      <c r="AI406" s="64"/>
      <c r="AJ406" s="64"/>
      <c r="AK406" s="64"/>
      <c r="AL406" s="236"/>
      <c r="AM406" s="236">
        <f t="shared" si="43"/>
        <v>0</v>
      </c>
      <c r="AN406" s="64"/>
      <c r="AO406" s="231">
        <f t="shared" si="44"/>
        <v>45830438</v>
      </c>
      <c r="AP406" s="64"/>
      <c r="AQ406" s="64"/>
      <c r="AR406" s="64"/>
      <c r="AS406" s="64"/>
      <c r="AT406" s="64"/>
      <c r="AU406" s="64"/>
      <c r="AV406" s="64"/>
      <c r="AW406" s="220"/>
    </row>
    <row r="407" spans="1:49" s="221" customFormat="1" ht="356.25" x14ac:dyDescent="0.25">
      <c r="A407" s="173">
        <f t="shared" si="41"/>
        <v>41</v>
      </c>
      <c r="B407" s="173" t="s">
        <v>1109</v>
      </c>
      <c r="C407" s="173" t="s">
        <v>951</v>
      </c>
      <c r="D407" s="173" t="s">
        <v>952</v>
      </c>
      <c r="E407" s="173" t="s">
        <v>953</v>
      </c>
      <c r="F407" s="173" t="s">
        <v>425</v>
      </c>
      <c r="G407" s="173" t="s">
        <v>1017</v>
      </c>
      <c r="H407" s="175" t="s">
        <v>1018</v>
      </c>
      <c r="I407" s="173" t="s">
        <v>55</v>
      </c>
      <c r="J407" s="173" t="s">
        <v>56</v>
      </c>
      <c r="K407" s="173">
        <v>81111500</v>
      </c>
      <c r="L407" s="63" t="s">
        <v>954</v>
      </c>
      <c r="M407" s="63" t="s">
        <v>58</v>
      </c>
      <c r="N407" s="63" t="s">
        <v>59</v>
      </c>
      <c r="O407" s="64" t="s">
        <v>886</v>
      </c>
      <c r="P407" s="63" t="s">
        <v>1110</v>
      </c>
      <c r="Q407" s="185">
        <f t="shared" si="48"/>
        <v>8271686.666666667</v>
      </c>
      <c r="R407" s="63">
        <v>1</v>
      </c>
      <c r="S407" s="240">
        <f>700377+50516069-1962916+376590</f>
        <v>49630120</v>
      </c>
      <c r="T407" s="63" t="s">
        <v>1096</v>
      </c>
      <c r="U407" s="173" t="s">
        <v>1030</v>
      </c>
      <c r="V407" s="176">
        <v>43357</v>
      </c>
      <c r="W407" s="189">
        <v>6</v>
      </c>
      <c r="X407" s="234" t="s">
        <v>1111</v>
      </c>
      <c r="Y407" s="60">
        <v>43360</v>
      </c>
      <c r="Z407" s="185">
        <v>49630120</v>
      </c>
      <c r="AA407" s="47" t="s">
        <v>1112</v>
      </c>
      <c r="AB407" s="186">
        <v>1161</v>
      </c>
      <c r="AC407" s="60">
        <v>43360</v>
      </c>
      <c r="AD407" s="230">
        <v>49630120</v>
      </c>
      <c r="AE407" s="238">
        <f t="shared" ref="AE407:AE413" si="49">S407-AD407</f>
        <v>0</v>
      </c>
      <c r="AF407" s="186"/>
      <c r="AG407" s="60"/>
      <c r="AH407" s="230"/>
      <c r="AI407" s="64"/>
      <c r="AJ407" s="64">
        <v>430</v>
      </c>
      <c r="AK407" s="64"/>
      <c r="AL407" s="236"/>
      <c r="AM407" s="236">
        <f t="shared" si="43"/>
        <v>0</v>
      </c>
      <c r="AN407" s="64"/>
      <c r="AO407" s="231">
        <f t="shared" si="44"/>
        <v>49630120</v>
      </c>
      <c r="AP407" s="64"/>
      <c r="AQ407" s="64"/>
      <c r="AR407" s="64"/>
      <c r="AS407" s="64"/>
      <c r="AT407" s="64"/>
      <c r="AU407" s="64"/>
      <c r="AV407" s="64"/>
      <c r="AW407" s="220"/>
    </row>
    <row r="408" spans="1:49" s="221" customFormat="1" ht="270.75" x14ac:dyDescent="0.25">
      <c r="A408" s="173">
        <f t="shared" si="41"/>
        <v>42</v>
      </c>
      <c r="B408" s="173" t="s">
        <v>1113</v>
      </c>
      <c r="C408" s="173" t="s">
        <v>951</v>
      </c>
      <c r="D408" s="173" t="s">
        <v>952</v>
      </c>
      <c r="E408" s="173" t="s">
        <v>953</v>
      </c>
      <c r="F408" s="173" t="s">
        <v>52</v>
      </c>
      <c r="G408" s="173" t="s">
        <v>53</v>
      </c>
      <c r="H408" s="175" t="s">
        <v>884</v>
      </c>
      <c r="I408" s="173" t="s">
        <v>55</v>
      </c>
      <c r="J408" s="173" t="s">
        <v>56</v>
      </c>
      <c r="K408" s="173">
        <v>81111500</v>
      </c>
      <c r="L408" s="63" t="s">
        <v>954</v>
      </c>
      <c r="M408" s="63" t="s">
        <v>58</v>
      </c>
      <c r="N408" s="63" t="s">
        <v>59</v>
      </c>
      <c r="O408" s="64" t="s">
        <v>886</v>
      </c>
      <c r="P408" s="63" t="s">
        <v>1114</v>
      </c>
      <c r="Q408" s="185">
        <f t="shared" si="48"/>
        <v>3080462.9629629627</v>
      </c>
      <c r="R408" s="63">
        <v>1</v>
      </c>
      <c r="S408" s="239">
        <f>17965260-1330760</f>
        <v>16634500</v>
      </c>
      <c r="T408" s="63" t="s">
        <v>1096</v>
      </c>
      <c r="U408" s="111" t="s">
        <v>1037</v>
      </c>
      <c r="V408" s="176">
        <v>43299</v>
      </c>
      <c r="W408" s="189">
        <v>5.4</v>
      </c>
      <c r="X408" s="234" t="s">
        <v>1115</v>
      </c>
      <c r="Y408" s="60">
        <v>43299</v>
      </c>
      <c r="Z408" s="185">
        <v>17965260</v>
      </c>
      <c r="AA408" s="47"/>
      <c r="AB408" s="186">
        <v>990</v>
      </c>
      <c r="AC408" s="60">
        <v>43300</v>
      </c>
      <c r="AD408" s="230">
        <v>16634500</v>
      </c>
      <c r="AE408" s="238">
        <f t="shared" si="49"/>
        <v>0</v>
      </c>
      <c r="AF408" s="186">
        <v>2546</v>
      </c>
      <c r="AG408" s="60">
        <v>43308</v>
      </c>
      <c r="AH408" s="230">
        <v>16634500</v>
      </c>
      <c r="AI408" s="64" t="s">
        <v>1116</v>
      </c>
      <c r="AJ408" s="64"/>
      <c r="AK408" s="64"/>
      <c r="AL408" s="236">
        <v>3437796</v>
      </c>
      <c r="AM408" s="236">
        <f t="shared" si="43"/>
        <v>13196704</v>
      </c>
      <c r="AN408" s="64"/>
      <c r="AO408" s="231">
        <f t="shared" si="44"/>
        <v>0</v>
      </c>
      <c r="AP408" s="64"/>
      <c r="AQ408" s="64"/>
      <c r="AR408" s="64"/>
      <c r="AS408" s="64"/>
      <c r="AT408" s="64"/>
      <c r="AU408" s="64"/>
      <c r="AV408" s="64"/>
      <c r="AW408" s="220"/>
    </row>
    <row r="409" spans="1:49" s="221" customFormat="1" ht="285" x14ac:dyDescent="0.25">
      <c r="A409" s="173">
        <f t="shared" si="41"/>
        <v>43</v>
      </c>
      <c r="B409" s="173" t="s">
        <v>1117</v>
      </c>
      <c r="C409" s="173" t="s">
        <v>951</v>
      </c>
      <c r="D409" s="173" t="s">
        <v>952</v>
      </c>
      <c r="E409" s="173" t="s">
        <v>953</v>
      </c>
      <c r="F409" s="173" t="s">
        <v>52</v>
      </c>
      <c r="G409" s="173" t="s">
        <v>53</v>
      </c>
      <c r="H409" s="175" t="s">
        <v>884</v>
      </c>
      <c r="I409" s="173" t="s">
        <v>55</v>
      </c>
      <c r="J409" s="173" t="s">
        <v>56</v>
      </c>
      <c r="K409" s="173">
        <v>80111600</v>
      </c>
      <c r="L409" s="63" t="s">
        <v>954</v>
      </c>
      <c r="M409" s="63" t="s">
        <v>58</v>
      </c>
      <c r="N409" s="63" t="s">
        <v>59</v>
      </c>
      <c r="O409" s="64" t="s">
        <v>886</v>
      </c>
      <c r="P409" s="63" t="s">
        <v>1118</v>
      </c>
      <c r="Q409" s="185">
        <f t="shared" si="48"/>
        <v>4532000</v>
      </c>
      <c r="R409" s="63">
        <v>1</v>
      </c>
      <c r="S409" s="240">
        <f>721000+223167+339900+1330760+12133+39827+10929213</f>
        <v>13596000</v>
      </c>
      <c r="T409" s="63" t="s">
        <v>888</v>
      </c>
      <c r="U409" s="173" t="s">
        <v>445</v>
      </c>
      <c r="V409" s="176">
        <v>43357</v>
      </c>
      <c r="W409" s="189">
        <v>3</v>
      </c>
      <c r="X409" s="234" t="s">
        <v>1119</v>
      </c>
      <c r="Y409" s="60">
        <v>43357</v>
      </c>
      <c r="Z409" s="185">
        <v>13596000</v>
      </c>
      <c r="AA409" s="47"/>
      <c r="AB409" s="186">
        <v>1169</v>
      </c>
      <c r="AC409" s="60">
        <v>43363</v>
      </c>
      <c r="AD409" s="230">
        <v>13596000</v>
      </c>
      <c r="AE409" s="238">
        <f t="shared" si="49"/>
        <v>0</v>
      </c>
      <c r="AF409" s="186">
        <v>2937</v>
      </c>
      <c r="AG409" s="60">
        <v>43371</v>
      </c>
      <c r="AH409" s="230">
        <v>13596000</v>
      </c>
      <c r="AI409" s="64" t="s">
        <v>961</v>
      </c>
      <c r="AJ409" s="64"/>
      <c r="AK409" s="64"/>
      <c r="AL409" s="236"/>
      <c r="AM409" s="236">
        <f t="shared" si="43"/>
        <v>13596000</v>
      </c>
      <c r="AN409" s="64"/>
      <c r="AO409" s="231">
        <f t="shared" si="44"/>
        <v>0</v>
      </c>
      <c r="AP409" s="64"/>
      <c r="AQ409" s="64"/>
      <c r="AR409" s="64"/>
      <c r="AS409" s="64"/>
      <c r="AT409" s="64"/>
      <c r="AU409" s="64"/>
      <c r="AV409" s="64"/>
      <c r="AW409" s="220"/>
    </row>
    <row r="410" spans="1:49" s="221" customFormat="1" ht="285" x14ac:dyDescent="0.25">
      <c r="A410" s="173">
        <f t="shared" si="41"/>
        <v>44</v>
      </c>
      <c r="B410" s="173" t="s">
        <v>1120</v>
      </c>
      <c r="C410" s="173" t="s">
        <v>951</v>
      </c>
      <c r="D410" s="173" t="s">
        <v>952</v>
      </c>
      <c r="E410" s="173" t="s">
        <v>953</v>
      </c>
      <c r="F410" s="173" t="s">
        <v>425</v>
      </c>
      <c r="G410" s="173" t="s">
        <v>1017</v>
      </c>
      <c r="H410" s="175" t="s">
        <v>1018</v>
      </c>
      <c r="I410" s="173" t="s">
        <v>55</v>
      </c>
      <c r="J410" s="173" t="s">
        <v>56</v>
      </c>
      <c r="K410" s="173">
        <v>81111500</v>
      </c>
      <c r="L410" s="63" t="s">
        <v>954</v>
      </c>
      <c r="M410" s="63" t="s">
        <v>58</v>
      </c>
      <c r="N410" s="63" t="s">
        <v>59</v>
      </c>
      <c r="O410" s="64" t="s">
        <v>886</v>
      </c>
      <c r="P410" s="63" t="s">
        <v>1121</v>
      </c>
      <c r="Q410" s="185">
        <f t="shared" si="48"/>
        <v>2466554.1226215642</v>
      </c>
      <c r="R410" s="63">
        <v>1</v>
      </c>
      <c r="S410" s="240">
        <v>11666801</v>
      </c>
      <c r="T410" s="63" t="s">
        <v>1013</v>
      </c>
      <c r="U410" s="111" t="s">
        <v>1122</v>
      </c>
      <c r="V410" s="176">
        <v>43362</v>
      </c>
      <c r="W410" s="189">
        <v>4.7300000000000004</v>
      </c>
      <c r="X410" s="234" t="s">
        <v>1123</v>
      </c>
      <c r="Y410" s="60">
        <v>43362</v>
      </c>
      <c r="Z410" s="185">
        <v>11666801</v>
      </c>
      <c r="AA410" s="47" t="s">
        <v>1124</v>
      </c>
      <c r="AB410" s="186">
        <v>1180</v>
      </c>
      <c r="AC410" s="60">
        <v>43367</v>
      </c>
      <c r="AD410" s="230">
        <v>11666801</v>
      </c>
      <c r="AE410" s="238">
        <f t="shared" si="49"/>
        <v>0</v>
      </c>
      <c r="AF410" s="186"/>
      <c r="AG410" s="60"/>
      <c r="AH410" s="230"/>
      <c r="AI410" s="64"/>
      <c r="AJ410" s="64"/>
      <c r="AK410" s="64"/>
      <c r="AL410" s="236"/>
      <c r="AM410" s="236">
        <f t="shared" si="43"/>
        <v>0</v>
      </c>
      <c r="AN410" s="64"/>
      <c r="AO410" s="231">
        <f t="shared" si="44"/>
        <v>11666801</v>
      </c>
      <c r="AP410" s="64"/>
      <c r="AQ410" s="64"/>
      <c r="AR410" s="64"/>
      <c r="AS410" s="64"/>
      <c r="AT410" s="64"/>
      <c r="AU410" s="64"/>
      <c r="AV410" s="64"/>
      <c r="AW410" s="220"/>
    </row>
    <row r="411" spans="1:49" s="221" customFormat="1" ht="270.75" x14ac:dyDescent="0.25">
      <c r="A411" s="173">
        <f t="shared" si="41"/>
        <v>45</v>
      </c>
      <c r="B411" s="173" t="s">
        <v>1125</v>
      </c>
      <c r="C411" s="173" t="s">
        <v>951</v>
      </c>
      <c r="D411" s="173" t="s">
        <v>952</v>
      </c>
      <c r="E411" s="173" t="s">
        <v>953</v>
      </c>
      <c r="F411" s="173" t="s">
        <v>425</v>
      </c>
      <c r="G411" s="173" t="s">
        <v>1017</v>
      </c>
      <c r="H411" s="175" t="s">
        <v>1018</v>
      </c>
      <c r="I411" s="173" t="s">
        <v>55</v>
      </c>
      <c r="J411" s="173" t="s">
        <v>56</v>
      </c>
      <c r="K411" s="173">
        <v>81111500</v>
      </c>
      <c r="L411" s="63" t="s">
        <v>954</v>
      </c>
      <c r="M411" s="63" t="s">
        <v>58</v>
      </c>
      <c r="N411" s="63" t="s">
        <v>59</v>
      </c>
      <c r="O411" s="64" t="s">
        <v>886</v>
      </c>
      <c r="P411" s="63" t="s">
        <v>1126</v>
      </c>
      <c r="Q411" s="185">
        <f t="shared" si="48"/>
        <v>10079973.572938688</v>
      </c>
      <c r="R411" s="63">
        <v>1</v>
      </c>
      <c r="S411" s="240">
        <v>47678275</v>
      </c>
      <c r="T411" s="63" t="s">
        <v>1127</v>
      </c>
      <c r="U411" s="111" t="s">
        <v>1128</v>
      </c>
      <c r="V411" s="176">
        <v>43362</v>
      </c>
      <c r="W411" s="189">
        <v>4.7300000000000004</v>
      </c>
      <c r="X411" s="234" t="s">
        <v>1129</v>
      </c>
      <c r="Y411" s="60">
        <v>43362</v>
      </c>
      <c r="Z411" s="185">
        <v>47678275</v>
      </c>
      <c r="AA411" s="47" t="s">
        <v>1130</v>
      </c>
      <c r="AB411" s="186">
        <v>1179</v>
      </c>
      <c r="AC411" s="60">
        <v>43367</v>
      </c>
      <c r="AD411" s="230">
        <v>47678275</v>
      </c>
      <c r="AE411" s="238">
        <f t="shared" si="49"/>
        <v>0</v>
      </c>
      <c r="AF411" s="186">
        <v>2936</v>
      </c>
      <c r="AG411" s="60">
        <v>43371</v>
      </c>
      <c r="AH411" s="230">
        <v>47678275</v>
      </c>
      <c r="AI411" s="64" t="s">
        <v>1131</v>
      </c>
      <c r="AJ411" s="64"/>
      <c r="AK411" s="64"/>
      <c r="AL411" s="236"/>
      <c r="AM411" s="236">
        <f t="shared" si="43"/>
        <v>47678275</v>
      </c>
      <c r="AN411" s="64"/>
      <c r="AO411" s="231">
        <f t="shared" si="44"/>
        <v>0</v>
      </c>
      <c r="AP411" s="64"/>
      <c r="AQ411" s="64"/>
      <c r="AR411" s="64"/>
      <c r="AS411" s="64"/>
      <c r="AT411" s="64"/>
      <c r="AU411" s="64"/>
      <c r="AV411" s="64"/>
      <c r="AW411" s="220"/>
    </row>
    <row r="412" spans="1:49" s="221" customFormat="1" ht="327.75" x14ac:dyDescent="0.25">
      <c r="A412" s="173">
        <f t="shared" si="41"/>
        <v>46</v>
      </c>
      <c r="B412" s="173" t="s">
        <v>1132</v>
      </c>
      <c r="C412" s="173" t="s">
        <v>951</v>
      </c>
      <c r="D412" s="173" t="s">
        <v>952</v>
      </c>
      <c r="E412" s="173" t="s">
        <v>953</v>
      </c>
      <c r="F412" s="173" t="s">
        <v>425</v>
      </c>
      <c r="G412" s="173" t="s">
        <v>1017</v>
      </c>
      <c r="H412" s="175" t="s">
        <v>1018</v>
      </c>
      <c r="I412" s="173" t="s">
        <v>55</v>
      </c>
      <c r="J412" s="173" t="s">
        <v>56</v>
      </c>
      <c r="K412" s="173">
        <v>39121004</v>
      </c>
      <c r="L412" s="63" t="s">
        <v>954</v>
      </c>
      <c r="M412" s="63" t="s">
        <v>58</v>
      </c>
      <c r="N412" s="63" t="s">
        <v>59</v>
      </c>
      <c r="O412" s="64" t="s">
        <v>886</v>
      </c>
      <c r="P412" s="63" t="s">
        <v>1133</v>
      </c>
      <c r="Q412" s="185">
        <f t="shared" si="48"/>
        <v>1389853.5</v>
      </c>
      <c r="R412" s="63"/>
      <c r="S412" s="240">
        <v>8339121</v>
      </c>
      <c r="T412" s="63" t="s">
        <v>1134</v>
      </c>
      <c r="U412" s="111" t="s">
        <v>1122</v>
      </c>
      <c r="V412" s="176">
        <v>43369</v>
      </c>
      <c r="W412" s="189">
        <v>6</v>
      </c>
      <c r="X412" s="234" t="s">
        <v>1135</v>
      </c>
      <c r="Y412" s="176">
        <v>43369</v>
      </c>
      <c r="Z412" s="240">
        <v>8339121</v>
      </c>
      <c r="AA412" s="47" t="s">
        <v>1136</v>
      </c>
      <c r="AB412" s="186">
        <v>1200</v>
      </c>
      <c r="AC412" s="60">
        <v>43369</v>
      </c>
      <c r="AD412" s="230">
        <v>8339121</v>
      </c>
      <c r="AE412" s="238">
        <f t="shared" si="49"/>
        <v>0</v>
      </c>
      <c r="AF412" s="186"/>
      <c r="AG412" s="60"/>
      <c r="AH412" s="230"/>
      <c r="AI412" s="64"/>
      <c r="AJ412" s="64"/>
      <c r="AK412" s="64"/>
      <c r="AL412" s="236"/>
      <c r="AM412" s="236">
        <f t="shared" si="43"/>
        <v>0</v>
      </c>
      <c r="AN412" s="64"/>
      <c r="AO412" s="231">
        <f t="shared" si="44"/>
        <v>8339121</v>
      </c>
      <c r="AP412" s="64"/>
      <c r="AQ412" s="64"/>
      <c r="AR412" s="64"/>
      <c r="AS412" s="64"/>
      <c r="AT412" s="64"/>
      <c r="AU412" s="64"/>
      <c r="AV412" s="64"/>
      <c r="AW412" s="220"/>
    </row>
    <row r="413" spans="1:49" s="221" customFormat="1" ht="270.75" x14ac:dyDescent="0.25">
      <c r="A413" s="173">
        <f t="shared" si="41"/>
        <v>47</v>
      </c>
      <c r="B413" s="173" t="s">
        <v>1137</v>
      </c>
      <c r="C413" s="173" t="s">
        <v>951</v>
      </c>
      <c r="D413" s="173" t="s">
        <v>952</v>
      </c>
      <c r="E413" s="173" t="s">
        <v>953</v>
      </c>
      <c r="F413" s="173" t="s">
        <v>425</v>
      </c>
      <c r="G413" s="173" t="s">
        <v>1017</v>
      </c>
      <c r="H413" s="175" t="s">
        <v>1018</v>
      </c>
      <c r="I413" s="173" t="s">
        <v>55</v>
      </c>
      <c r="J413" s="173" t="s">
        <v>56</v>
      </c>
      <c r="K413" s="173">
        <v>81111500</v>
      </c>
      <c r="L413" s="63" t="s">
        <v>954</v>
      </c>
      <c r="M413" s="63" t="s">
        <v>58</v>
      </c>
      <c r="N413" s="63" t="s">
        <v>59</v>
      </c>
      <c r="O413" s="64" t="s">
        <v>886</v>
      </c>
      <c r="P413" s="63" t="s">
        <v>1138</v>
      </c>
      <c r="Q413" s="185">
        <f t="shared" si="48"/>
        <v>3325789.2950391644</v>
      </c>
      <c r="R413" s="63"/>
      <c r="S413" s="240">
        <v>12737773</v>
      </c>
      <c r="T413" s="63" t="s">
        <v>1127</v>
      </c>
      <c r="U413" s="111" t="s">
        <v>1128</v>
      </c>
      <c r="V413" s="176">
        <v>43370</v>
      </c>
      <c r="W413" s="189">
        <v>3.83</v>
      </c>
      <c r="X413" s="234" t="s">
        <v>1139</v>
      </c>
      <c r="Y413" s="60">
        <v>43344</v>
      </c>
      <c r="Z413" s="240">
        <v>12737773</v>
      </c>
      <c r="AA413" s="47" t="s">
        <v>1140</v>
      </c>
      <c r="AB413" s="186"/>
      <c r="AC413" s="60"/>
      <c r="AD413" s="230"/>
      <c r="AE413" s="238">
        <f t="shared" si="49"/>
        <v>12737773</v>
      </c>
      <c r="AF413" s="186"/>
      <c r="AG413" s="60"/>
      <c r="AH413" s="230"/>
      <c r="AI413" s="64"/>
      <c r="AJ413" s="64"/>
      <c r="AK413" s="64"/>
      <c r="AL413" s="236"/>
      <c r="AM413" s="236">
        <f t="shared" si="43"/>
        <v>0</v>
      </c>
      <c r="AN413" s="64"/>
      <c r="AO413" s="231">
        <f t="shared" si="44"/>
        <v>12737773</v>
      </c>
      <c r="AP413" s="64"/>
      <c r="AQ413" s="64"/>
      <c r="AR413" s="64"/>
      <c r="AS413" s="64"/>
      <c r="AT413" s="64"/>
      <c r="AU413" s="64"/>
      <c r="AV413" s="64"/>
      <c r="AW413" s="220"/>
    </row>
    <row r="414" spans="1:49" s="221" customFormat="1" x14ac:dyDescent="0.25">
      <c r="A414" s="220"/>
      <c r="B414" s="220"/>
      <c r="C414" s="220"/>
      <c r="D414" s="220"/>
      <c r="E414" s="220"/>
      <c r="F414" s="220"/>
      <c r="G414" s="220"/>
      <c r="H414" s="220"/>
      <c r="I414" s="220"/>
      <c r="J414" s="220"/>
      <c r="K414" s="220"/>
      <c r="L414" s="220"/>
      <c r="M414" s="220"/>
      <c r="N414" s="220"/>
      <c r="O414" s="220"/>
      <c r="P414" s="220"/>
      <c r="Q414" s="220"/>
      <c r="R414" s="220"/>
      <c r="S414" s="220"/>
      <c r="T414" s="220"/>
      <c r="U414" s="220"/>
      <c r="V414" s="220"/>
      <c r="W414" s="220"/>
      <c r="X414" s="220"/>
      <c r="Y414" s="220"/>
      <c r="Z414" s="220"/>
      <c r="AA414" s="220"/>
      <c r="AB414" s="220"/>
      <c r="AC414" s="220"/>
      <c r="AD414" s="220"/>
      <c r="AE414" s="220"/>
      <c r="AF414" s="220"/>
      <c r="AG414" s="220"/>
      <c r="AH414" s="220"/>
      <c r="AI414" s="220"/>
      <c r="AJ414" s="220"/>
      <c r="AK414" s="220"/>
      <c r="AL414" s="220"/>
      <c r="AM414" s="220"/>
      <c r="AN414" s="220"/>
      <c r="AO414" s="220"/>
      <c r="AP414" s="220"/>
      <c r="AQ414" s="220"/>
      <c r="AR414" s="220"/>
      <c r="AS414" s="220"/>
      <c r="AT414" s="220"/>
      <c r="AU414" s="220"/>
      <c r="AV414" s="220"/>
      <c r="AW414" s="220"/>
    </row>
    <row r="415" spans="1:49" s="221" customFormat="1" ht="409.5" x14ac:dyDescent="0.25">
      <c r="A415" s="63">
        <v>1</v>
      </c>
      <c r="B415" s="63" t="str">
        <f t="shared" ref="B415:B478" si="50">CONCATENATE("3075","-",A415)</f>
        <v>3075-1</v>
      </c>
      <c r="C415" s="76" t="s">
        <v>1141</v>
      </c>
      <c r="D415" s="76" t="s">
        <v>1142</v>
      </c>
      <c r="E415" s="76" t="s">
        <v>1143</v>
      </c>
      <c r="F415" s="76" t="s">
        <v>1144</v>
      </c>
      <c r="G415" s="77" t="s">
        <v>1145</v>
      </c>
      <c r="H415" s="78" t="s">
        <v>1146</v>
      </c>
      <c r="I415" s="76" t="s">
        <v>1147</v>
      </c>
      <c r="J415" s="76" t="s">
        <v>1148</v>
      </c>
      <c r="K415" s="76">
        <v>821016</v>
      </c>
      <c r="L415" s="63" t="s">
        <v>1149</v>
      </c>
      <c r="M415" s="63" t="s">
        <v>58</v>
      </c>
      <c r="N415" s="63" t="s">
        <v>59</v>
      </c>
      <c r="O415" s="76" t="s">
        <v>1150</v>
      </c>
      <c r="P415" s="76" t="s">
        <v>1151</v>
      </c>
      <c r="Q415" s="79">
        <v>162500000</v>
      </c>
      <c r="R415" s="63">
        <v>1</v>
      </c>
      <c r="S415" s="80">
        <f>81250000+81250000</f>
        <v>162500000</v>
      </c>
      <c r="T415" s="63"/>
      <c r="U415" s="63" t="s">
        <v>1152</v>
      </c>
      <c r="V415" s="81" t="s">
        <v>875</v>
      </c>
      <c r="W415" s="82">
        <v>3</v>
      </c>
      <c r="X415" s="63" t="s">
        <v>1153</v>
      </c>
      <c r="Y415" s="81">
        <v>43326</v>
      </c>
      <c r="Z415" s="83">
        <v>162500000</v>
      </c>
      <c r="AA415" s="84" t="s">
        <v>1154</v>
      </c>
      <c r="AB415" s="85">
        <v>1063</v>
      </c>
      <c r="AC415" s="81">
        <v>43327</v>
      </c>
      <c r="AD415" s="86">
        <v>162500000</v>
      </c>
      <c r="AE415" s="87">
        <f t="shared" ref="AE415:AE429" si="51">S415-Z415</f>
        <v>0</v>
      </c>
      <c r="AF415" s="85"/>
      <c r="AG415" s="81"/>
      <c r="AH415" s="86"/>
      <c r="AI415" s="63"/>
      <c r="AJ415" s="63"/>
      <c r="AK415" s="87">
        <f t="shared" ref="AK415:AK478" si="52">AD415-AH415</f>
        <v>162500000</v>
      </c>
      <c r="AL415" s="86">
        <v>0</v>
      </c>
      <c r="AM415" s="86">
        <f t="shared" ref="AM415:AM478" si="53">AH415-AL415</f>
        <v>0</v>
      </c>
      <c r="AN415" s="63" t="s">
        <v>1155</v>
      </c>
      <c r="AO415" s="86">
        <f t="shared" ref="AO415:AO478" si="54">S415-AH415</f>
        <v>162500000</v>
      </c>
      <c r="AP415" s="63"/>
      <c r="AQ415" s="81">
        <v>43326</v>
      </c>
      <c r="AR415" s="63" t="s">
        <v>1156</v>
      </c>
      <c r="AS415" s="81">
        <v>43326</v>
      </c>
      <c r="AT415" s="63" t="s">
        <v>1151</v>
      </c>
      <c r="AU415" s="220"/>
      <c r="AV415" s="220"/>
      <c r="AW415" s="220"/>
    </row>
    <row r="416" spans="1:49" s="221" customFormat="1" ht="256.5" x14ac:dyDescent="0.25">
      <c r="A416" s="63">
        <v>2</v>
      </c>
      <c r="B416" s="63" t="str">
        <f t="shared" si="50"/>
        <v>3075-2</v>
      </c>
      <c r="C416" s="76" t="s">
        <v>1141</v>
      </c>
      <c r="D416" s="76" t="s">
        <v>1142</v>
      </c>
      <c r="E416" s="76" t="s">
        <v>1143</v>
      </c>
      <c r="F416" s="76" t="s">
        <v>1144</v>
      </c>
      <c r="G416" s="77" t="s">
        <v>1145</v>
      </c>
      <c r="H416" s="78" t="s">
        <v>1146</v>
      </c>
      <c r="I416" s="76" t="s">
        <v>1147</v>
      </c>
      <c r="J416" s="76" t="s">
        <v>1148</v>
      </c>
      <c r="K416" s="76">
        <v>821016</v>
      </c>
      <c r="L416" s="63" t="s">
        <v>1149</v>
      </c>
      <c r="M416" s="63" t="s">
        <v>58</v>
      </c>
      <c r="N416" s="63" t="s">
        <v>59</v>
      </c>
      <c r="O416" s="76" t="s">
        <v>1150</v>
      </c>
      <c r="P416" s="76" t="s">
        <v>732</v>
      </c>
      <c r="Q416" s="79">
        <v>20312500</v>
      </c>
      <c r="R416" s="63">
        <v>1</v>
      </c>
      <c r="S416" s="80">
        <f>81250000-81250000</f>
        <v>0</v>
      </c>
      <c r="T416" s="63"/>
      <c r="U416" s="63"/>
      <c r="V416" s="81"/>
      <c r="W416" s="82"/>
      <c r="X416" s="63"/>
      <c r="Y416" s="81"/>
      <c r="Z416" s="83"/>
      <c r="AA416" s="84"/>
      <c r="AB416" s="85"/>
      <c r="AC416" s="81"/>
      <c r="AD416" s="86"/>
      <c r="AE416" s="87">
        <f t="shared" si="51"/>
        <v>0</v>
      </c>
      <c r="AF416" s="85"/>
      <c r="AG416" s="81"/>
      <c r="AH416" s="86"/>
      <c r="AI416" s="63"/>
      <c r="AJ416" s="63"/>
      <c r="AK416" s="87">
        <f t="shared" si="52"/>
        <v>0</v>
      </c>
      <c r="AL416" s="86">
        <v>0</v>
      </c>
      <c r="AM416" s="86">
        <f t="shared" si="53"/>
        <v>0</v>
      </c>
      <c r="AN416" s="63" t="s">
        <v>1155</v>
      </c>
      <c r="AO416" s="86">
        <f t="shared" si="54"/>
        <v>0</v>
      </c>
      <c r="AP416" s="63"/>
      <c r="AQ416" s="63"/>
      <c r="AR416" s="63" t="s">
        <v>1157</v>
      </c>
      <c r="AS416" s="63"/>
      <c r="AT416" s="63"/>
      <c r="AU416" s="220"/>
      <c r="AV416" s="220"/>
      <c r="AW416" s="220"/>
    </row>
    <row r="417" spans="1:49" s="221" customFormat="1" ht="199.5" x14ac:dyDescent="0.25">
      <c r="A417" s="63">
        <v>3</v>
      </c>
      <c r="B417" s="63" t="str">
        <f t="shared" si="50"/>
        <v>3075-3</v>
      </c>
      <c r="C417" s="76" t="s">
        <v>1141</v>
      </c>
      <c r="D417" s="76" t="s">
        <v>1142</v>
      </c>
      <c r="E417" s="76" t="s">
        <v>1143</v>
      </c>
      <c r="F417" s="76" t="s">
        <v>1158</v>
      </c>
      <c r="G417" s="88" t="s">
        <v>1159</v>
      </c>
      <c r="H417" s="78" t="s">
        <v>1160</v>
      </c>
      <c r="I417" s="76" t="s">
        <v>1147</v>
      </c>
      <c r="J417" s="76" t="s">
        <v>1148</v>
      </c>
      <c r="K417" s="76">
        <v>801116</v>
      </c>
      <c r="L417" s="63" t="s">
        <v>1149</v>
      </c>
      <c r="M417" s="63" t="s">
        <v>58</v>
      </c>
      <c r="N417" s="63" t="s">
        <v>59</v>
      </c>
      <c r="O417" s="63" t="s">
        <v>1161</v>
      </c>
      <c r="P417" s="76" t="s">
        <v>1162</v>
      </c>
      <c r="Q417" s="79">
        <v>185714285.7142857</v>
      </c>
      <c r="R417" s="63">
        <v>1</v>
      </c>
      <c r="S417" s="80">
        <f>1300000000-3531200-27192000-27192000-24720000-27192000-9270000-19961400-14832000-24720000-19961400-19961400-20394000-19961400-24720000-24720000-19961400-21321000-24720000-21321000-21321000-30220200-24720000-24720000-20394000-27192000-24720000-24720000-24720000-24720000-24720000-27192000-21321000-30220200-14883500-(24720000*8)-(27192000*3)-20880000-7762767-4085667-7762767-4085667-4085667-4085667-4085667-8291500-14420000-16823333-4085667</f>
        <v>158773531</v>
      </c>
      <c r="T417" s="63"/>
      <c r="U417" s="63" t="s">
        <v>1163</v>
      </c>
      <c r="V417" s="81" t="s">
        <v>1164</v>
      </c>
      <c r="W417" s="82">
        <v>7</v>
      </c>
      <c r="X417" s="63"/>
      <c r="Y417" s="89"/>
      <c r="Z417" s="83"/>
      <c r="AA417" s="84"/>
      <c r="AB417" s="85"/>
      <c r="AC417" s="81"/>
      <c r="AD417" s="86"/>
      <c r="AE417" s="87">
        <f t="shared" si="51"/>
        <v>158773531</v>
      </c>
      <c r="AF417" s="85"/>
      <c r="AG417" s="81"/>
      <c r="AH417" s="86"/>
      <c r="AI417" s="63"/>
      <c r="AJ417" s="63"/>
      <c r="AK417" s="87">
        <f t="shared" si="52"/>
        <v>0</v>
      </c>
      <c r="AL417" s="86">
        <v>0</v>
      </c>
      <c r="AM417" s="86">
        <f t="shared" si="53"/>
        <v>0</v>
      </c>
      <c r="AN417" s="63" t="s">
        <v>1155</v>
      </c>
      <c r="AO417" s="86">
        <f t="shared" si="54"/>
        <v>158773531</v>
      </c>
      <c r="AP417" s="63"/>
      <c r="AQ417" s="63"/>
      <c r="AR417" s="63"/>
      <c r="AS417" s="63"/>
      <c r="AT417" s="63"/>
      <c r="AU417" s="220"/>
      <c r="AV417" s="220"/>
      <c r="AW417" s="220"/>
    </row>
    <row r="418" spans="1:49" s="221" customFormat="1" ht="156.75" x14ac:dyDescent="0.25">
      <c r="A418" s="63">
        <v>4</v>
      </c>
      <c r="B418" s="63" t="str">
        <f t="shared" si="50"/>
        <v>3075-4</v>
      </c>
      <c r="C418" s="76" t="s">
        <v>1141</v>
      </c>
      <c r="D418" s="76" t="s">
        <v>1142</v>
      </c>
      <c r="E418" s="76" t="s">
        <v>1165</v>
      </c>
      <c r="F418" s="76" t="s">
        <v>1166</v>
      </c>
      <c r="G418" s="77" t="s">
        <v>1167</v>
      </c>
      <c r="H418" s="78" t="s">
        <v>1168</v>
      </c>
      <c r="I418" s="76" t="s">
        <v>1147</v>
      </c>
      <c r="J418" s="76" t="s">
        <v>1148</v>
      </c>
      <c r="K418" s="76" t="s">
        <v>439</v>
      </c>
      <c r="L418" s="63" t="s">
        <v>1149</v>
      </c>
      <c r="M418" s="63" t="s">
        <v>58</v>
      </c>
      <c r="N418" s="63" t="s">
        <v>59</v>
      </c>
      <c r="O418" s="76" t="s">
        <v>1169</v>
      </c>
      <c r="P418" s="63" t="s">
        <v>1170</v>
      </c>
      <c r="Q418" s="79">
        <v>6017434.7999999998</v>
      </c>
      <c r="R418" s="63">
        <v>30</v>
      </c>
      <c r="S418" s="80">
        <f>180523044-4536000-95276430-7733250-7392000-22194000-12438274</f>
        <v>30953090</v>
      </c>
      <c r="T418" s="63" t="s">
        <v>1171</v>
      </c>
      <c r="U418" s="63" t="s">
        <v>1171</v>
      </c>
      <c r="V418" s="81" t="s">
        <v>1023</v>
      </c>
      <c r="W418" s="82" t="s">
        <v>439</v>
      </c>
      <c r="X418" s="90" t="s">
        <v>1172</v>
      </c>
      <c r="Y418" s="89">
        <v>43209</v>
      </c>
      <c r="Z418" s="83">
        <v>30953090</v>
      </c>
      <c r="AA418" s="84" t="s">
        <v>439</v>
      </c>
      <c r="AB418" s="85">
        <v>802</v>
      </c>
      <c r="AC418" s="81">
        <v>43210</v>
      </c>
      <c r="AD418" s="86">
        <v>30953090</v>
      </c>
      <c r="AE418" s="87">
        <f t="shared" si="51"/>
        <v>0</v>
      </c>
      <c r="AF418" s="85">
        <v>1864</v>
      </c>
      <c r="AG418" s="81">
        <v>43227</v>
      </c>
      <c r="AH418" s="86">
        <v>30953090</v>
      </c>
      <c r="AI418" s="63" t="s">
        <v>1173</v>
      </c>
      <c r="AJ418" s="63">
        <v>2007</v>
      </c>
      <c r="AK418" s="87">
        <f t="shared" si="52"/>
        <v>0</v>
      </c>
      <c r="AL418" s="86">
        <v>30953090</v>
      </c>
      <c r="AM418" s="86">
        <f t="shared" si="53"/>
        <v>0</v>
      </c>
      <c r="AN418" s="63" t="s">
        <v>1155</v>
      </c>
      <c r="AO418" s="86">
        <f t="shared" si="54"/>
        <v>0</v>
      </c>
      <c r="AP418" s="63"/>
      <c r="AQ418" s="81">
        <v>43209</v>
      </c>
      <c r="AR418" s="63" t="s">
        <v>1156</v>
      </c>
      <c r="AS418" s="81">
        <v>43209</v>
      </c>
      <c r="AT418" s="63"/>
      <c r="AU418" s="220"/>
      <c r="AV418" s="220"/>
      <c r="AW418" s="220"/>
    </row>
    <row r="419" spans="1:49" s="221" customFormat="1" ht="156.75" x14ac:dyDescent="0.25">
      <c r="A419" s="63">
        <v>5</v>
      </c>
      <c r="B419" s="63" t="str">
        <f t="shared" si="50"/>
        <v>3075-5</v>
      </c>
      <c r="C419" s="76" t="s">
        <v>1141</v>
      </c>
      <c r="D419" s="76" t="s">
        <v>1142</v>
      </c>
      <c r="E419" s="76" t="s">
        <v>1174</v>
      </c>
      <c r="F419" s="76" t="s">
        <v>1175</v>
      </c>
      <c r="G419" s="77" t="s">
        <v>1176</v>
      </c>
      <c r="H419" s="78" t="s">
        <v>1177</v>
      </c>
      <c r="I419" s="76" t="s">
        <v>1147</v>
      </c>
      <c r="J419" s="76" t="s">
        <v>1178</v>
      </c>
      <c r="K419" s="76" t="s">
        <v>439</v>
      </c>
      <c r="L419" s="63" t="s">
        <v>1149</v>
      </c>
      <c r="M419" s="63" t="s">
        <v>58</v>
      </c>
      <c r="N419" s="63" t="s">
        <v>59</v>
      </c>
      <c r="O419" s="76" t="s">
        <v>1169</v>
      </c>
      <c r="P419" s="76" t="s">
        <v>1179</v>
      </c>
      <c r="Q419" s="79">
        <v>4766856.1818181816</v>
      </c>
      <c r="R419" s="63">
        <v>11</v>
      </c>
      <c r="S419" s="80">
        <f>52435418-8741700-480610-4151008</f>
        <v>39062100</v>
      </c>
      <c r="T419" s="63" t="s">
        <v>1171</v>
      </c>
      <c r="U419" s="63" t="s">
        <v>1171</v>
      </c>
      <c r="V419" s="81" t="s">
        <v>411</v>
      </c>
      <c r="W419" s="82" t="s">
        <v>439</v>
      </c>
      <c r="X419" s="90" t="s">
        <v>1180</v>
      </c>
      <c r="Y419" s="89">
        <v>43180</v>
      </c>
      <c r="Z419" s="83">
        <v>39062100</v>
      </c>
      <c r="AA419" s="84" t="s">
        <v>439</v>
      </c>
      <c r="AB419" s="85">
        <v>760</v>
      </c>
      <c r="AC419" s="81">
        <v>43182</v>
      </c>
      <c r="AD419" s="86">
        <v>39062100</v>
      </c>
      <c r="AE419" s="87">
        <f t="shared" si="51"/>
        <v>0</v>
      </c>
      <c r="AF419" s="85">
        <v>1793</v>
      </c>
      <c r="AG419" s="81">
        <v>43203</v>
      </c>
      <c r="AH419" s="86">
        <v>39062100</v>
      </c>
      <c r="AI419" s="63" t="s">
        <v>1181</v>
      </c>
      <c r="AJ419" s="63">
        <v>1863</v>
      </c>
      <c r="AK419" s="87">
        <f t="shared" si="52"/>
        <v>0</v>
      </c>
      <c r="AL419" s="86">
        <v>39062100</v>
      </c>
      <c r="AM419" s="86">
        <f t="shared" si="53"/>
        <v>0</v>
      </c>
      <c r="AN419" s="63" t="s">
        <v>1155</v>
      </c>
      <c r="AO419" s="86">
        <f t="shared" si="54"/>
        <v>0</v>
      </c>
      <c r="AP419" s="63"/>
      <c r="AQ419" s="81">
        <v>43179</v>
      </c>
      <c r="AR419" s="63" t="s">
        <v>1156</v>
      </c>
      <c r="AS419" s="81">
        <v>43180</v>
      </c>
      <c r="AT419" s="63"/>
      <c r="AU419" s="220"/>
      <c r="AV419" s="220"/>
      <c r="AW419" s="220"/>
    </row>
    <row r="420" spans="1:49" s="221" customFormat="1" ht="156.75" x14ac:dyDescent="0.25">
      <c r="A420" s="63">
        <v>6</v>
      </c>
      <c r="B420" s="63" t="str">
        <f t="shared" si="50"/>
        <v>3075-6</v>
      </c>
      <c r="C420" s="76" t="s">
        <v>1141</v>
      </c>
      <c r="D420" s="76" t="s">
        <v>1142</v>
      </c>
      <c r="E420" s="76" t="s">
        <v>1174</v>
      </c>
      <c r="F420" s="76" t="s">
        <v>1175</v>
      </c>
      <c r="G420" s="77" t="s">
        <v>1176</v>
      </c>
      <c r="H420" s="78" t="s">
        <v>1177</v>
      </c>
      <c r="I420" s="76" t="s">
        <v>1147</v>
      </c>
      <c r="J420" s="76" t="s">
        <v>1182</v>
      </c>
      <c r="K420" s="76" t="s">
        <v>439</v>
      </c>
      <c r="L420" s="63" t="s">
        <v>1149</v>
      </c>
      <c r="M420" s="63" t="s">
        <v>58</v>
      </c>
      <c r="N420" s="63" t="s">
        <v>59</v>
      </c>
      <c r="O420" s="76" t="s">
        <v>1169</v>
      </c>
      <c r="P420" s="76" t="s">
        <v>1183</v>
      </c>
      <c r="Q420" s="79">
        <v>59747265.486725666</v>
      </c>
      <c r="R420" s="63">
        <v>113</v>
      </c>
      <c r="S420" s="80">
        <f>322658000-138036400-39062100-35479385-(39062100*2)+7106185</f>
        <v>39062100</v>
      </c>
      <c r="T420" s="63" t="s">
        <v>1171</v>
      </c>
      <c r="U420" s="63" t="s">
        <v>1171</v>
      </c>
      <c r="V420" s="81" t="s">
        <v>411</v>
      </c>
      <c r="W420" s="82" t="s">
        <v>439</v>
      </c>
      <c r="X420" s="63" t="s">
        <v>1184</v>
      </c>
      <c r="Y420" s="89">
        <v>43195</v>
      </c>
      <c r="Z420" s="83">
        <v>39062100</v>
      </c>
      <c r="AA420" s="84" t="s">
        <v>1185</v>
      </c>
      <c r="AB420" s="85">
        <v>773</v>
      </c>
      <c r="AC420" s="81">
        <v>43201</v>
      </c>
      <c r="AD420" s="86">
        <v>39062100</v>
      </c>
      <c r="AE420" s="87">
        <f t="shared" si="51"/>
        <v>0</v>
      </c>
      <c r="AF420" s="85">
        <v>1844</v>
      </c>
      <c r="AG420" s="81">
        <v>43216</v>
      </c>
      <c r="AH420" s="86">
        <v>39062100</v>
      </c>
      <c r="AI420" s="63" t="s">
        <v>1186</v>
      </c>
      <c r="AJ420" s="63">
        <v>1934</v>
      </c>
      <c r="AK420" s="87">
        <f t="shared" si="52"/>
        <v>0</v>
      </c>
      <c r="AL420" s="86">
        <v>0</v>
      </c>
      <c r="AM420" s="86">
        <f t="shared" si="53"/>
        <v>39062100</v>
      </c>
      <c r="AN420" s="63" t="s">
        <v>1155</v>
      </c>
      <c r="AO420" s="86">
        <f t="shared" si="54"/>
        <v>0</v>
      </c>
      <c r="AP420" s="63"/>
      <c r="AQ420" s="81">
        <v>43195</v>
      </c>
      <c r="AR420" s="63" t="s">
        <v>1156</v>
      </c>
      <c r="AS420" s="81">
        <v>43195</v>
      </c>
      <c r="AT420" s="63"/>
      <c r="AU420" s="220"/>
      <c r="AV420" s="220"/>
      <c r="AW420" s="220"/>
    </row>
    <row r="421" spans="1:49" s="221" customFormat="1" ht="228" x14ac:dyDescent="0.25">
      <c r="A421" s="63">
        <v>7</v>
      </c>
      <c r="B421" s="63" t="str">
        <f t="shared" si="50"/>
        <v>3075-7</v>
      </c>
      <c r="C421" s="76" t="s">
        <v>1141</v>
      </c>
      <c r="D421" s="76" t="s">
        <v>1142</v>
      </c>
      <c r="E421" s="76" t="s">
        <v>1174</v>
      </c>
      <c r="F421" s="76" t="s">
        <v>1175</v>
      </c>
      <c r="G421" s="77" t="s">
        <v>1176</v>
      </c>
      <c r="H421" s="78" t="s">
        <v>1177</v>
      </c>
      <c r="I421" s="76" t="s">
        <v>1147</v>
      </c>
      <c r="J421" s="76" t="s">
        <v>1148</v>
      </c>
      <c r="K421" s="76" t="s">
        <v>439</v>
      </c>
      <c r="L421" s="63" t="s">
        <v>1149</v>
      </c>
      <c r="M421" s="63" t="s">
        <v>58</v>
      </c>
      <c r="N421" s="63" t="s">
        <v>59</v>
      </c>
      <c r="O421" s="76" t="s">
        <v>1169</v>
      </c>
      <c r="P421" s="76" t="s">
        <v>1187</v>
      </c>
      <c r="Q421" s="79">
        <v>507680.3046357616</v>
      </c>
      <c r="R421" s="63">
        <v>151</v>
      </c>
      <c r="S421" s="80">
        <f>76659726+29475000-26169080-39062100-942246+25211940-25211940</f>
        <v>39961300</v>
      </c>
      <c r="T421" s="63" t="s">
        <v>1171</v>
      </c>
      <c r="U421" s="63" t="s">
        <v>1171</v>
      </c>
      <c r="V421" s="81" t="s">
        <v>844</v>
      </c>
      <c r="W421" s="82" t="s">
        <v>439</v>
      </c>
      <c r="X421" s="63" t="s">
        <v>1188</v>
      </c>
      <c r="Y421" s="81">
        <v>43273</v>
      </c>
      <c r="Z421" s="83">
        <v>39961300</v>
      </c>
      <c r="AA421" s="84" t="s">
        <v>439</v>
      </c>
      <c r="AB421" s="85">
        <v>911</v>
      </c>
      <c r="AC421" s="81">
        <v>43276</v>
      </c>
      <c r="AD421" s="86">
        <v>39961300</v>
      </c>
      <c r="AE421" s="87">
        <f t="shared" si="51"/>
        <v>0</v>
      </c>
      <c r="AF421" s="85">
        <v>2462</v>
      </c>
      <c r="AG421" s="81">
        <v>43292</v>
      </c>
      <c r="AH421" s="86">
        <v>39961300</v>
      </c>
      <c r="AI421" s="63" t="s">
        <v>1189</v>
      </c>
      <c r="AJ421" s="63">
        <v>2836</v>
      </c>
      <c r="AK421" s="87">
        <f t="shared" si="52"/>
        <v>0</v>
      </c>
      <c r="AL421" s="86">
        <v>0</v>
      </c>
      <c r="AM421" s="86">
        <f t="shared" si="53"/>
        <v>39961300</v>
      </c>
      <c r="AN421" s="63" t="s">
        <v>1155</v>
      </c>
      <c r="AO421" s="86">
        <f t="shared" si="54"/>
        <v>0</v>
      </c>
      <c r="AP421" s="63" t="s">
        <v>1190</v>
      </c>
      <c r="AQ421" s="81">
        <v>43272</v>
      </c>
      <c r="AR421" s="63" t="s">
        <v>1156</v>
      </c>
      <c r="AS421" s="81">
        <v>43273</v>
      </c>
      <c r="AT421" s="63" t="s">
        <v>1187</v>
      </c>
      <c r="AU421" s="220"/>
      <c r="AV421" s="220"/>
      <c r="AW421" s="220"/>
    </row>
    <row r="422" spans="1:49" s="221" customFormat="1" ht="228" x14ac:dyDescent="0.25">
      <c r="A422" s="63">
        <v>8</v>
      </c>
      <c r="B422" s="63" t="str">
        <f t="shared" si="50"/>
        <v>3075-8</v>
      </c>
      <c r="C422" s="76" t="s">
        <v>1141</v>
      </c>
      <c r="D422" s="76" t="s">
        <v>1142</v>
      </c>
      <c r="E422" s="76" t="s">
        <v>1174</v>
      </c>
      <c r="F422" s="76" t="s">
        <v>1175</v>
      </c>
      <c r="G422" s="77" t="s">
        <v>1176</v>
      </c>
      <c r="H422" s="78" t="s">
        <v>1177</v>
      </c>
      <c r="I422" s="76" t="s">
        <v>1191</v>
      </c>
      <c r="J422" s="76" t="s">
        <v>1192</v>
      </c>
      <c r="K422" s="76" t="s">
        <v>439</v>
      </c>
      <c r="L422" s="63" t="s">
        <v>1149</v>
      </c>
      <c r="M422" s="63" t="s">
        <v>58</v>
      </c>
      <c r="N422" s="63" t="s">
        <v>59</v>
      </c>
      <c r="O422" s="76" t="s">
        <v>1169</v>
      </c>
      <c r="P422" s="76" t="s">
        <v>1193</v>
      </c>
      <c r="Q422" s="79">
        <v>39062100</v>
      </c>
      <c r="R422" s="63">
        <v>1</v>
      </c>
      <c r="S422" s="80">
        <f>161329000-39062100-39062100-(39062100*2)+33981500</f>
        <v>39062100</v>
      </c>
      <c r="T422" s="63" t="s">
        <v>1171</v>
      </c>
      <c r="U422" s="63" t="s">
        <v>1171</v>
      </c>
      <c r="V422" s="81" t="s">
        <v>844</v>
      </c>
      <c r="W422" s="82" t="s">
        <v>439</v>
      </c>
      <c r="X422" s="90" t="s">
        <v>1194</v>
      </c>
      <c r="Y422" s="81">
        <v>43265</v>
      </c>
      <c r="Z422" s="83">
        <v>39062100</v>
      </c>
      <c r="AA422" s="84" t="s">
        <v>1195</v>
      </c>
      <c r="AB422" s="85">
        <v>899</v>
      </c>
      <c r="AC422" s="81">
        <v>43269</v>
      </c>
      <c r="AD422" s="86">
        <v>39062100</v>
      </c>
      <c r="AE422" s="87">
        <f t="shared" si="51"/>
        <v>0</v>
      </c>
      <c r="AF422" s="85">
        <v>2415</v>
      </c>
      <c r="AG422" s="81">
        <v>43284</v>
      </c>
      <c r="AH422" s="86">
        <v>39062100</v>
      </c>
      <c r="AI422" s="63" t="s">
        <v>1196</v>
      </c>
      <c r="AJ422" s="63">
        <v>2820</v>
      </c>
      <c r="AK422" s="87">
        <f t="shared" si="52"/>
        <v>0</v>
      </c>
      <c r="AL422" s="86">
        <v>39062100</v>
      </c>
      <c r="AM422" s="86">
        <f t="shared" si="53"/>
        <v>0</v>
      </c>
      <c r="AN422" s="63" t="s">
        <v>1155</v>
      </c>
      <c r="AO422" s="86">
        <f t="shared" si="54"/>
        <v>0</v>
      </c>
      <c r="AP422" s="63"/>
      <c r="AQ422" s="81">
        <v>43264</v>
      </c>
      <c r="AR422" s="63" t="s">
        <v>1156</v>
      </c>
      <c r="AS422" s="81">
        <v>43265</v>
      </c>
      <c r="AT422" s="63" t="s">
        <v>1193</v>
      </c>
      <c r="AU422" s="220"/>
      <c r="AV422" s="220"/>
      <c r="AW422" s="220"/>
    </row>
    <row r="423" spans="1:49" s="221" customFormat="1" ht="171" x14ac:dyDescent="0.25">
      <c r="A423" s="63">
        <v>9</v>
      </c>
      <c r="B423" s="63" t="str">
        <f t="shared" si="50"/>
        <v>3075-9</v>
      </c>
      <c r="C423" s="76" t="s">
        <v>1141</v>
      </c>
      <c r="D423" s="76" t="s">
        <v>1142</v>
      </c>
      <c r="E423" s="76" t="s">
        <v>1197</v>
      </c>
      <c r="F423" s="76" t="s">
        <v>1175</v>
      </c>
      <c r="G423" s="77" t="s">
        <v>1176</v>
      </c>
      <c r="H423" s="78" t="s">
        <v>1198</v>
      </c>
      <c r="I423" s="76" t="s">
        <v>1147</v>
      </c>
      <c r="J423" s="76" t="s">
        <v>1148</v>
      </c>
      <c r="K423" s="76" t="s">
        <v>439</v>
      </c>
      <c r="L423" s="63" t="s">
        <v>1149</v>
      </c>
      <c r="M423" s="63" t="s">
        <v>58</v>
      </c>
      <c r="N423" s="63" t="s">
        <v>59</v>
      </c>
      <c r="O423" s="76" t="s">
        <v>1199</v>
      </c>
      <c r="P423" s="76" t="s">
        <v>1200</v>
      </c>
      <c r="Q423" s="79">
        <v>500055.84642233857</v>
      </c>
      <c r="R423" s="63">
        <v>1146</v>
      </c>
      <c r="S423" s="80">
        <v>3433736127</v>
      </c>
      <c r="T423" s="63" t="s">
        <v>1171</v>
      </c>
      <c r="U423" s="63" t="s">
        <v>1171</v>
      </c>
      <c r="V423" s="81" t="s">
        <v>493</v>
      </c>
      <c r="W423" s="82" t="s">
        <v>439</v>
      </c>
      <c r="X423" s="91" t="s">
        <v>1201</v>
      </c>
      <c r="Y423" s="81">
        <v>43109</v>
      </c>
      <c r="Z423" s="83">
        <v>3433736127</v>
      </c>
      <c r="AA423" s="84" t="s">
        <v>439</v>
      </c>
      <c r="AB423" s="85">
        <v>395</v>
      </c>
      <c r="AC423" s="81">
        <v>43110</v>
      </c>
      <c r="AD423" s="86">
        <v>3433736127</v>
      </c>
      <c r="AE423" s="87">
        <f t="shared" si="51"/>
        <v>0</v>
      </c>
      <c r="AF423" s="85" t="s">
        <v>1202</v>
      </c>
      <c r="AG423" s="81" t="s">
        <v>1202</v>
      </c>
      <c r="AH423" s="86">
        <v>3212551058</v>
      </c>
      <c r="AI423" s="63" t="s">
        <v>1202</v>
      </c>
      <c r="AJ423" s="63" t="s">
        <v>1202</v>
      </c>
      <c r="AK423" s="87">
        <f t="shared" si="52"/>
        <v>221185069</v>
      </c>
      <c r="AL423" s="86">
        <v>2474833790</v>
      </c>
      <c r="AM423" s="86">
        <f t="shared" si="53"/>
        <v>737717268</v>
      </c>
      <c r="AN423" s="63" t="s">
        <v>1155</v>
      </c>
      <c r="AO423" s="86">
        <f t="shared" si="54"/>
        <v>221185069</v>
      </c>
      <c r="AP423" s="63"/>
      <c r="AQ423" s="63"/>
      <c r="AR423" s="63"/>
      <c r="AS423" s="63"/>
      <c r="AT423" s="63"/>
      <c r="AU423" s="220"/>
      <c r="AV423" s="220"/>
      <c r="AW423" s="220"/>
    </row>
    <row r="424" spans="1:49" s="221" customFormat="1" ht="327.75" x14ac:dyDescent="0.25">
      <c r="A424" s="63">
        <v>10</v>
      </c>
      <c r="B424" s="63" t="str">
        <f t="shared" si="50"/>
        <v>3075-10</v>
      </c>
      <c r="C424" s="76" t="s">
        <v>1141</v>
      </c>
      <c r="D424" s="76" t="s">
        <v>1142</v>
      </c>
      <c r="E424" s="76" t="s">
        <v>1143</v>
      </c>
      <c r="F424" s="76" t="s">
        <v>1203</v>
      </c>
      <c r="G424" s="88" t="s">
        <v>1204</v>
      </c>
      <c r="H424" s="92" t="s">
        <v>1205</v>
      </c>
      <c r="I424" s="76" t="s">
        <v>1147</v>
      </c>
      <c r="J424" s="76" t="s">
        <v>1148</v>
      </c>
      <c r="K424" s="93" t="s">
        <v>439</v>
      </c>
      <c r="L424" s="63" t="s">
        <v>1149</v>
      </c>
      <c r="M424" s="63" t="s">
        <v>58</v>
      </c>
      <c r="N424" s="63" t="s">
        <v>59</v>
      </c>
      <c r="O424" s="76" t="s">
        <v>1199</v>
      </c>
      <c r="P424" s="76" t="s">
        <v>1206</v>
      </c>
      <c r="Q424" s="83">
        <v>59220487</v>
      </c>
      <c r="R424" s="63">
        <v>1</v>
      </c>
      <c r="S424" s="80">
        <f>10000000+49220487</f>
        <v>59220487</v>
      </c>
      <c r="T424" s="63" t="s">
        <v>1207</v>
      </c>
      <c r="U424" s="63" t="s">
        <v>1163</v>
      </c>
      <c r="V424" s="81" t="s">
        <v>1208</v>
      </c>
      <c r="W424" s="82">
        <v>6</v>
      </c>
      <c r="X424" s="63" t="s">
        <v>1209</v>
      </c>
      <c r="Y424" s="89">
        <v>43270</v>
      </c>
      <c r="Z424" s="83">
        <v>59220487</v>
      </c>
      <c r="AA424" s="84" t="s">
        <v>1210</v>
      </c>
      <c r="AB424" s="85">
        <v>907</v>
      </c>
      <c r="AC424" s="81">
        <v>43271</v>
      </c>
      <c r="AD424" s="86">
        <v>59220487</v>
      </c>
      <c r="AE424" s="87">
        <f t="shared" si="51"/>
        <v>0</v>
      </c>
      <c r="AF424" s="85">
        <v>2404</v>
      </c>
      <c r="AG424" s="81">
        <v>43280</v>
      </c>
      <c r="AH424" s="86">
        <v>59220487</v>
      </c>
      <c r="AI424" s="63" t="s">
        <v>1211</v>
      </c>
      <c r="AJ424" s="63">
        <v>436</v>
      </c>
      <c r="AK424" s="87">
        <f t="shared" si="52"/>
        <v>0</v>
      </c>
      <c r="AL424" s="86">
        <v>0</v>
      </c>
      <c r="AM424" s="86">
        <f t="shared" si="53"/>
        <v>59220487</v>
      </c>
      <c r="AN424" s="63" t="s">
        <v>1155</v>
      </c>
      <c r="AO424" s="86">
        <f t="shared" si="54"/>
        <v>0</v>
      </c>
      <c r="AP424" s="63" t="s">
        <v>1212</v>
      </c>
      <c r="AQ424" s="81">
        <v>43270</v>
      </c>
      <c r="AR424" s="63" t="s">
        <v>1156</v>
      </c>
      <c r="AS424" s="81">
        <v>43270</v>
      </c>
      <c r="AT424" s="76" t="s">
        <v>1206</v>
      </c>
      <c r="AU424" s="220"/>
      <c r="AV424" s="220"/>
      <c r="AW424" s="220"/>
    </row>
    <row r="425" spans="1:49" s="221" customFormat="1" ht="270.75" x14ac:dyDescent="0.25">
      <c r="A425" s="63">
        <v>11</v>
      </c>
      <c r="B425" s="63" t="str">
        <f t="shared" si="50"/>
        <v>3075-11</v>
      </c>
      <c r="C425" s="76" t="s">
        <v>1141</v>
      </c>
      <c r="D425" s="76" t="s">
        <v>1142</v>
      </c>
      <c r="E425" s="76" t="s">
        <v>1143</v>
      </c>
      <c r="F425" s="76" t="s">
        <v>1158</v>
      </c>
      <c r="G425" s="77" t="s">
        <v>1159</v>
      </c>
      <c r="H425" s="78" t="s">
        <v>1160</v>
      </c>
      <c r="I425" s="76" t="s">
        <v>1147</v>
      </c>
      <c r="J425" s="76" t="s">
        <v>1148</v>
      </c>
      <c r="K425" s="76">
        <v>801116</v>
      </c>
      <c r="L425" s="63" t="s">
        <v>1149</v>
      </c>
      <c r="M425" s="63" t="s">
        <v>58</v>
      </c>
      <c r="N425" s="63" t="s">
        <v>59</v>
      </c>
      <c r="O425" s="76" t="s">
        <v>1213</v>
      </c>
      <c r="P425" s="76" t="s">
        <v>1214</v>
      </c>
      <c r="Q425" s="83">
        <v>216666666.66666666</v>
      </c>
      <c r="R425" s="63">
        <v>1</v>
      </c>
      <c r="S425" s="80">
        <f>2600000000-15106667-18467900-12198633-19261000-19261000-19261000-5665000-12198633-30213333-18467900-12360000-11252750-6286184</f>
        <v>2400000000</v>
      </c>
      <c r="T425" s="63" t="s">
        <v>1215</v>
      </c>
      <c r="U425" s="63" t="s">
        <v>1163</v>
      </c>
      <c r="V425" s="81" t="s">
        <v>1216</v>
      </c>
      <c r="W425" s="82">
        <v>12</v>
      </c>
      <c r="X425" s="63" t="s">
        <v>1217</v>
      </c>
      <c r="Y425" s="81">
        <v>43111</v>
      </c>
      <c r="Z425" s="83">
        <f>2600000000-15106667-18467900-12198633-19261000-19261000-19261000-5665000-12198633-30213333-18467900-12360000-11252750</f>
        <v>2406286184</v>
      </c>
      <c r="AA425" s="84" t="s">
        <v>439</v>
      </c>
      <c r="AB425" s="85">
        <v>483</v>
      </c>
      <c r="AC425" s="81">
        <v>43112</v>
      </c>
      <c r="AD425" s="86">
        <v>2400000000</v>
      </c>
      <c r="AE425" s="87">
        <f t="shared" si="51"/>
        <v>-6286184</v>
      </c>
      <c r="AF425" s="85" t="s">
        <v>1202</v>
      </c>
      <c r="AG425" s="81" t="s">
        <v>1202</v>
      </c>
      <c r="AH425" s="86">
        <v>1451837006</v>
      </c>
      <c r="AI425" s="86" t="s">
        <v>1202</v>
      </c>
      <c r="AJ425" s="86" t="s">
        <v>1202</v>
      </c>
      <c r="AK425" s="87">
        <f t="shared" si="52"/>
        <v>948162994</v>
      </c>
      <c r="AL425" s="86">
        <v>1451837006</v>
      </c>
      <c r="AM425" s="86">
        <f t="shared" si="53"/>
        <v>0</v>
      </c>
      <c r="AN425" s="63" t="s">
        <v>1155</v>
      </c>
      <c r="AO425" s="86">
        <f t="shared" si="54"/>
        <v>948162994</v>
      </c>
      <c r="AP425" s="63" t="s">
        <v>1218</v>
      </c>
      <c r="AQ425" s="63"/>
      <c r="AR425" s="63"/>
      <c r="AS425" s="63"/>
      <c r="AT425" s="63"/>
      <c r="AU425" s="220"/>
      <c r="AV425" s="220"/>
      <c r="AW425" s="220"/>
    </row>
    <row r="426" spans="1:49" s="221" customFormat="1" ht="242.25" x14ac:dyDescent="0.25">
      <c r="A426" s="63">
        <v>12</v>
      </c>
      <c r="B426" s="63" t="str">
        <f t="shared" si="50"/>
        <v>3075-12</v>
      </c>
      <c r="C426" s="76" t="s">
        <v>1141</v>
      </c>
      <c r="D426" s="76" t="s">
        <v>1142</v>
      </c>
      <c r="E426" s="76" t="s">
        <v>1143</v>
      </c>
      <c r="F426" s="76" t="s">
        <v>1158</v>
      </c>
      <c r="G426" s="77" t="s">
        <v>1159</v>
      </c>
      <c r="H426" s="78" t="s">
        <v>1160</v>
      </c>
      <c r="I426" s="76" t="s">
        <v>1147</v>
      </c>
      <c r="J426" s="76" t="s">
        <v>1148</v>
      </c>
      <c r="K426" s="76">
        <v>801116</v>
      </c>
      <c r="L426" s="63" t="s">
        <v>1149</v>
      </c>
      <c r="M426" s="63" t="s">
        <v>58</v>
      </c>
      <c r="N426" s="63" t="s">
        <v>59</v>
      </c>
      <c r="O426" s="76" t="s">
        <v>1213</v>
      </c>
      <c r="P426" s="94" t="s">
        <v>1219</v>
      </c>
      <c r="Q426" s="83">
        <v>1545000</v>
      </c>
      <c r="R426" s="63">
        <v>3</v>
      </c>
      <c r="S426" s="80">
        <v>16995000</v>
      </c>
      <c r="T426" s="63" t="s">
        <v>928</v>
      </c>
      <c r="U426" s="63" t="s">
        <v>1163</v>
      </c>
      <c r="V426" s="81" t="s">
        <v>64</v>
      </c>
      <c r="W426" s="82">
        <v>9.3330000000000002</v>
      </c>
      <c r="X426" s="63" t="s">
        <v>1220</v>
      </c>
      <c r="Y426" s="81">
        <v>43102</v>
      </c>
      <c r="Z426" s="83">
        <v>16995000</v>
      </c>
      <c r="AA426" s="84" t="s">
        <v>439</v>
      </c>
      <c r="AB426" s="85">
        <v>391</v>
      </c>
      <c r="AC426" s="81">
        <v>43110</v>
      </c>
      <c r="AD426" s="86">
        <v>16995000</v>
      </c>
      <c r="AE426" s="87">
        <f t="shared" si="51"/>
        <v>0</v>
      </c>
      <c r="AF426" s="85">
        <v>145</v>
      </c>
      <c r="AG426" s="81">
        <v>43117</v>
      </c>
      <c r="AH426" s="86">
        <v>16995000</v>
      </c>
      <c r="AI426" s="63" t="s">
        <v>1221</v>
      </c>
      <c r="AJ426" s="63">
        <v>153</v>
      </c>
      <c r="AK426" s="87">
        <f t="shared" si="52"/>
        <v>0</v>
      </c>
      <c r="AL426" s="86">
        <v>11484500</v>
      </c>
      <c r="AM426" s="86">
        <f t="shared" si="53"/>
        <v>5510500</v>
      </c>
      <c r="AN426" s="63" t="s">
        <v>1155</v>
      </c>
      <c r="AO426" s="86">
        <f t="shared" si="54"/>
        <v>0</v>
      </c>
      <c r="AP426" s="63"/>
      <c r="AQ426" s="63"/>
      <c r="AR426" s="63"/>
      <c r="AS426" s="63"/>
      <c r="AT426" s="63"/>
      <c r="AU426" s="220"/>
      <c r="AV426" s="220"/>
      <c r="AW426" s="220"/>
    </row>
    <row r="427" spans="1:49" s="221" customFormat="1" ht="299.25" x14ac:dyDescent="0.25">
      <c r="A427" s="63">
        <v>13</v>
      </c>
      <c r="B427" s="63" t="str">
        <f t="shared" si="50"/>
        <v>3075-13</v>
      </c>
      <c r="C427" s="76" t="s">
        <v>1141</v>
      </c>
      <c r="D427" s="76" t="s">
        <v>1142</v>
      </c>
      <c r="E427" s="76" t="s">
        <v>1143</v>
      </c>
      <c r="F427" s="76" t="s">
        <v>1158</v>
      </c>
      <c r="G427" s="77" t="s">
        <v>1159</v>
      </c>
      <c r="H427" s="78" t="s">
        <v>1160</v>
      </c>
      <c r="I427" s="76" t="s">
        <v>1147</v>
      </c>
      <c r="J427" s="76" t="s">
        <v>1148</v>
      </c>
      <c r="K427" s="76">
        <v>801116</v>
      </c>
      <c r="L427" s="63" t="s">
        <v>1149</v>
      </c>
      <c r="M427" s="63" t="s">
        <v>58</v>
      </c>
      <c r="N427" s="63" t="s">
        <v>59</v>
      </c>
      <c r="O427" s="76" t="s">
        <v>1213</v>
      </c>
      <c r="P427" s="76" t="s">
        <v>1222</v>
      </c>
      <c r="Q427" s="83">
        <v>10300000</v>
      </c>
      <c r="R427" s="63">
        <v>1</v>
      </c>
      <c r="S427" s="80">
        <f>115301139-2001139</f>
        <v>113300000</v>
      </c>
      <c r="T427" s="63" t="s">
        <v>888</v>
      </c>
      <c r="U427" s="63" t="s">
        <v>1163</v>
      </c>
      <c r="V427" s="81" t="s">
        <v>64</v>
      </c>
      <c r="W427" s="82">
        <v>11</v>
      </c>
      <c r="X427" s="63" t="s">
        <v>1223</v>
      </c>
      <c r="Y427" s="81">
        <v>43103</v>
      </c>
      <c r="Z427" s="83">
        <v>113300000</v>
      </c>
      <c r="AA427" s="84" t="s">
        <v>439</v>
      </c>
      <c r="AB427" s="85">
        <v>317</v>
      </c>
      <c r="AC427" s="81">
        <v>43110</v>
      </c>
      <c r="AD427" s="86">
        <v>113300000</v>
      </c>
      <c r="AE427" s="87">
        <f t="shared" si="51"/>
        <v>0</v>
      </c>
      <c r="AF427" s="85">
        <v>25</v>
      </c>
      <c r="AG427" s="81">
        <v>43115</v>
      </c>
      <c r="AH427" s="86">
        <v>113300000</v>
      </c>
      <c r="AI427" s="63" t="s">
        <v>1224</v>
      </c>
      <c r="AJ427" s="63">
        <v>22</v>
      </c>
      <c r="AK427" s="87">
        <f t="shared" si="52"/>
        <v>0</v>
      </c>
      <c r="AL427" s="86">
        <v>77593333</v>
      </c>
      <c r="AM427" s="86">
        <f t="shared" si="53"/>
        <v>35706667</v>
      </c>
      <c r="AN427" s="63" t="s">
        <v>1155</v>
      </c>
      <c r="AO427" s="86">
        <f t="shared" si="54"/>
        <v>0</v>
      </c>
      <c r="AP427" s="63"/>
      <c r="AQ427" s="63"/>
      <c r="AR427" s="63"/>
      <c r="AS427" s="63"/>
      <c r="AT427" s="63"/>
      <c r="AU427" s="220"/>
      <c r="AV427" s="220"/>
      <c r="AW427" s="220"/>
    </row>
    <row r="428" spans="1:49" s="221" customFormat="1" ht="299.25" x14ac:dyDescent="0.25">
      <c r="A428" s="63">
        <v>14</v>
      </c>
      <c r="B428" s="63" t="str">
        <f t="shared" si="50"/>
        <v>3075-14</v>
      </c>
      <c r="C428" s="76" t="s">
        <v>1141</v>
      </c>
      <c r="D428" s="76" t="s">
        <v>1142</v>
      </c>
      <c r="E428" s="76" t="s">
        <v>1143</v>
      </c>
      <c r="F428" s="76" t="s">
        <v>1158</v>
      </c>
      <c r="G428" s="77" t="s">
        <v>1159</v>
      </c>
      <c r="H428" s="78" t="s">
        <v>1160</v>
      </c>
      <c r="I428" s="76" t="s">
        <v>1147</v>
      </c>
      <c r="J428" s="76" t="s">
        <v>1148</v>
      </c>
      <c r="K428" s="76">
        <v>801116</v>
      </c>
      <c r="L428" s="63" t="s">
        <v>1149</v>
      </c>
      <c r="M428" s="63" t="s">
        <v>58</v>
      </c>
      <c r="N428" s="63" t="s">
        <v>59</v>
      </c>
      <c r="O428" s="76" t="s">
        <v>1213</v>
      </c>
      <c r="P428" s="76" t="s">
        <v>1225</v>
      </c>
      <c r="Q428" s="83">
        <v>10300000</v>
      </c>
      <c r="R428" s="63">
        <v>1</v>
      </c>
      <c r="S428" s="80">
        <v>118450000</v>
      </c>
      <c r="T428" s="63" t="s">
        <v>888</v>
      </c>
      <c r="U428" s="63" t="s">
        <v>1163</v>
      </c>
      <c r="V428" s="81" t="s">
        <v>64</v>
      </c>
      <c r="W428" s="82">
        <v>11.5</v>
      </c>
      <c r="X428" s="63" t="s">
        <v>1226</v>
      </c>
      <c r="Y428" s="81">
        <v>43103</v>
      </c>
      <c r="Z428" s="83">
        <v>118450000</v>
      </c>
      <c r="AA428" s="84" t="s">
        <v>439</v>
      </c>
      <c r="AB428" s="85">
        <v>362</v>
      </c>
      <c r="AC428" s="81">
        <v>43110</v>
      </c>
      <c r="AD428" s="86">
        <v>118450000</v>
      </c>
      <c r="AE428" s="87">
        <f t="shared" si="51"/>
        <v>0</v>
      </c>
      <c r="AF428" s="85">
        <v>420</v>
      </c>
      <c r="AG428" s="81">
        <v>43124</v>
      </c>
      <c r="AH428" s="86">
        <v>118450000</v>
      </c>
      <c r="AI428" s="63" t="s">
        <v>1227</v>
      </c>
      <c r="AJ428" s="63">
        <v>365</v>
      </c>
      <c r="AK428" s="87">
        <f t="shared" si="52"/>
        <v>0</v>
      </c>
      <c r="AL428" s="86">
        <v>74160000</v>
      </c>
      <c r="AM428" s="86">
        <f t="shared" si="53"/>
        <v>44290000</v>
      </c>
      <c r="AN428" s="63" t="s">
        <v>1155</v>
      </c>
      <c r="AO428" s="86">
        <f t="shared" si="54"/>
        <v>0</v>
      </c>
      <c r="AP428" s="63"/>
      <c r="AQ428" s="63"/>
      <c r="AR428" s="63"/>
      <c r="AS428" s="63"/>
      <c r="AT428" s="63"/>
      <c r="AU428" s="220"/>
      <c r="AV428" s="220"/>
      <c r="AW428" s="220"/>
    </row>
    <row r="429" spans="1:49" s="221" customFormat="1" ht="285" x14ac:dyDescent="0.25">
      <c r="A429" s="63">
        <v>15</v>
      </c>
      <c r="B429" s="63" t="str">
        <f t="shared" si="50"/>
        <v>3075-15</v>
      </c>
      <c r="C429" s="76" t="s">
        <v>1141</v>
      </c>
      <c r="D429" s="76" t="s">
        <v>1142</v>
      </c>
      <c r="E429" s="76" t="s">
        <v>1143</v>
      </c>
      <c r="F429" s="76" t="s">
        <v>1158</v>
      </c>
      <c r="G429" s="77" t="s">
        <v>1159</v>
      </c>
      <c r="H429" s="78" t="s">
        <v>1160</v>
      </c>
      <c r="I429" s="76" t="s">
        <v>1147</v>
      </c>
      <c r="J429" s="76" t="s">
        <v>1148</v>
      </c>
      <c r="K429" s="76">
        <v>801116</v>
      </c>
      <c r="L429" s="63" t="s">
        <v>1149</v>
      </c>
      <c r="M429" s="63" t="s">
        <v>58</v>
      </c>
      <c r="N429" s="63" t="s">
        <v>59</v>
      </c>
      <c r="O429" s="76" t="s">
        <v>1213</v>
      </c>
      <c r="P429" s="76" t="s">
        <v>1228</v>
      </c>
      <c r="Q429" s="83">
        <v>5036700</v>
      </c>
      <c r="R429" s="63">
        <v>1</v>
      </c>
      <c r="S429" s="80">
        <v>55403700</v>
      </c>
      <c r="T429" s="63" t="s">
        <v>888</v>
      </c>
      <c r="U429" s="63" t="s">
        <v>1163</v>
      </c>
      <c r="V429" s="81" t="s">
        <v>64</v>
      </c>
      <c r="W429" s="82">
        <v>11</v>
      </c>
      <c r="X429" s="63" t="s">
        <v>1229</v>
      </c>
      <c r="Y429" s="81">
        <v>43103</v>
      </c>
      <c r="Z429" s="83">
        <v>55403700</v>
      </c>
      <c r="AA429" s="84" t="s">
        <v>439</v>
      </c>
      <c r="AB429" s="85">
        <v>322</v>
      </c>
      <c r="AC429" s="81">
        <v>43110</v>
      </c>
      <c r="AD429" s="86">
        <v>55403700</v>
      </c>
      <c r="AE429" s="87">
        <f t="shared" si="51"/>
        <v>0</v>
      </c>
      <c r="AF429" s="85">
        <v>351</v>
      </c>
      <c r="AG429" s="81">
        <v>43123</v>
      </c>
      <c r="AH429" s="86">
        <v>55403700</v>
      </c>
      <c r="AI429" s="63" t="s">
        <v>1230</v>
      </c>
      <c r="AJ429" s="63">
        <v>297</v>
      </c>
      <c r="AK429" s="87">
        <f t="shared" si="52"/>
        <v>0</v>
      </c>
      <c r="AL429" s="86">
        <v>34753230</v>
      </c>
      <c r="AM429" s="86">
        <f t="shared" si="53"/>
        <v>20650470</v>
      </c>
      <c r="AN429" s="63" t="s">
        <v>1155</v>
      </c>
      <c r="AO429" s="86">
        <f t="shared" si="54"/>
        <v>0</v>
      </c>
      <c r="AP429" s="63"/>
      <c r="AQ429" s="63"/>
      <c r="AR429" s="63"/>
      <c r="AS429" s="63"/>
      <c r="AT429" s="63"/>
      <c r="AU429" s="220"/>
      <c r="AV429" s="220"/>
      <c r="AW429" s="220"/>
    </row>
    <row r="430" spans="1:49" s="221" customFormat="1" ht="285" x14ac:dyDescent="0.25">
      <c r="A430" s="63">
        <v>16</v>
      </c>
      <c r="B430" s="63" t="str">
        <f t="shared" si="50"/>
        <v>3075-16</v>
      </c>
      <c r="C430" s="76" t="s">
        <v>1141</v>
      </c>
      <c r="D430" s="76" t="s">
        <v>1142</v>
      </c>
      <c r="E430" s="76" t="s">
        <v>1143</v>
      </c>
      <c r="F430" s="76" t="s">
        <v>1158</v>
      </c>
      <c r="G430" s="77" t="s">
        <v>1159</v>
      </c>
      <c r="H430" s="78" t="s">
        <v>1160</v>
      </c>
      <c r="I430" s="76" t="s">
        <v>1147</v>
      </c>
      <c r="J430" s="76" t="s">
        <v>1148</v>
      </c>
      <c r="K430" s="76">
        <v>801116</v>
      </c>
      <c r="L430" s="63" t="s">
        <v>1149</v>
      </c>
      <c r="M430" s="63" t="s">
        <v>58</v>
      </c>
      <c r="N430" s="63" t="s">
        <v>59</v>
      </c>
      <c r="O430" s="76" t="s">
        <v>1213</v>
      </c>
      <c r="P430" s="76" t="s">
        <v>1231</v>
      </c>
      <c r="Q430" s="83">
        <v>7210000</v>
      </c>
      <c r="R430" s="63">
        <v>1</v>
      </c>
      <c r="S430" s="80">
        <f>79310000-11371200-16903860-11139606</f>
        <v>39895334</v>
      </c>
      <c r="T430" s="63" t="s">
        <v>888</v>
      </c>
      <c r="U430" s="63" t="s">
        <v>1163</v>
      </c>
      <c r="V430" s="81" t="s">
        <v>64</v>
      </c>
      <c r="W430" s="82">
        <v>11</v>
      </c>
      <c r="X430" s="63" t="s">
        <v>1232</v>
      </c>
      <c r="Y430" s="81">
        <v>43103</v>
      </c>
      <c r="Z430" s="83">
        <f>79310000-39414666</f>
        <v>39895334</v>
      </c>
      <c r="AA430" s="84" t="s">
        <v>439</v>
      </c>
      <c r="AB430" s="85">
        <v>336</v>
      </c>
      <c r="AC430" s="81">
        <v>43110</v>
      </c>
      <c r="AD430" s="86">
        <v>39895334</v>
      </c>
      <c r="AE430" s="87">
        <f>AD430-Z430</f>
        <v>0</v>
      </c>
      <c r="AF430" s="85">
        <v>356</v>
      </c>
      <c r="AG430" s="81">
        <v>43123</v>
      </c>
      <c r="AH430" s="86">
        <v>39895334</v>
      </c>
      <c r="AI430" s="63" t="s">
        <v>1233</v>
      </c>
      <c r="AJ430" s="63">
        <v>354</v>
      </c>
      <c r="AK430" s="87">
        <f t="shared" si="52"/>
        <v>0</v>
      </c>
      <c r="AL430" s="86">
        <v>39895334</v>
      </c>
      <c r="AM430" s="86">
        <f t="shared" si="53"/>
        <v>0</v>
      </c>
      <c r="AN430" s="63" t="s">
        <v>1155</v>
      </c>
      <c r="AO430" s="86">
        <f t="shared" si="54"/>
        <v>0</v>
      </c>
      <c r="AP430" s="63"/>
      <c r="AQ430" s="63"/>
      <c r="AR430" s="63"/>
      <c r="AS430" s="63"/>
      <c r="AT430" s="63"/>
      <c r="AU430" s="220"/>
      <c r="AV430" s="220"/>
      <c r="AW430" s="220"/>
    </row>
    <row r="431" spans="1:49" s="221" customFormat="1" ht="342" x14ac:dyDescent="0.25">
      <c r="A431" s="63">
        <v>17</v>
      </c>
      <c r="B431" s="63" t="str">
        <f t="shared" si="50"/>
        <v>3075-17</v>
      </c>
      <c r="C431" s="76" t="s">
        <v>1141</v>
      </c>
      <c r="D431" s="76" t="s">
        <v>1142</v>
      </c>
      <c r="E431" s="76" t="s">
        <v>1143</v>
      </c>
      <c r="F431" s="76" t="s">
        <v>1158</v>
      </c>
      <c r="G431" s="77" t="s">
        <v>1159</v>
      </c>
      <c r="H431" s="78" t="s">
        <v>1160</v>
      </c>
      <c r="I431" s="76" t="s">
        <v>1147</v>
      </c>
      <c r="J431" s="76" t="s">
        <v>1148</v>
      </c>
      <c r="K431" s="76">
        <v>801116</v>
      </c>
      <c r="L431" s="63" t="s">
        <v>1149</v>
      </c>
      <c r="M431" s="63" t="s">
        <v>58</v>
      </c>
      <c r="N431" s="63" t="s">
        <v>59</v>
      </c>
      <c r="O431" s="76" t="s">
        <v>1213</v>
      </c>
      <c r="P431" s="76" t="s">
        <v>1234</v>
      </c>
      <c r="Q431" s="83">
        <v>10300000</v>
      </c>
      <c r="R431" s="63">
        <v>1</v>
      </c>
      <c r="S431" s="80">
        <v>113300000</v>
      </c>
      <c r="T431" s="63" t="s">
        <v>888</v>
      </c>
      <c r="U431" s="63" t="s">
        <v>1163</v>
      </c>
      <c r="V431" s="81" t="s">
        <v>64</v>
      </c>
      <c r="W431" s="82">
        <v>11</v>
      </c>
      <c r="X431" s="63" t="s">
        <v>1235</v>
      </c>
      <c r="Y431" s="81">
        <v>43103</v>
      </c>
      <c r="Z431" s="83">
        <v>113300000</v>
      </c>
      <c r="AA431" s="84" t="s">
        <v>1236</v>
      </c>
      <c r="AB431" s="85">
        <v>321</v>
      </c>
      <c r="AC431" s="81">
        <v>43110</v>
      </c>
      <c r="AD431" s="86">
        <v>113300000</v>
      </c>
      <c r="AE431" s="87">
        <f t="shared" ref="AE431:AE494" si="55">S431-Z431</f>
        <v>0</v>
      </c>
      <c r="AF431" s="85">
        <v>158</v>
      </c>
      <c r="AG431" s="81">
        <v>43118</v>
      </c>
      <c r="AH431" s="86">
        <v>113300000</v>
      </c>
      <c r="AI431" s="63" t="s">
        <v>1237</v>
      </c>
      <c r="AJ431" s="63">
        <v>109</v>
      </c>
      <c r="AK431" s="87">
        <f t="shared" si="52"/>
        <v>0</v>
      </c>
      <c r="AL431" s="86">
        <v>76563333</v>
      </c>
      <c r="AM431" s="86">
        <f t="shared" si="53"/>
        <v>36736667</v>
      </c>
      <c r="AN431" s="63" t="s">
        <v>1155</v>
      </c>
      <c r="AO431" s="86">
        <f t="shared" si="54"/>
        <v>0</v>
      </c>
      <c r="AP431" s="63"/>
      <c r="AQ431" s="63"/>
      <c r="AR431" s="63"/>
      <c r="AS431" s="63"/>
      <c r="AT431" s="63"/>
      <c r="AU431" s="220"/>
      <c r="AV431" s="220"/>
      <c r="AW431" s="220"/>
    </row>
    <row r="432" spans="1:49" s="221" customFormat="1" ht="199.5" x14ac:dyDescent="0.25">
      <c r="A432" s="63">
        <v>18</v>
      </c>
      <c r="B432" s="63" t="str">
        <f t="shared" si="50"/>
        <v>3075-18</v>
      </c>
      <c r="C432" s="76" t="s">
        <v>1141</v>
      </c>
      <c r="D432" s="76" t="s">
        <v>1142</v>
      </c>
      <c r="E432" s="76" t="s">
        <v>1143</v>
      </c>
      <c r="F432" s="76" t="s">
        <v>1158</v>
      </c>
      <c r="G432" s="77" t="s">
        <v>1159</v>
      </c>
      <c r="H432" s="78" t="s">
        <v>1160</v>
      </c>
      <c r="I432" s="76" t="s">
        <v>1147</v>
      </c>
      <c r="J432" s="76" t="s">
        <v>1148</v>
      </c>
      <c r="K432" s="76">
        <v>801116</v>
      </c>
      <c r="L432" s="63" t="s">
        <v>1149</v>
      </c>
      <c r="M432" s="63" t="s">
        <v>58</v>
      </c>
      <c r="N432" s="63" t="s">
        <v>59</v>
      </c>
      <c r="O432" s="76" t="s">
        <v>1213</v>
      </c>
      <c r="P432" s="76" t="s">
        <v>1238</v>
      </c>
      <c r="Q432" s="83">
        <v>3399000</v>
      </c>
      <c r="R432" s="63">
        <v>1</v>
      </c>
      <c r="S432" s="80">
        <v>20394000</v>
      </c>
      <c r="T432" s="63" t="s">
        <v>888</v>
      </c>
      <c r="U432" s="63" t="s">
        <v>1163</v>
      </c>
      <c r="V432" s="81" t="s">
        <v>64</v>
      </c>
      <c r="W432" s="82">
        <v>6</v>
      </c>
      <c r="X432" s="63" t="s">
        <v>1239</v>
      </c>
      <c r="Y432" s="81">
        <v>43102</v>
      </c>
      <c r="Z432" s="83">
        <v>20394000</v>
      </c>
      <c r="AA432" s="84" t="s">
        <v>439</v>
      </c>
      <c r="AB432" s="85">
        <v>230</v>
      </c>
      <c r="AC432" s="81">
        <v>43105</v>
      </c>
      <c r="AD432" s="86">
        <v>20394000</v>
      </c>
      <c r="AE432" s="87">
        <f t="shared" si="55"/>
        <v>0</v>
      </c>
      <c r="AF432" s="85">
        <v>345</v>
      </c>
      <c r="AG432" s="81">
        <v>43123</v>
      </c>
      <c r="AH432" s="86">
        <v>20394000</v>
      </c>
      <c r="AI432" s="63" t="s">
        <v>1240</v>
      </c>
      <c r="AJ432" s="63">
        <v>348</v>
      </c>
      <c r="AK432" s="87">
        <f t="shared" si="52"/>
        <v>0</v>
      </c>
      <c r="AL432" s="86">
        <v>20394000</v>
      </c>
      <c r="AM432" s="86">
        <f t="shared" si="53"/>
        <v>0</v>
      </c>
      <c r="AN432" s="63" t="s">
        <v>1155</v>
      </c>
      <c r="AO432" s="86">
        <f t="shared" si="54"/>
        <v>0</v>
      </c>
      <c r="AP432" s="63"/>
      <c r="AQ432" s="63"/>
      <c r="AR432" s="63"/>
      <c r="AS432" s="63"/>
      <c r="AT432" s="63"/>
      <c r="AU432" s="220"/>
      <c r="AV432" s="220"/>
      <c r="AW432" s="220"/>
    </row>
    <row r="433" spans="1:49" s="221" customFormat="1" ht="242.25" x14ac:dyDescent="0.25">
      <c r="A433" s="63">
        <v>19</v>
      </c>
      <c r="B433" s="63" t="str">
        <f t="shared" si="50"/>
        <v>3075-19</v>
      </c>
      <c r="C433" s="76" t="s">
        <v>1141</v>
      </c>
      <c r="D433" s="76" t="s">
        <v>1142</v>
      </c>
      <c r="E433" s="76" t="s">
        <v>1143</v>
      </c>
      <c r="F433" s="76" t="s">
        <v>1158</v>
      </c>
      <c r="G433" s="77" t="s">
        <v>1159</v>
      </c>
      <c r="H433" s="78" t="s">
        <v>1160</v>
      </c>
      <c r="I433" s="76" t="s">
        <v>1147</v>
      </c>
      <c r="J433" s="76" t="s">
        <v>1148</v>
      </c>
      <c r="K433" s="76">
        <v>801116</v>
      </c>
      <c r="L433" s="63" t="s">
        <v>1149</v>
      </c>
      <c r="M433" s="63" t="s">
        <v>58</v>
      </c>
      <c r="N433" s="63" t="s">
        <v>59</v>
      </c>
      <c r="O433" s="76" t="s">
        <v>1213</v>
      </c>
      <c r="P433" s="94" t="s">
        <v>1241</v>
      </c>
      <c r="Q433" s="83">
        <v>3399000</v>
      </c>
      <c r="R433" s="63">
        <v>1</v>
      </c>
      <c r="S433" s="80">
        <v>30591000</v>
      </c>
      <c r="T433" s="63" t="s">
        <v>888</v>
      </c>
      <c r="U433" s="63" t="s">
        <v>1163</v>
      </c>
      <c r="V433" s="81" t="s">
        <v>64</v>
      </c>
      <c r="W433" s="82">
        <v>9</v>
      </c>
      <c r="X433" s="63" t="s">
        <v>1242</v>
      </c>
      <c r="Y433" s="81">
        <v>43102</v>
      </c>
      <c r="Z433" s="83">
        <v>30591000</v>
      </c>
      <c r="AA433" s="84" t="s">
        <v>439</v>
      </c>
      <c r="AB433" s="85">
        <v>385</v>
      </c>
      <c r="AC433" s="81">
        <v>43110</v>
      </c>
      <c r="AD433" s="86">
        <v>30591000</v>
      </c>
      <c r="AE433" s="87">
        <f t="shared" si="55"/>
        <v>0</v>
      </c>
      <c r="AF433" s="85">
        <v>239</v>
      </c>
      <c r="AG433" s="81">
        <v>43119</v>
      </c>
      <c r="AH433" s="86">
        <v>30591000</v>
      </c>
      <c r="AI433" s="63" t="s">
        <v>1243</v>
      </c>
      <c r="AJ433" s="63">
        <v>222</v>
      </c>
      <c r="AK433" s="87">
        <f t="shared" si="52"/>
        <v>0</v>
      </c>
      <c r="AL433" s="86">
        <v>25152600</v>
      </c>
      <c r="AM433" s="86">
        <f t="shared" si="53"/>
        <v>5438400</v>
      </c>
      <c r="AN433" s="63" t="s">
        <v>1155</v>
      </c>
      <c r="AO433" s="86">
        <f t="shared" si="54"/>
        <v>0</v>
      </c>
      <c r="AP433" s="63"/>
      <c r="AQ433" s="63"/>
      <c r="AR433" s="63"/>
      <c r="AS433" s="63"/>
      <c r="AT433" s="63"/>
      <c r="AU433" s="220"/>
      <c r="AV433" s="220"/>
      <c r="AW433" s="220"/>
    </row>
    <row r="434" spans="1:49" s="221" customFormat="1" ht="313.5" x14ac:dyDescent="0.25">
      <c r="A434" s="63">
        <v>20</v>
      </c>
      <c r="B434" s="63" t="str">
        <f t="shared" si="50"/>
        <v>3075-20</v>
      </c>
      <c r="C434" s="76" t="s">
        <v>1141</v>
      </c>
      <c r="D434" s="76" t="s">
        <v>1142</v>
      </c>
      <c r="E434" s="76" t="s">
        <v>1143</v>
      </c>
      <c r="F434" s="76" t="s">
        <v>1158</v>
      </c>
      <c r="G434" s="77" t="s">
        <v>1159</v>
      </c>
      <c r="H434" s="78" t="s">
        <v>1160</v>
      </c>
      <c r="I434" s="76" t="s">
        <v>1147</v>
      </c>
      <c r="J434" s="76" t="s">
        <v>1148</v>
      </c>
      <c r="K434" s="76">
        <v>801116</v>
      </c>
      <c r="L434" s="63" t="s">
        <v>1149</v>
      </c>
      <c r="M434" s="63" t="s">
        <v>58</v>
      </c>
      <c r="N434" s="63" t="s">
        <v>59</v>
      </c>
      <c r="O434" s="76" t="s">
        <v>1213</v>
      </c>
      <c r="P434" s="76" t="s">
        <v>1244</v>
      </c>
      <c r="Q434" s="83">
        <v>3399000</v>
      </c>
      <c r="R434" s="63">
        <v>1</v>
      </c>
      <c r="S434" s="80">
        <v>37389000</v>
      </c>
      <c r="T434" s="63" t="s">
        <v>888</v>
      </c>
      <c r="U434" s="63" t="s">
        <v>1163</v>
      </c>
      <c r="V434" s="81" t="s">
        <v>64</v>
      </c>
      <c r="W434" s="82">
        <v>11</v>
      </c>
      <c r="X434" s="63" t="s">
        <v>1245</v>
      </c>
      <c r="Y434" s="81">
        <v>43102</v>
      </c>
      <c r="Z434" s="83">
        <v>37389000</v>
      </c>
      <c r="AA434" s="84" t="s">
        <v>439</v>
      </c>
      <c r="AB434" s="85">
        <v>151</v>
      </c>
      <c r="AC434" s="81">
        <v>43105</v>
      </c>
      <c r="AD434" s="86">
        <v>37389000</v>
      </c>
      <c r="AE434" s="87">
        <f t="shared" si="55"/>
        <v>0</v>
      </c>
      <c r="AF434" s="85">
        <v>2</v>
      </c>
      <c r="AG434" s="81">
        <v>43111</v>
      </c>
      <c r="AH434" s="86">
        <v>37389000</v>
      </c>
      <c r="AI434" s="63" t="s">
        <v>1246</v>
      </c>
      <c r="AJ434" s="63">
        <v>2</v>
      </c>
      <c r="AK434" s="87">
        <f t="shared" si="52"/>
        <v>0</v>
      </c>
      <c r="AL434" s="86">
        <v>26059000</v>
      </c>
      <c r="AM434" s="86">
        <f t="shared" si="53"/>
        <v>11330000</v>
      </c>
      <c r="AN434" s="63" t="s">
        <v>1155</v>
      </c>
      <c r="AO434" s="86">
        <f t="shared" si="54"/>
        <v>0</v>
      </c>
      <c r="AP434" s="63"/>
      <c r="AQ434" s="63"/>
      <c r="AR434" s="63"/>
      <c r="AS434" s="63"/>
      <c r="AT434" s="63"/>
      <c r="AU434" s="220"/>
      <c r="AV434" s="220"/>
      <c r="AW434" s="220"/>
    </row>
    <row r="435" spans="1:49" s="221" customFormat="1" ht="299.25" x14ac:dyDescent="0.25">
      <c r="A435" s="63">
        <v>21</v>
      </c>
      <c r="B435" s="63" t="str">
        <f t="shared" si="50"/>
        <v>3075-21</v>
      </c>
      <c r="C435" s="76" t="s">
        <v>1141</v>
      </c>
      <c r="D435" s="76" t="s">
        <v>1142</v>
      </c>
      <c r="E435" s="76" t="s">
        <v>1143</v>
      </c>
      <c r="F435" s="76" t="s">
        <v>1158</v>
      </c>
      <c r="G435" s="77" t="s">
        <v>1159</v>
      </c>
      <c r="H435" s="78" t="s">
        <v>1160</v>
      </c>
      <c r="I435" s="76" t="s">
        <v>1147</v>
      </c>
      <c r="J435" s="76" t="s">
        <v>1148</v>
      </c>
      <c r="K435" s="76">
        <v>801116</v>
      </c>
      <c r="L435" s="63" t="s">
        <v>1149</v>
      </c>
      <c r="M435" s="63" t="s">
        <v>58</v>
      </c>
      <c r="N435" s="63" t="s">
        <v>59</v>
      </c>
      <c r="O435" s="76" t="s">
        <v>1213</v>
      </c>
      <c r="P435" s="76" t="s">
        <v>1247</v>
      </c>
      <c r="Q435" s="83">
        <v>3326900</v>
      </c>
      <c r="R435" s="63">
        <v>1</v>
      </c>
      <c r="S435" s="80">
        <v>33269000</v>
      </c>
      <c r="T435" s="63" t="s">
        <v>928</v>
      </c>
      <c r="U435" s="63" t="s">
        <v>1163</v>
      </c>
      <c r="V435" s="81" t="s">
        <v>64</v>
      </c>
      <c r="W435" s="82">
        <v>10</v>
      </c>
      <c r="X435" s="63" t="s">
        <v>1248</v>
      </c>
      <c r="Y435" s="81">
        <v>43102</v>
      </c>
      <c r="Z435" s="83">
        <v>33269000</v>
      </c>
      <c r="AA435" s="84" t="s">
        <v>439</v>
      </c>
      <c r="AB435" s="85">
        <v>211</v>
      </c>
      <c r="AC435" s="81">
        <v>43105</v>
      </c>
      <c r="AD435" s="86">
        <v>33269000</v>
      </c>
      <c r="AE435" s="87">
        <f t="shared" si="55"/>
        <v>0</v>
      </c>
      <c r="AF435" s="85">
        <v>201</v>
      </c>
      <c r="AG435" s="81">
        <v>43118</v>
      </c>
      <c r="AH435" s="86">
        <v>33269000</v>
      </c>
      <c r="AI435" s="63" t="s">
        <v>1249</v>
      </c>
      <c r="AJ435" s="63">
        <v>190</v>
      </c>
      <c r="AK435" s="87">
        <f t="shared" si="52"/>
        <v>0</v>
      </c>
      <c r="AL435" s="86">
        <v>24619060</v>
      </c>
      <c r="AM435" s="86">
        <f t="shared" si="53"/>
        <v>8649940</v>
      </c>
      <c r="AN435" s="63" t="s">
        <v>1155</v>
      </c>
      <c r="AO435" s="86">
        <f t="shared" si="54"/>
        <v>0</v>
      </c>
      <c r="AP435" s="63"/>
      <c r="AQ435" s="63"/>
      <c r="AR435" s="63"/>
      <c r="AS435" s="63"/>
      <c r="AT435" s="63"/>
      <c r="AU435" s="220"/>
      <c r="AV435" s="220"/>
      <c r="AW435" s="220"/>
    </row>
    <row r="436" spans="1:49" s="221" customFormat="1" ht="199.5" x14ac:dyDescent="0.25">
      <c r="A436" s="63">
        <v>22</v>
      </c>
      <c r="B436" s="63" t="str">
        <f t="shared" si="50"/>
        <v>3075-22</v>
      </c>
      <c r="C436" s="76" t="s">
        <v>1141</v>
      </c>
      <c r="D436" s="76" t="s">
        <v>1142</v>
      </c>
      <c r="E436" s="76" t="s">
        <v>1143</v>
      </c>
      <c r="F436" s="76" t="s">
        <v>1158</v>
      </c>
      <c r="G436" s="77" t="s">
        <v>1159</v>
      </c>
      <c r="H436" s="78" t="s">
        <v>1160</v>
      </c>
      <c r="I436" s="76" t="s">
        <v>1147</v>
      </c>
      <c r="J436" s="76" t="s">
        <v>1148</v>
      </c>
      <c r="K436" s="76">
        <v>801116</v>
      </c>
      <c r="L436" s="63" t="s">
        <v>1149</v>
      </c>
      <c r="M436" s="63" t="s">
        <v>58</v>
      </c>
      <c r="N436" s="63" t="s">
        <v>59</v>
      </c>
      <c r="O436" s="76" t="s">
        <v>1213</v>
      </c>
      <c r="P436" s="76" t="s">
        <v>1250</v>
      </c>
      <c r="Q436" s="83">
        <v>3326900</v>
      </c>
      <c r="R436" s="63">
        <v>1</v>
      </c>
      <c r="S436" s="80">
        <v>36595900</v>
      </c>
      <c r="T436" s="63" t="s">
        <v>928</v>
      </c>
      <c r="U436" s="63" t="s">
        <v>1163</v>
      </c>
      <c r="V436" s="81" t="s">
        <v>64</v>
      </c>
      <c r="W436" s="82">
        <v>11</v>
      </c>
      <c r="X436" s="63" t="s">
        <v>1251</v>
      </c>
      <c r="Y436" s="81">
        <v>43102</v>
      </c>
      <c r="Z436" s="83">
        <v>36595900</v>
      </c>
      <c r="AA436" s="84" t="s">
        <v>439</v>
      </c>
      <c r="AB436" s="85">
        <v>202</v>
      </c>
      <c r="AC436" s="81">
        <v>43105</v>
      </c>
      <c r="AD436" s="86">
        <v>36595900</v>
      </c>
      <c r="AE436" s="87">
        <f t="shared" si="55"/>
        <v>0</v>
      </c>
      <c r="AF436" s="85">
        <v>198</v>
      </c>
      <c r="AG436" s="81">
        <v>43118</v>
      </c>
      <c r="AH436" s="86">
        <v>36595900</v>
      </c>
      <c r="AI436" s="63" t="s">
        <v>1252</v>
      </c>
      <c r="AJ436" s="63">
        <v>180</v>
      </c>
      <c r="AK436" s="87">
        <f t="shared" si="52"/>
        <v>0</v>
      </c>
      <c r="AL436" s="86">
        <v>24619060</v>
      </c>
      <c r="AM436" s="86">
        <f t="shared" si="53"/>
        <v>11976840</v>
      </c>
      <c r="AN436" s="63" t="s">
        <v>1155</v>
      </c>
      <c r="AO436" s="86">
        <f t="shared" si="54"/>
        <v>0</v>
      </c>
      <c r="AP436" s="63"/>
      <c r="AQ436" s="63"/>
      <c r="AR436" s="63"/>
      <c r="AS436" s="63"/>
      <c r="AT436" s="63"/>
      <c r="AU436" s="220"/>
      <c r="AV436" s="220"/>
      <c r="AW436" s="220"/>
    </row>
    <row r="437" spans="1:49" s="221" customFormat="1" ht="285" x14ac:dyDescent="0.25">
      <c r="A437" s="63">
        <v>23</v>
      </c>
      <c r="B437" s="63" t="str">
        <f t="shared" si="50"/>
        <v>3075-23</v>
      </c>
      <c r="C437" s="76" t="s">
        <v>1141</v>
      </c>
      <c r="D437" s="76" t="s">
        <v>1142</v>
      </c>
      <c r="E437" s="76" t="s">
        <v>1143</v>
      </c>
      <c r="F437" s="76" t="s">
        <v>1158</v>
      </c>
      <c r="G437" s="77" t="s">
        <v>1159</v>
      </c>
      <c r="H437" s="78" t="s">
        <v>1160</v>
      </c>
      <c r="I437" s="76" t="s">
        <v>1147</v>
      </c>
      <c r="J437" s="76" t="s">
        <v>1148</v>
      </c>
      <c r="K437" s="76">
        <v>801116</v>
      </c>
      <c r="L437" s="63" t="s">
        <v>1149</v>
      </c>
      <c r="M437" s="63" t="s">
        <v>58</v>
      </c>
      <c r="N437" s="63" t="s">
        <v>59</v>
      </c>
      <c r="O437" s="76" t="s">
        <v>1213</v>
      </c>
      <c r="P437" s="76" t="s">
        <v>1253</v>
      </c>
      <c r="Q437" s="83">
        <v>3399000</v>
      </c>
      <c r="R437" s="63">
        <v>1</v>
      </c>
      <c r="S437" s="80">
        <v>30591000</v>
      </c>
      <c r="T437" s="63" t="s">
        <v>888</v>
      </c>
      <c r="U437" s="63" t="s">
        <v>1163</v>
      </c>
      <c r="V437" s="81" t="s">
        <v>64</v>
      </c>
      <c r="W437" s="82">
        <v>9</v>
      </c>
      <c r="X437" s="63" t="s">
        <v>1254</v>
      </c>
      <c r="Y437" s="81">
        <v>43102</v>
      </c>
      <c r="Z437" s="83">
        <v>30591000</v>
      </c>
      <c r="AA437" s="84" t="s">
        <v>439</v>
      </c>
      <c r="AB437" s="85">
        <v>354</v>
      </c>
      <c r="AC437" s="81">
        <v>43110</v>
      </c>
      <c r="AD437" s="86">
        <v>30591000</v>
      </c>
      <c r="AE437" s="87">
        <f t="shared" si="55"/>
        <v>0</v>
      </c>
      <c r="AF437" s="85">
        <v>128</v>
      </c>
      <c r="AG437" s="81">
        <v>43117</v>
      </c>
      <c r="AH437" s="86">
        <v>30591000</v>
      </c>
      <c r="AI437" s="63" t="s">
        <v>1255</v>
      </c>
      <c r="AJ437" s="63">
        <v>111</v>
      </c>
      <c r="AK437" s="87">
        <f t="shared" si="52"/>
        <v>0</v>
      </c>
      <c r="AL437" s="86">
        <v>25265900</v>
      </c>
      <c r="AM437" s="86">
        <f t="shared" si="53"/>
        <v>5325100</v>
      </c>
      <c r="AN437" s="63" t="s">
        <v>1155</v>
      </c>
      <c r="AO437" s="86">
        <f t="shared" si="54"/>
        <v>0</v>
      </c>
      <c r="AP437" s="63"/>
      <c r="AQ437" s="63"/>
      <c r="AR437" s="63"/>
      <c r="AS437" s="63"/>
      <c r="AT437" s="63"/>
      <c r="AU437" s="220"/>
      <c r="AV437" s="220"/>
      <c r="AW437" s="220"/>
    </row>
    <row r="438" spans="1:49" s="221" customFormat="1" ht="242.25" x14ac:dyDescent="0.25">
      <c r="A438" s="63">
        <v>24</v>
      </c>
      <c r="B438" s="63" t="str">
        <f t="shared" si="50"/>
        <v>3075-24</v>
      </c>
      <c r="C438" s="76" t="s">
        <v>1141</v>
      </c>
      <c r="D438" s="76" t="s">
        <v>1142</v>
      </c>
      <c r="E438" s="76" t="s">
        <v>1143</v>
      </c>
      <c r="F438" s="76" t="s">
        <v>1158</v>
      </c>
      <c r="G438" s="77" t="s">
        <v>1159</v>
      </c>
      <c r="H438" s="78" t="s">
        <v>1160</v>
      </c>
      <c r="I438" s="76" t="s">
        <v>1147</v>
      </c>
      <c r="J438" s="76" t="s">
        <v>1148</v>
      </c>
      <c r="K438" s="76">
        <v>801116</v>
      </c>
      <c r="L438" s="63" t="s">
        <v>1149</v>
      </c>
      <c r="M438" s="63" t="s">
        <v>58</v>
      </c>
      <c r="N438" s="63" t="s">
        <v>59</v>
      </c>
      <c r="O438" s="76" t="s">
        <v>1213</v>
      </c>
      <c r="P438" s="76" t="s">
        <v>1256</v>
      </c>
      <c r="Q438" s="83">
        <v>8240000</v>
      </c>
      <c r="R438" s="63">
        <v>1</v>
      </c>
      <c r="S438" s="80">
        <v>82400000</v>
      </c>
      <c r="T438" s="63" t="s">
        <v>888</v>
      </c>
      <c r="U438" s="63" t="s">
        <v>1163</v>
      </c>
      <c r="V438" s="81" t="s">
        <v>64</v>
      </c>
      <c r="W438" s="82">
        <v>10</v>
      </c>
      <c r="X438" s="63" t="s">
        <v>1257</v>
      </c>
      <c r="Y438" s="81">
        <v>43103</v>
      </c>
      <c r="Z438" s="83">
        <v>82400000</v>
      </c>
      <c r="AA438" s="84" t="s">
        <v>439</v>
      </c>
      <c r="AB438" s="85">
        <v>239</v>
      </c>
      <c r="AC438" s="81">
        <v>43105</v>
      </c>
      <c r="AD438" s="86">
        <v>82400000</v>
      </c>
      <c r="AE438" s="87">
        <f t="shared" si="55"/>
        <v>0</v>
      </c>
      <c r="AF438" s="85">
        <v>461</v>
      </c>
      <c r="AG438" s="81">
        <v>43126</v>
      </c>
      <c r="AH438" s="86">
        <v>82400000</v>
      </c>
      <c r="AI438" s="63" t="s">
        <v>1258</v>
      </c>
      <c r="AJ438" s="63">
        <v>388</v>
      </c>
      <c r="AK438" s="87">
        <f t="shared" si="52"/>
        <v>0</v>
      </c>
      <c r="AL438" s="86">
        <v>59053333</v>
      </c>
      <c r="AM438" s="86">
        <f t="shared" si="53"/>
        <v>23346667</v>
      </c>
      <c r="AN438" s="63" t="s">
        <v>1155</v>
      </c>
      <c r="AO438" s="86">
        <f t="shared" si="54"/>
        <v>0</v>
      </c>
      <c r="AP438" s="63"/>
      <c r="AQ438" s="63"/>
      <c r="AR438" s="63"/>
      <c r="AS438" s="63"/>
      <c r="AT438" s="63"/>
      <c r="AU438" s="220"/>
      <c r="AV438" s="220"/>
      <c r="AW438" s="220"/>
    </row>
    <row r="439" spans="1:49" s="221" customFormat="1" ht="213.75" x14ac:dyDescent="0.25">
      <c r="A439" s="63">
        <v>25</v>
      </c>
      <c r="B439" s="63" t="str">
        <f t="shared" si="50"/>
        <v>3075-25</v>
      </c>
      <c r="C439" s="76" t="s">
        <v>1141</v>
      </c>
      <c r="D439" s="76" t="s">
        <v>1142</v>
      </c>
      <c r="E439" s="76" t="s">
        <v>1143</v>
      </c>
      <c r="F439" s="76" t="s">
        <v>1158</v>
      </c>
      <c r="G439" s="77" t="s">
        <v>1159</v>
      </c>
      <c r="H439" s="78" t="s">
        <v>1160</v>
      </c>
      <c r="I439" s="76" t="s">
        <v>1147</v>
      </c>
      <c r="J439" s="76" t="s">
        <v>1148</v>
      </c>
      <c r="K439" s="76">
        <v>801116</v>
      </c>
      <c r="L439" s="63" t="s">
        <v>1149</v>
      </c>
      <c r="M439" s="63" t="s">
        <v>58</v>
      </c>
      <c r="N439" s="63" t="s">
        <v>59</v>
      </c>
      <c r="O439" s="76" t="s">
        <v>1213</v>
      </c>
      <c r="P439" s="76" t="s">
        <v>1259</v>
      </c>
      <c r="Q439" s="83">
        <v>8240000</v>
      </c>
      <c r="R439" s="63">
        <v>3</v>
      </c>
      <c r="S439" s="80">
        <v>0</v>
      </c>
      <c r="T439" s="63"/>
      <c r="U439" s="63"/>
      <c r="V439" s="81"/>
      <c r="W439" s="82"/>
      <c r="X439" s="63"/>
      <c r="Y439" s="81"/>
      <c r="Z439" s="83"/>
      <c r="AA439" s="84"/>
      <c r="AB439" s="85"/>
      <c r="AC439" s="81"/>
      <c r="AD439" s="86"/>
      <c r="AE439" s="87">
        <f t="shared" si="55"/>
        <v>0</v>
      </c>
      <c r="AF439" s="85"/>
      <c r="AG439" s="81"/>
      <c r="AH439" s="86"/>
      <c r="AI439" s="63"/>
      <c r="AJ439" s="63"/>
      <c r="AK439" s="87">
        <f t="shared" si="52"/>
        <v>0</v>
      </c>
      <c r="AL439" s="86"/>
      <c r="AM439" s="86">
        <f t="shared" si="53"/>
        <v>0</v>
      </c>
      <c r="AN439" s="63" t="s">
        <v>1155</v>
      </c>
      <c r="AO439" s="86">
        <f t="shared" si="54"/>
        <v>0</v>
      </c>
      <c r="AP439" s="63"/>
      <c r="AQ439" s="63"/>
      <c r="AR439" s="63" t="s">
        <v>1157</v>
      </c>
      <c r="AS439" s="63"/>
      <c r="AT439" s="63"/>
      <c r="AU439" s="220"/>
      <c r="AV439" s="220"/>
      <c r="AW439" s="220"/>
    </row>
    <row r="440" spans="1:49" s="221" customFormat="1" ht="199.5" x14ac:dyDescent="0.25">
      <c r="A440" s="63">
        <v>26</v>
      </c>
      <c r="B440" s="63" t="str">
        <f t="shared" si="50"/>
        <v>3075-26</v>
      </c>
      <c r="C440" s="76" t="s">
        <v>1141</v>
      </c>
      <c r="D440" s="76" t="s">
        <v>1142</v>
      </c>
      <c r="E440" s="76" t="s">
        <v>1143</v>
      </c>
      <c r="F440" s="76" t="s">
        <v>1158</v>
      </c>
      <c r="G440" s="77" t="s">
        <v>1159</v>
      </c>
      <c r="H440" s="78" t="s">
        <v>1160</v>
      </c>
      <c r="I440" s="76" t="s">
        <v>1147</v>
      </c>
      <c r="J440" s="76" t="s">
        <v>1148</v>
      </c>
      <c r="K440" s="76">
        <v>801116</v>
      </c>
      <c r="L440" s="63" t="s">
        <v>1149</v>
      </c>
      <c r="M440" s="63" t="s">
        <v>58</v>
      </c>
      <c r="N440" s="63" t="s">
        <v>59</v>
      </c>
      <c r="O440" s="76" t="s">
        <v>1213</v>
      </c>
      <c r="P440" s="76" t="s">
        <v>1260</v>
      </c>
      <c r="Q440" s="83">
        <v>4120000</v>
      </c>
      <c r="R440" s="63">
        <v>4</v>
      </c>
      <c r="S440" s="80">
        <v>0</v>
      </c>
      <c r="T440" s="63"/>
      <c r="U440" s="63"/>
      <c r="V440" s="81"/>
      <c r="W440" s="82"/>
      <c r="X440" s="63"/>
      <c r="Y440" s="81"/>
      <c r="Z440" s="83"/>
      <c r="AA440" s="84"/>
      <c r="AB440" s="85"/>
      <c r="AC440" s="81"/>
      <c r="AD440" s="86"/>
      <c r="AE440" s="87">
        <f t="shared" si="55"/>
        <v>0</v>
      </c>
      <c r="AF440" s="85"/>
      <c r="AG440" s="81"/>
      <c r="AH440" s="86"/>
      <c r="AI440" s="63"/>
      <c r="AJ440" s="63"/>
      <c r="AK440" s="87">
        <f t="shared" si="52"/>
        <v>0</v>
      </c>
      <c r="AL440" s="86"/>
      <c r="AM440" s="86">
        <f t="shared" si="53"/>
        <v>0</v>
      </c>
      <c r="AN440" s="63" t="s">
        <v>1155</v>
      </c>
      <c r="AO440" s="86">
        <f t="shared" si="54"/>
        <v>0</v>
      </c>
      <c r="AP440" s="63"/>
      <c r="AQ440" s="63"/>
      <c r="AR440" s="63" t="s">
        <v>1157</v>
      </c>
      <c r="AS440" s="63"/>
      <c r="AT440" s="63"/>
      <c r="AU440" s="220"/>
      <c r="AV440" s="220"/>
      <c r="AW440" s="220"/>
    </row>
    <row r="441" spans="1:49" s="221" customFormat="1" ht="285" x14ac:dyDescent="0.25">
      <c r="A441" s="63">
        <v>27</v>
      </c>
      <c r="B441" s="63" t="str">
        <f t="shared" si="50"/>
        <v>3075-27</v>
      </c>
      <c r="C441" s="76" t="s">
        <v>1141</v>
      </c>
      <c r="D441" s="76" t="s">
        <v>1142</v>
      </c>
      <c r="E441" s="76" t="s">
        <v>1143</v>
      </c>
      <c r="F441" s="76" t="s">
        <v>1158</v>
      </c>
      <c r="G441" s="77" t="s">
        <v>1159</v>
      </c>
      <c r="H441" s="78" t="s">
        <v>1160</v>
      </c>
      <c r="I441" s="76" t="s">
        <v>1147</v>
      </c>
      <c r="J441" s="76" t="s">
        <v>1148</v>
      </c>
      <c r="K441" s="76">
        <v>801116</v>
      </c>
      <c r="L441" s="63" t="s">
        <v>1149</v>
      </c>
      <c r="M441" s="63" t="s">
        <v>58</v>
      </c>
      <c r="N441" s="63" t="s">
        <v>59</v>
      </c>
      <c r="O441" s="76" t="s">
        <v>1213</v>
      </c>
      <c r="P441" s="94" t="s">
        <v>1231</v>
      </c>
      <c r="Q441" s="83">
        <v>5253000</v>
      </c>
      <c r="R441" s="63">
        <v>1</v>
      </c>
      <c r="S441" s="80">
        <v>47277000</v>
      </c>
      <c r="T441" s="63" t="s">
        <v>888</v>
      </c>
      <c r="U441" s="63" t="s">
        <v>1163</v>
      </c>
      <c r="V441" s="81" t="s">
        <v>64</v>
      </c>
      <c r="W441" s="82">
        <v>9</v>
      </c>
      <c r="X441" s="63" t="s">
        <v>1261</v>
      </c>
      <c r="Y441" s="81">
        <v>43103</v>
      </c>
      <c r="Z441" s="83">
        <v>47277000</v>
      </c>
      <c r="AA441" s="84" t="s">
        <v>439</v>
      </c>
      <c r="AB441" s="85">
        <v>351</v>
      </c>
      <c r="AC441" s="81">
        <v>43110</v>
      </c>
      <c r="AD441" s="86">
        <v>47277000</v>
      </c>
      <c r="AE441" s="87">
        <f t="shared" si="55"/>
        <v>0</v>
      </c>
      <c r="AF441" s="85">
        <v>418</v>
      </c>
      <c r="AG441" s="81">
        <v>43124</v>
      </c>
      <c r="AH441" s="86">
        <v>47277000</v>
      </c>
      <c r="AI441" s="63" t="s">
        <v>1262</v>
      </c>
      <c r="AJ441" s="63">
        <v>369</v>
      </c>
      <c r="AK441" s="87">
        <f t="shared" si="52"/>
        <v>0</v>
      </c>
      <c r="AL441" s="86">
        <v>37821600</v>
      </c>
      <c r="AM441" s="86">
        <f t="shared" si="53"/>
        <v>9455400</v>
      </c>
      <c r="AN441" s="63" t="s">
        <v>1155</v>
      </c>
      <c r="AO441" s="86">
        <f t="shared" si="54"/>
        <v>0</v>
      </c>
      <c r="AP441" s="63"/>
      <c r="AQ441" s="63"/>
      <c r="AR441" s="63"/>
      <c r="AS441" s="63"/>
      <c r="AT441" s="63"/>
      <c r="AU441" s="220"/>
      <c r="AV441" s="220"/>
      <c r="AW441" s="220"/>
    </row>
    <row r="442" spans="1:49" s="221" customFormat="1" ht="270.75" x14ac:dyDescent="0.25">
      <c r="A442" s="63">
        <v>28</v>
      </c>
      <c r="B442" s="63" t="str">
        <f t="shared" si="50"/>
        <v>3075-28</v>
      </c>
      <c r="C442" s="76" t="s">
        <v>1141</v>
      </c>
      <c r="D442" s="76" t="s">
        <v>1142</v>
      </c>
      <c r="E442" s="76" t="s">
        <v>1143</v>
      </c>
      <c r="F442" s="76" t="s">
        <v>1158</v>
      </c>
      <c r="G442" s="77" t="s">
        <v>1159</v>
      </c>
      <c r="H442" s="78" t="s">
        <v>1160</v>
      </c>
      <c r="I442" s="76" t="s">
        <v>1147</v>
      </c>
      <c r="J442" s="76" t="s">
        <v>1148</v>
      </c>
      <c r="K442" s="76">
        <v>801116</v>
      </c>
      <c r="L442" s="63" t="s">
        <v>1149</v>
      </c>
      <c r="M442" s="63" t="s">
        <v>58</v>
      </c>
      <c r="N442" s="63" t="s">
        <v>59</v>
      </c>
      <c r="O442" s="76" t="s">
        <v>1213</v>
      </c>
      <c r="P442" s="94" t="s">
        <v>1263</v>
      </c>
      <c r="Q442" s="83">
        <v>5036700</v>
      </c>
      <c r="R442" s="63">
        <v>1</v>
      </c>
      <c r="S442" s="80">
        <v>50367000</v>
      </c>
      <c r="T442" s="63" t="s">
        <v>888</v>
      </c>
      <c r="U442" s="63" t="s">
        <v>1163</v>
      </c>
      <c r="V442" s="81" t="s">
        <v>64</v>
      </c>
      <c r="W442" s="82">
        <v>10</v>
      </c>
      <c r="X442" s="63" t="s">
        <v>1264</v>
      </c>
      <c r="Y442" s="81">
        <v>43103</v>
      </c>
      <c r="Z442" s="83">
        <v>50367000</v>
      </c>
      <c r="AA442" s="84" t="s">
        <v>439</v>
      </c>
      <c r="AB442" s="85">
        <v>323</v>
      </c>
      <c r="AC442" s="81">
        <v>43110</v>
      </c>
      <c r="AD442" s="86">
        <v>50367000</v>
      </c>
      <c r="AE442" s="87">
        <f t="shared" si="55"/>
        <v>0</v>
      </c>
      <c r="AF442" s="85">
        <v>230</v>
      </c>
      <c r="AG442" s="81">
        <v>43118</v>
      </c>
      <c r="AH442" s="86">
        <v>50367000</v>
      </c>
      <c r="AI442" s="63" t="s">
        <v>1265</v>
      </c>
      <c r="AJ442" s="63">
        <v>200</v>
      </c>
      <c r="AK442" s="87">
        <f t="shared" si="52"/>
        <v>0</v>
      </c>
      <c r="AL442" s="86">
        <v>37271580</v>
      </c>
      <c r="AM442" s="86">
        <f t="shared" si="53"/>
        <v>13095420</v>
      </c>
      <c r="AN442" s="63" t="s">
        <v>1155</v>
      </c>
      <c r="AO442" s="86">
        <f t="shared" si="54"/>
        <v>0</v>
      </c>
      <c r="AP442" s="63"/>
      <c r="AQ442" s="63"/>
      <c r="AR442" s="63"/>
      <c r="AS442" s="63"/>
      <c r="AT442" s="63"/>
      <c r="AU442" s="220"/>
      <c r="AV442" s="220"/>
      <c r="AW442" s="220"/>
    </row>
    <row r="443" spans="1:49" s="221" customFormat="1" ht="199.5" x14ac:dyDescent="0.25">
      <c r="A443" s="63">
        <v>29</v>
      </c>
      <c r="B443" s="63" t="str">
        <f t="shared" si="50"/>
        <v>3075-29</v>
      </c>
      <c r="C443" s="76" t="s">
        <v>1141</v>
      </c>
      <c r="D443" s="76" t="s">
        <v>1142</v>
      </c>
      <c r="E443" s="76" t="s">
        <v>1143</v>
      </c>
      <c r="F443" s="76" t="s">
        <v>1158</v>
      </c>
      <c r="G443" s="77" t="s">
        <v>1159</v>
      </c>
      <c r="H443" s="78" t="s">
        <v>1160</v>
      </c>
      <c r="I443" s="76" t="s">
        <v>1147</v>
      </c>
      <c r="J443" s="76" t="s">
        <v>1148</v>
      </c>
      <c r="K443" s="76">
        <v>801116</v>
      </c>
      <c r="L443" s="63" t="s">
        <v>1149</v>
      </c>
      <c r="M443" s="63" t="s">
        <v>58</v>
      </c>
      <c r="N443" s="63" t="s">
        <v>59</v>
      </c>
      <c r="O443" s="76" t="s">
        <v>1213</v>
      </c>
      <c r="P443" s="94" t="s">
        <v>1266</v>
      </c>
      <c r="Q443" s="83">
        <v>1751000</v>
      </c>
      <c r="R443" s="63">
        <v>1</v>
      </c>
      <c r="S443" s="80">
        <v>17510000</v>
      </c>
      <c r="T443" s="63" t="s">
        <v>928</v>
      </c>
      <c r="U443" s="63" t="s">
        <v>1163</v>
      </c>
      <c r="V443" s="81" t="s">
        <v>64</v>
      </c>
      <c r="W443" s="82">
        <v>10</v>
      </c>
      <c r="X443" s="63" t="s">
        <v>1267</v>
      </c>
      <c r="Y443" s="81">
        <v>43102</v>
      </c>
      <c r="Z443" s="83">
        <v>17510000</v>
      </c>
      <c r="AA443" s="84" t="s">
        <v>439</v>
      </c>
      <c r="AB443" s="85">
        <v>208</v>
      </c>
      <c r="AC443" s="81">
        <v>43105</v>
      </c>
      <c r="AD443" s="86">
        <v>17510000</v>
      </c>
      <c r="AE443" s="87">
        <f t="shared" si="55"/>
        <v>0</v>
      </c>
      <c r="AF443" s="85">
        <v>233</v>
      </c>
      <c r="AG443" s="81">
        <v>43119</v>
      </c>
      <c r="AH443" s="86">
        <v>17510000</v>
      </c>
      <c r="AI443" s="63" t="s">
        <v>1268</v>
      </c>
      <c r="AJ443" s="63">
        <v>211</v>
      </c>
      <c r="AK443" s="87">
        <f t="shared" si="52"/>
        <v>0</v>
      </c>
      <c r="AL443" s="86">
        <v>12957400</v>
      </c>
      <c r="AM443" s="86">
        <f t="shared" si="53"/>
        <v>4552600</v>
      </c>
      <c r="AN443" s="63" t="s">
        <v>1155</v>
      </c>
      <c r="AO443" s="86">
        <f t="shared" si="54"/>
        <v>0</v>
      </c>
      <c r="AP443" s="63"/>
      <c r="AQ443" s="63"/>
      <c r="AR443" s="63"/>
      <c r="AS443" s="63"/>
      <c r="AT443" s="63"/>
      <c r="AU443" s="220"/>
      <c r="AV443" s="220"/>
      <c r="AW443" s="220"/>
    </row>
    <row r="444" spans="1:49" s="221" customFormat="1" ht="213.75" x14ac:dyDescent="0.25">
      <c r="A444" s="63">
        <v>30</v>
      </c>
      <c r="B444" s="63" t="str">
        <f t="shared" si="50"/>
        <v>3075-30</v>
      </c>
      <c r="C444" s="76" t="s">
        <v>1141</v>
      </c>
      <c r="D444" s="76" t="s">
        <v>1142</v>
      </c>
      <c r="E444" s="76" t="s">
        <v>1143</v>
      </c>
      <c r="F444" s="76" t="s">
        <v>1158</v>
      </c>
      <c r="G444" s="77" t="s">
        <v>1159</v>
      </c>
      <c r="H444" s="78" t="s">
        <v>1160</v>
      </c>
      <c r="I444" s="76" t="s">
        <v>1147</v>
      </c>
      <c r="J444" s="76" t="s">
        <v>1148</v>
      </c>
      <c r="K444" s="76">
        <v>801116</v>
      </c>
      <c r="L444" s="63" t="s">
        <v>1149</v>
      </c>
      <c r="M444" s="63" t="s">
        <v>58</v>
      </c>
      <c r="N444" s="63" t="s">
        <v>59</v>
      </c>
      <c r="O444" s="76" t="s">
        <v>1213</v>
      </c>
      <c r="P444" s="76" t="s">
        <v>1269</v>
      </c>
      <c r="Q444" s="83">
        <v>3399000</v>
      </c>
      <c r="R444" s="63">
        <v>4</v>
      </c>
      <c r="S444" s="80">
        <v>16995000</v>
      </c>
      <c r="T444" s="63" t="s">
        <v>888</v>
      </c>
      <c r="U444" s="63" t="s">
        <v>1163</v>
      </c>
      <c r="V444" s="81" t="s">
        <v>64</v>
      </c>
      <c r="W444" s="82">
        <v>9.5</v>
      </c>
      <c r="X444" s="63" t="s">
        <v>1270</v>
      </c>
      <c r="Y444" s="81">
        <v>43111</v>
      </c>
      <c r="Z444" s="83">
        <v>16995000</v>
      </c>
      <c r="AA444" s="84" t="s">
        <v>439</v>
      </c>
      <c r="AB444" s="85">
        <v>469</v>
      </c>
      <c r="AC444" s="81">
        <v>43112</v>
      </c>
      <c r="AD444" s="86">
        <v>16995000</v>
      </c>
      <c r="AE444" s="87">
        <f t="shared" si="55"/>
        <v>0</v>
      </c>
      <c r="AF444" s="85">
        <v>277</v>
      </c>
      <c r="AG444" s="81">
        <v>43122</v>
      </c>
      <c r="AH444" s="86">
        <v>16995000</v>
      </c>
      <c r="AI444" s="63" t="s">
        <v>1271</v>
      </c>
      <c r="AJ444" s="63">
        <v>247</v>
      </c>
      <c r="AK444" s="87">
        <f t="shared" si="52"/>
        <v>0</v>
      </c>
      <c r="AL444" s="86">
        <v>16995000</v>
      </c>
      <c r="AM444" s="86">
        <f t="shared" si="53"/>
        <v>0</v>
      </c>
      <c r="AN444" s="63" t="s">
        <v>1155</v>
      </c>
      <c r="AO444" s="86">
        <f t="shared" si="54"/>
        <v>0</v>
      </c>
      <c r="AP444" s="63"/>
      <c r="AQ444" s="63"/>
      <c r="AR444" s="63"/>
      <c r="AS444" s="63"/>
      <c r="AT444" s="63"/>
      <c r="AU444" s="220"/>
      <c r="AV444" s="220"/>
      <c r="AW444" s="220"/>
    </row>
    <row r="445" spans="1:49" s="221" customFormat="1" ht="242.25" x14ac:dyDescent="0.25">
      <c r="A445" s="63">
        <v>31</v>
      </c>
      <c r="B445" s="63" t="str">
        <f t="shared" si="50"/>
        <v>3075-31</v>
      </c>
      <c r="C445" s="76" t="s">
        <v>1141</v>
      </c>
      <c r="D445" s="76" t="s">
        <v>1142</v>
      </c>
      <c r="E445" s="76" t="s">
        <v>1143</v>
      </c>
      <c r="F445" s="76" t="s">
        <v>1158</v>
      </c>
      <c r="G445" s="77" t="s">
        <v>1159</v>
      </c>
      <c r="H445" s="78" t="s">
        <v>1160</v>
      </c>
      <c r="I445" s="76" t="s">
        <v>1147</v>
      </c>
      <c r="J445" s="76" t="s">
        <v>1148</v>
      </c>
      <c r="K445" s="76">
        <v>801116</v>
      </c>
      <c r="L445" s="63" t="s">
        <v>1149</v>
      </c>
      <c r="M445" s="63" t="s">
        <v>58</v>
      </c>
      <c r="N445" s="63" t="s">
        <v>59</v>
      </c>
      <c r="O445" s="76" t="s">
        <v>1213</v>
      </c>
      <c r="P445" s="76" t="s">
        <v>1272</v>
      </c>
      <c r="Q445" s="83">
        <v>1751000</v>
      </c>
      <c r="R445" s="63">
        <v>4</v>
      </c>
      <c r="S445" s="80">
        <v>0</v>
      </c>
      <c r="T445" s="63"/>
      <c r="U445" s="63"/>
      <c r="V445" s="81"/>
      <c r="W445" s="82"/>
      <c r="X445" s="63"/>
      <c r="Y445" s="81"/>
      <c r="Z445" s="83"/>
      <c r="AA445" s="84"/>
      <c r="AB445" s="85"/>
      <c r="AC445" s="81"/>
      <c r="AD445" s="86"/>
      <c r="AE445" s="87">
        <f t="shared" si="55"/>
        <v>0</v>
      </c>
      <c r="AF445" s="85"/>
      <c r="AG445" s="81"/>
      <c r="AH445" s="86"/>
      <c r="AI445" s="63"/>
      <c r="AJ445" s="63"/>
      <c r="AK445" s="87">
        <f t="shared" si="52"/>
        <v>0</v>
      </c>
      <c r="AL445" s="86"/>
      <c r="AM445" s="86">
        <f t="shared" si="53"/>
        <v>0</v>
      </c>
      <c r="AN445" s="63" t="s">
        <v>1155</v>
      </c>
      <c r="AO445" s="86">
        <f t="shared" si="54"/>
        <v>0</v>
      </c>
      <c r="AP445" s="63"/>
      <c r="AQ445" s="63"/>
      <c r="AR445" s="63" t="s">
        <v>1157</v>
      </c>
      <c r="AS445" s="63"/>
      <c r="AT445" s="63"/>
      <c r="AU445" s="220"/>
      <c r="AV445" s="220"/>
      <c r="AW445" s="220"/>
    </row>
    <row r="446" spans="1:49" s="221" customFormat="1" ht="242.25" x14ac:dyDescent="0.25">
      <c r="A446" s="63">
        <v>32</v>
      </c>
      <c r="B446" s="63" t="str">
        <f t="shared" si="50"/>
        <v>3075-32</v>
      </c>
      <c r="C446" s="76" t="s">
        <v>1141</v>
      </c>
      <c r="D446" s="76" t="s">
        <v>1142</v>
      </c>
      <c r="E446" s="76" t="s">
        <v>1143</v>
      </c>
      <c r="F446" s="76" t="s">
        <v>1158</v>
      </c>
      <c r="G446" s="77" t="s">
        <v>1159</v>
      </c>
      <c r="H446" s="78" t="s">
        <v>1160</v>
      </c>
      <c r="I446" s="76" t="s">
        <v>1147</v>
      </c>
      <c r="J446" s="76" t="s">
        <v>1148</v>
      </c>
      <c r="K446" s="76">
        <v>801116</v>
      </c>
      <c r="L446" s="63" t="s">
        <v>1149</v>
      </c>
      <c r="M446" s="63" t="s">
        <v>58</v>
      </c>
      <c r="N446" s="63" t="s">
        <v>59</v>
      </c>
      <c r="O446" s="76" t="s">
        <v>1213</v>
      </c>
      <c r="P446" s="94" t="s">
        <v>1273</v>
      </c>
      <c r="Q446" s="83">
        <v>2472000</v>
      </c>
      <c r="R446" s="63">
        <v>1</v>
      </c>
      <c r="S446" s="80">
        <v>24720000</v>
      </c>
      <c r="T446" s="63" t="s">
        <v>928</v>
      </c>
      <c r="U446" s="63" t="s">
        <v>1163</v>
      </c>
      <c r="V446" s="81" t="s">
        <v>64</v>
      </c>
      <c r="W446" s="82">
        <v>10</v>
      </c>
      <c r="X446" s="63" t="s">
        <v>1274</v>
      </c>
      <c r="Y446" s="81">
        <v>43102</v>
      </c>
      <c r="Z446" s="83">
        <v>24720000</v>
      </c>
      <c r="AA446" s="84" t="s">
        <v>439</v>
      </c>
      <c r="AB446" s="85">
        <v>405</v>
      </c>
      <c r="AC446" s="81">
        <v>43110</v>
      </c>
      <c r="AD446" s="86">
        <v>24720000</v>
      </c>
      <c r="AE446" s="87">
        <f t="shared" si="55"/>
        <v>0</v>
      </c>
      <c r="AF446" s="85">
        <v>390</v>
      </c>
      <c r="AG446" s="81">
        <v>43124</v>
      </c>
      <c r="AH446" s="86">
        <v>24720000</v>
      </c>
      <c r="AI446" s="63" t="s">
        <v>1275</v>
      </c>
      <c r="AJ446" s="63">
        <v>329</v>
      </c>
      <c r="AK446" s="87">
        <f t="shared" si="52"/>
        <v>0</v>
      </c>
      <c r="AL446" s="86">
        <v>17798400</v>
      </c>
      <c r="AM446" s="86">
        <f t="shared" si="53"/>
        <v>6921600</v>
      </c>
      <c r="AN446" s="63" t="s">
        <v>1155</v>
      </c>
      <c r="AO446" s="86">
        <f t="shared" si="54"/>
        <v>0</v>
      </c>
      <c r="AP446" s="63"/>
      <c r="AQ446" s="63"/>
      <c r="AR446" s="63"/>
      <c r="AS446" s="63"/>
      <c r="AT446" s="63"/>
      <c r="AU446" s="220"/>
      <c r="AV446" s="220"/>
      <c r="AW446" s="220"/>
    </row>
    <row r="447" spans="1:49" s="221" customFormat="1" ht="213.75" x14ac:dyDescent="0.25">
      <c r="A447" s="63">
        <v>33</v>
      </c>
      <c r="B447" s="63" t="str">
        <f t="shared" si="50"/>
        <v>3075-33</v>
      </c>
      <c r="C447" s="76" t="s">
        <v>1141</v>
      </c>
      <c r="D447" s="76" t="s">
        <v>1142</v>
      </c>
      <c r="E447" s="76" t="s">
        <v>1143</v>
      </c>
      <c r="F447" s="76" t="s">
        <v>1158</v>
      </c>
      <c r="G447" s="77" t="s">
        <v>1159</v>
      </c>
      <c r="H447" s="78" t="s">
        <v>1160</v>
      </c>
      <c r="I447" s="76" t="s">
        <v>1147</v>
      </c>
      <c r="J447" s="76" t="s">
        <v>1148</v>
      </c>
      <c r="K447" s="76">
        <v>801116</v>
      </c>
      <c r="L447" s="63" t="s">
        <v>1149</v>
      </c>
      <c r="M447" s="63" t="s">
        <v>58</v>
      </c>
      <c r="N447" s="63" t="s">
        <v>59</v>
      </c>
      <c r="O447" s="76" t="s">
        <v>1213</v>
      </c>
      <c r="P447" s="76" t="s">
        <v>1276</v>
      </c>
      <c r="Q447" s="83">
        <v>2472000</v>
      </c>
      <c r="R447" s="63">
        <v>3</v>
      </c>
      <c r="S447" s="80">
        <v>0</v>
      </c>
      <c r="T447" s="63"/>
      <c r="U447" s="63"/>
      <c r="V447" s="81"/>
      <c r="W447" s="82"/>
      <c r="X447" s="63"/>
      <c r="Y447" s="81"/>
      <c r="Z447" s="83"/>
      <c r="AA447" s="84"/>
      <c r="AB447" s="85"/>
      <c r="AC447" s="81"/>
      <c r="AD447" s="86"/>
      <c r="AE447" s="87">
        <f t="shared" si="55"/>
        <v>0</v>
      </c>
      <c r="AF447" s="85"/>
      <c r="AG447" s="81"/>
      <c r="AH447" s="86"/>
      <c r="AI447" s="63"/>
      <c r="AJ447" s="63"/>
      <c r="AK447" s="87">
        <f t="shared" si="52"/>
        <v>0</v>
      </c>
      <c r="AL447" s="86"/>
      <c r="AM447" s="86">
        <f t="shared" si="53"/>
        <v>0</v>
      </c>
      <c r="AN447" s="63" t="s">
        <v>1155</v>
      </c>
      <c r="AO447" s="86">
        <f t="shared" si="54"/>
        <v>0</v>
      </c>
      <c r="AP447" s="63"/>
      <c r="AQ447" s="63"/>
      <c r="AR447" s="63" t="s">
        <v>1157</v>
      </c>
      <c r="AS447" s="63"/>
      <c r="AT447" s="63"/>
      <c r="AU447" s="220"/>
      <c r="AV447" s="220"/>
      <c r="AW447" s="220"/>
    </row>
    <row r="448" spans="1:49" s="221" customFormat="1" ht="199.5" x14ac:dyDescent="0.25">
      <c r="A448" s="63">
        <v>34</v>
      </c>
      <c r="B448" s="63" t="str">
        <f t="shared" si="50"/>
        <v>3075-34</v>
      </c>
      <c r="C448" s="76" t="s">
        <v>1141</v>
      </c>
      <c r="D448" s="76" t="s">
        <v>1142</v>
      </c>
      <c r="E448" s="76" t="s">
        <v>1143</v>
      </c>
      <c r="F448" s="76" t="s">
        <v>1158</v>
      </c>
      <c r="G448" s="77" t="s">
        <v>1159</v>
      </c>
      <c r="H448" s="78" t="s">
        <v>1160</v>
      </c>
      <c r="I448" s="76" t="s">
        <v>1147</v>
      </c>
      <c r="J448" s="76" t="s">
        <v>1148</v>
      </c>
      <c r="K448" s="76">
        <v>801116</v>
      </c>
      <c r="L448" s="63" t="s">
        <v>1149</v>
      </c>
      <c r="M448" s="63" t="s">
        <v>58</v>
      </c>
      <c r="N448" s="63" t="s">
        <v>59</v>
      </c>
      <c r="O448" s="76" t="s">
        <v>1213</v>
      </c>
      <c r="P448" s="76" t="s">
        <v>1277</v>
      </c>
      <c r="Q448" s="83">
        <v>3038500</v>
      </c>
      <c r="R448" s="63">
        <v>1</v>
      </c>
      <c r="S448" s="80">
        <v>30385000</v>
      </c>
      <c r="T448" s="63" t="s">
        <v>928</v>
      </c>
      <c r="U448" s="63" t="s">
        <v>1163</v>
      </c>
      <c r="V448" s="81" t="s">
        <v>64</v>
      </c>
      <c r="W448" s="82">
        <v>10</v>
      </c>
      <c r="X448" s="63" t="s">
        <v>1278</v>
      </c>
      <c r="Y448" s="81">
        <v>43102</v>
      </c>
      <c r="Z448" s="83">
        <v>30385000</v>
      </c>
      <c r="AA448" s="84" t="s">
        <v>439</v>
      </c>
      <c r="AB448" s="85">
        <v>199</v>
      </c>
      <c r="AC448" s="81">
        <v>43105</v>
      </c>
      <c r="AD448" s="86">
        <v>30385000</v>
      </c>
      <c r="AE448" s="87">
        <f t="shared" si="55"/>
        <v>0</v>
      </c>
      <c r="AF448" s="85">
        <v>171</v>
      </c>
      <c r="AG448" s="81">
        <v>43118</v>
      </c>
      <c r="AH448" s="86">
        <v>30385000</v>
      </c>
      <c r="AI448" s="63" t="s">
        <v>1279</v>
      </c>
      <c r="AJ448" s="63">
        <v>154</v>
      </c>
      <c r="AK448" s="87">
        <f t="shared" si="52"/>
        <v>0</v>
      </c>
      <c r="AL448" s="86">
        <v>22586183</v>
      </c>
      <c r="AM448" s="86">
        <f t="shared" si="53"/>
        <v>7798817</v>
      </c>
      <c r="AN448" s="63" t="s">
        <v>1155</v>
      </c>
      <c r="AO448" s="86">
        <f t="shared" si="54"/>
        <v>0</v>
      </c>
      <c r="AP448" s="63"/>
      <c r="AQ448" s="63"/>
      <c r="AR448" s="63"/>
      <c r="AS448" s="63"/>
      <c r="AT448" s="63"/>
      <c r="AU448" s="220"/>
      <c r="AV448" s="220"/>
      <c r="AW448" s="220"/>
    </row>
    <row r="449" spans="1:49" s="221" customFormat="1" ht="242.25" x14ac:dyDescent="0.25">
      <c r="A449" s="63">
        <v>35</v>
      </c>
      <c r="B449" s="63" t="str">
        <f t="shared" si="50"/>
        <v>3075-35</v>
      </c>
      <c r="C449" s="76" t="s">
        <v>1141</v>
      </c>
      <c r="D449" s="76" t="s">
        <v>1142</v>
      </c>
      <c r="E449" s="76" t="s">
        <v>1143</v>
      </c>
      <c r="F449" s="76" t="s">
        <v>1158</v>
      </c>
      <c r="G449" s="77" t="s">
        <v>1159</v>
      </c>
      <c r="H449" s="78" t="s">
        <v>1160</v>
      </c>
      <c r="I449" s="76" t="s">
        <v>1147</v>
      </c>
      <c r="J449" s="76" t="s">
        <v>1148</v>
      </c>
      <c r="K449" s="76">
        <v>801116</v>
      </c>
      <c r="L449" s="63" t="s">
        <v>1149</v>
      </c>
      <c r="M449" s="63" t="s">
        <v>58</v>
      </c>
      <c r="N449" s="63" t="s">
        <v>59</v>
      </c>
      <c r="O449" s="76" t="s">
        <v>1213</v>
      </c>
      <c r="P449" s="76" t="s">
        <v>1273</v>
      </c>
      <c r="Q449" s="83">
        <v>3038500</v>
      </c>
      <c r="R449" s="63">
        <v>1</v>
      </c>
      <c r="S449" s="80">
        <v>30385000</v>
      </c>
      <c r="T449" s="63" t="s">
        <v>928</v>
      </c>
      <c r="U449" s="63" t="s">
        <v>1163</v>
      </c>
      <c r="V449" s="81" t="s">
        <v>64</v>
      </c>
      <c r="W449" s="82">
        <v>10</v>
      </c>
      <c r="X449" s="63" t="s">
        <v>1280</v>
      </c>
      <c r="Y449" s="81">
        <v>43102</v>
      </c>
      <c r="Z449" s="83">
        <v>30385000</v>
      </c>
      <c r="AA449" s="84" t="s">
        <v>439</v>
      </c>
      <c r="AB449" s="85">
        <v>344</v>
      </c>
      <c r="AC449" s="81">
        <v>43110</v>
      </c>
      <c r="AD449" s="86">
        <v>30385000</v>
      </c>
      <c r="AE449" s="87">
        <f t="shared" si="55"/>
        <v>0</v>
      </c>
      <c r="AF449" s="85">
        <v>349</v>
      </c>
      <c r="AG449" s="81">
        <v>43123</v>
      </c>
      <c r="AH449" s="86">
        <v>30385000</v>
      </c>
      <c r="AI449" s="63" t="s">
        <v>1281</v>
      </c>
      <c r="AJ449" s="63">
        <v>350</v>
      </c>
      <c r="AK449" s="87">
        <f t="shared" si="52"/>
        <v>0</v>
      </c>
      <c r="AL449" s="86">
        <v>21877200</v>
      </c>
      <c r="AM449" s="86">
        <f t="shared" si="53"/>
        <v>8507800</v>
      </c>
      <c r="AN449" s="63" t="s">
        <v>1155</v>
      </c>
      <c r="AO449" s="86">
        <f t="shared" si="54"/>
        <v>0</v>
      </c>
      <c r="AP449" s="63"/>
      <c r="AQ449" s="63"/>
      <c r="AR449" s="63"/>
      <c r="AS449" s="63"/>
      <c r="AT449" s="63"/>
      <c r="AU449" s="220"/>
      <c r="AV449" s="220"/>
      <c r="AW449" s="220"/>
    </row>
    <row r="450" spans="1:49" s="221" customFormat="1" ht="213.75" x14ac:dyDescent="0.25">
      <c r="A450" s="63">
        <v>36</v>
      </c>
      <c r="B450" s="63" t="str">
        <f t="shared" si="50"/>
        <v>3075-36</v>
      </c>
      <c r="C450" s="76" t="s">
        <v>1141</v>
      </c>
      <c r="D450" s="76" t="s">
        <v>1142</v>
      </c>
      <c r="E450" s="76" t="s">
        <v>1143</v>
      </c>
      <c r="F450" s="76" t="s">
        <v>1158</v>
      </c>
      <c r="G450" s="77" t="s">
        <v>1159</v>
      </c>
      <c r="H450" s="78" t="s">
        <v>1160</v>
      </c>
      <c r="I450" s="76" t="s">
        <v>1147</v>
      </c>
      <c r="J450" s="76" t="s">
        <v>1148</v>
      </c>
      <c r="K450" s="76">
        <v>801116</v>
      </c>
      <c r="L450" s="63" t="s">
        <v>1149</v>
      </c>
      <c r="M450" s="63" t="s">
        <v>58</v>
      </c>
      <c r="N450" s="63" t="s">
        <v>59</v>
      </c>
      <c r="O450" s="76" t="s">
        <v>1213</v>
      </c>
      <c r="P450" s="76" t="s">
        <v>1276</v>
      </c>
      <c r="Q450" s="83">
        <v>3038500</v>
      </c>
      <c r="R450" s="63">
        <v>1</v>
      </c>
      <c r="S450" s="80">
        <v>33423500</v>
      </c>
      <c r="T450" s="63" t="s">
        <v>928</v>
      </c>
      <c r="U450" s="63" t="s">
        <v>1163</v>
      </c>
      <c r="V450" s="81" t="s">
        <v>64</v>
      </c>
      <c r="W450" s="82">
        <v>11</v>
      </c>
      <c r="X450" s="63" t="s">
        <v>1282</v>
      </c>
      <c r="Y450" s="81">
        <v>43102</v>
      </c>
      <c r="Z450" s="83">
        <v>33423500</v>
      </c>
      <c r="AA450" s="84" t="s">
        <v>439</v>
      </c>
      <c r="AB450" s="85">
        <v>390</v>
      </c>
      <c r="AC450" s="81">
        <v>43110</v>
      </c>
      <c r="AD450" s="86">
        <v>33423500</v>
      </c>
      <c r="AE450" s="87">
        <f t="shared" si="55"/>
        <v>0</v>
      </c>
      <c r="AF450" s="85">
        <v>212</v>
      </c>
      <c r="AG450" s="81">
        <v>43118</v>
      </c>
      <c r="AH450" s="86">
        <v>33423500</v>
      </c>
      <c r="AI450" s="63" t="s">
        <v>1283</v>
      </c>
      <c r="AJ450" s="63">
        <v>184</v>
      </c>
      <c r="AK450" s="87">
        <f t="shared" si="52"/>
        <v>0</v>
      </c>
      <c r="AL450" s="86">
        <v>22484900</v>
      </c>
      <c r="AM450" s="86">
        <f t="shared" si="53"/>
        <v>10938600</v>
      </c>
      <c r="AN450" s="63" t="s">
        <v>1155</v>
      </c>
      <c r="AO450" s="86">
        <f t="shared" si="54"/>
        <v>0</v>
      </c>
      <c r="AP450" s="63"/>
      <c r="AQ450" s="63"/>
      <c r="AR450" s="63"/>
      <c r="AS450" s="63"/>
      <c r="AT450" s="63"/>
      <c r="AU450" s="220"/>
      <c r="AV450" s="220"/>
      <c r="AW450" s="220"/>
    </row>
    <row r="451" spans="1:49" s="221" customFormat="1" ht="356.25" x14ac:dyDescent="0.25">
      <c r="A451" s="63">
        <v>37</v>
      </c>
      <c r="B451" s="63" t="str">
        <f t="shared" si="50"/>
        <v>3075-37</v>
      </c>
      <c r="C451" s="76" t="s">
        <v>1141</v>
      </c>
      <c r="D451" s="76" t="s">
        <v>1142</v>
      </c>
      <c r="E451" s="76" t="s">
        <v>1143</v>
      </c>
      <c r="F451" s="76" t="s">
        <v>1158</v>
      </c>
      <c r="G451" s="77" t="s">
        <v>1159</v>
      </c>
      <c r="H451" s="78" t="s">
        <v>1160</v>
      </c>
      <c r="I451" s="76" t="s">
        <v>1147</v>
      </c>
      <c r="J451" s="76" t="s">
        <v>1148</v>
      </c>
      <c r="K451" s="76">
        <v>801116</v>
      </c>
      <c r="L451" s="63" t="s">
        <v>1149</v>
      </c>
      <c r="M451" s="63" t="s">
        <v>58</v>
      </c>
      <c r="N451" s="63" t="s">
        <v>59</v>
      </c>
      <c r="O451" s="76" t="s">
        <v>1213</v>
      </c>
      <c r="P451" s="76" t="s">
        <v>1284</v>
      </c>
      <c r="Q451" s="83">
        <v>6180000</v>
      </c>
      <c r="R451" s="63">
        <v>1</v>
      </c>
      <c r="S451" s="80">
        <v>67980000</v>
      </c>
      <c r="T451" s="63" t="s">
        <v>888</v>
      </c>
      <c r="U451" s="63" t="s">
        <v>1163</v>
      </c>
      <c r="V451" s="81" t="s">
        <v>64</v>
      </c>
      <c r="W451" s="82">
        <v>11</v>
      </c>
      <c r="X451" s="63" t="s">
        <v>1285</v>
      </c>
      <c r="Y451" s="81">
        <v>43103</v>
      </c>
      <c r="Z451" s="83">
        <v>67980000</v>
      </c>
      <c r="AA451" s="84" t="s">
        <v>439</v>
      </c>
      <c r="AB451" s="85">
        <v>334</v>
      </c>
      <c r="AC451" s="81">
        <v>43110</v>
      </c>
      <c r="AD451" s="86">
        <v>67980000</v>
      </c>
      <c r="AE451" s="87">
        <f t="shared" si="55"/>
        <v>0</v>
      </c>
      <c r="AF451" s="85">
        <v>192</v>
      </c>
      <c r="AG451" s="81">
        <v>43118</v>
      </c>
      <c r="AH451" s="86">
        <v>67980000</v>
      </c>
      <c r="AI451" s="63" t="s">
        <v>1286</v>
      </c>
      <c r="AJ451" s="63">
        <v>165</v>
      </c>
      <c r="AK451" s="87">
        <f t="shared" si="52"/>
        <v>0</v>
      </c>
      <c r="AL451" s="86">
        <v>45732000</v>
      </c>
      <c r="AM451" s="86">
        <f t="shared" si="53"/>
        <v>22248000</v>
      </c>
      <c r="AN451" s="63" t="s">
        <v>1155</v>
      </c>
      <c r="AO451" s="86">
        <f t="shared" si="54"/>
        <v>0</v>
      </c>
      <c r="AP451" s="63"/>
      <c r="AQ451" s="63"/>
      <c r="AR451" s="63"/>
      <c r="AS451" s="63"/>
      <c r="AT451" s="63"/>
      <c r="AU451" s="220"/>
      <c r="AV451" s="220"/>
      <c r="AW451" s="220"/>
    </row>
    <row r="452" spans="1:49" s="221" customFormat="1" ht="213.75" x14ac:dyDescent="0.25">
      <c r="A452" s="63">
        <v>38</v>
      </c>
      <c r="B452" s="63" t="str">
        <f t="shared" si="50"/>
        <v>3075-38</v>
      </c>
      <c r="C452" s="76" t="s">
        <v>1141</v>
      </c>
      <c r="D452" s="76" t="s">
        <v>1142</v>
      </c>
      <c r="E452" s="76" t="s">
        <v>1143</v>
      </c>
      <c r="F452" s="76" t="s">
        <v>1158</v>
      </c>
      <c r="G452" s="77" t="s">
        <v>1159</v>
      </c>
      <c r="H452" s="78" t="s">
        <v>1160</v>
      </c>
      <c r="I452" s="76" t="s">
        <v>1147</v>
      </c>
      <c r="J452" s="76" t="s">
        <v>1148</v>
      </c>
      <c r="K452" s="76">
        <v>801116</v>
      </c>
      <c r="L452" s="63" t="s">
        <v>1149</v>
      </c>
      <c r="M452" s="63" t="s">
        <v>58</v>
      </c>
      <c r="N452" s="63" t="s">
        <v>59</v>
      </c>
      <c r="O452" s="76" t="s">
        <v>1213</v>
      </c>
      <c r="P452" s="76" t="s">
        <v>1287</v>
      </c>
      <c r="Q452" s="83">
        <v>4120000</v>
      </c>
      <c r="R452" s="63">
        <v>8</v>
      </c>
      <c r="S452" s="80">
        <v>24720000</v>
      </c>
      <c r="T452" s="63" t="s">
        <v>888</v>
      </c>
      <c r="U452" s="63" t="s">
        <v>1163</v>
      </c>
      <c r="V452" s="81" t="s">
        <v>64</v>
      </c>
      <c r="W452" s="82">
        <v>9.75</v>
      </c>
      <c r="X452" s="63" t="s">
        <v>1288</v>
      </c>
      <c r="Y452" s="81">
        <v>43111</v>
      </c>
      <c r="Z452" s="83">
        <v>24720000</v>
      </c>
      <c r="AA452" s="84" t="s">
        <v>439</v>
      </c>
      <c r="AB452" s="85">
        <v>470</v>
      </c>
      <c r="AC452" s="81">
        <v>43112</v>
      </c>
      <c r="AD452" s="86">
        <v>24720000</v>
      </c>
      <c r="AE452" s="87">
        <f t="shared" si="55"/>
        <v>0</v>
      </c>
      <c r="AF452" s="85">
        <v>243</v>
      </c>
      <c r="AG452" s="81">
        <v>43119</v>
      </c>
      <c r="AH452" s="86">
        <v>24720000</v>
      </c>
      <c r="AI452" s="63" t="s">
        <v>1289</v>
      </c>
      <c r="AJ452" s="63">
        <v>218</v>
      </c>
      <c r="AK452" s="87">
        <f t="shared" si="52"/>
        <v>0</v>
      </c>
      <c r="AL452" s="86">
        <v>24720000</v>
      </c>
      <c r="AM452" s="86">
        <f t="shared" si="53"/>
        <v>0</v>
      </c>
      <c r="AN452" s="63" t="s">
        <v>1155</v>
      </c>
      <c r="AO452" s="86">
        <f t="shared" si="54"/>
        <v>0</v>
      </c>
      <c r="AP452" s="63"/>
      <c r="AQ452" s="63"/>
      <c r="AR452" s="63"/>
      <c r="AS452" s="63"/>
      <c r="AT452" s="63"/>
      <c r="AU452" s="220"/>
      <c r="AV452" s="220"/>
      <c r="AW452" s="220"/>
    </row>
    <row r="453" spans="1:49" s="221" customFormat="1" ht="313.5" x14ac:dyDescent="0.25">
      <c r="A453" s="63">
        <v>39</v>
      </c>
      <c r="B453" s="63" t="str">
        <f t="shared" si="50"/>
        <v>3075-39</v>
      </c>
      <c r="C453" s="76" t="s">
        <v>1141</v>
      </c>
      <c r="D453" s="76" t="s">
        <v>1142</v>
      </c>
      <c r="E453" s="76" t="s">
        <v>1143</v>
      </c>
      <c r="F453" s="76" t="s">
        <v>1158</v>
      </c>
      <c r="G453" s="77" t="s">
        <v>1159</v>
      </c>
      <c r="H453" s="78" t="s">
        <v>1160</v>
      </c>
      <c r="I453" s="76" t="s">
        <v>1147</v>
      </c>
      <c r="J453" s="76" t="s">
        <v>1148</v>
      </c>
      <c r="K453" s="76">
        <v>801116</v>
      </c>
      <c r="L453" s="63" t="s">
        <v>1149</v>
      </c>
      <c r="M453" s="63" t="s">
        <v>58</v>
      </c>
      <c r="N453" s="63" t="s">
        <v>59</v>
      </c>
      <c r="O453" s="76" t="s">
        <v>1213</v>
      </c>
      <c r="P453" s="63" t="s">
        <v>1290</v>
      </c>
      <c r="Q453" s="83">
        <v>4120000</v>
      </c>
      <c r="R453" s="63">
        <v>1</v>
      </c>
      <c r="S453" s="80">
        <v>41200000</v>
      </c>
      <c r="T453" s="63" t="s">
        <v>888</v>
      </c>
      <c r="U453" s="63" t="s">
        <v>1163</v>
      </c>
      <c r="V453" s="81" t="s">
        <v>64</v>
      </c>
      <c r="W453" s="82">
        <v>10</v>
      </c>
      <c r="X453" s="63" t="s">
        <v>1291</v>
      </c>
      <c r="Y453" s="81">
        <v>43102</v>
      </c>
      <c r="Z453" s="83">
        <v>41200000</v>
      </c>
      <c r="AA453" s="84" t="s">
        <v>439</v>
      </c>
      <c r="AB453" s="85">
        <v>314</v>
      </c>
      <c r="AC453" s="81">
        <v>43110</v>
      </c>
      <c r="AD453" s="86">
        <v>41200000</v>
      </c>
      <c r="AE453" s="87">
        <f t="shared" si="55"/>
        <v>0</v>
      </c>
      <c r="AF453" s="85">
        <v>325</v>
      </c>
      <c r="AG453" s="81">
        <v>43123</v>
      </c>
      <c r="AH453" s="86">
        <v>41200000</v>
      </c>
      <c r="AI453" s="63" t="s">
        <v>1292</v>
      </c>
      <c r="AJ453" s="63">
        <v>286</v>
      </c>
      <c r="AK453" s="87">
        <f t="shared" si="52"/>
        <v>0</v>
      </c>
      <c r="AL453" s="86">
        <v>29938667</v>
      </c>
      <c r="AM453" s="86">
        <f t="shared" si="53"/>
        <v>11261333</v>
      </c>
      <c r="AN453" s="63" t="s">
        <v>1155</v>
      </c>
      <c r="AO453" s="86">
        <f t="shared" si="54"/>
        <v>0</v>
      </c>
      <c r="AP453" s="63"/>
      <c r="AQ453" s="63"/>
      <c r="AR453" s="63"/>
      <c r="AS453" s="63"/>
      <c r="AT453" s="63"/>
      <c r="AU453" s="220"/>
      <c r="AV453" s="220"/>
      <c r="AW453" s="220"/>
    </row>
    <row r="454" spans="1:49" s="221" customFormat="1" ht="199.5" x14ac:dyDescent="0.25">
      <c r="A454" s="63">
        <v>40</v>
      </c>
      <c r="B454" s="63" t="str">
        <f t="shared" si="50"/>
        <v>3075-40</v>
      </c>
      <c r="C454" s="76" t="s">
        <v>1141</v>
      </c>
      <c r="D454" s="76" t="s">
        <v>1142</v>
      </c>
      <c r="E454" s="76" t="s">
        <v>1143</v>
      </c>
      <c r="F454" s="76" t="s">
        <v>1158</v>
      </c>
      <c r="G454" s="77" t="s">
        <v>1159</v>
      </c>
      <c r="H454" s="78" t="s">
        <v>1160</v>
      </c>
      <c r="I454" s="76" t="s">
        <v>1147</v>
      </c>
      <c r="J454" s="76" t="s">
        <v>1148</v>
      </c>
      <c r="K454" s="76">
        <v>801116</v>
      </c>
      <c r="L454" s="63" t="s">
        <v>1149</v>
      </c>
      <c r="M454" s="63" t="s">
        <v>58</v>
      </c>
      <c r="N454" s="63" t="s">
        <v>59</v>
      </c>
      <c r="O454" s="76" t="s">
        <v>1213</v>
      </c>
      <c r="P454" s="76" t="s">
        <v>1293</v>
      </c>
      <c r="Q454" s="83">
        <v>4120000</v>
      </c>
      <c r="R454" s="63">
        <v>4</v>
      </c>
      <c r="S454" s="80">
        <v>0</v>
      </c>
      <c r="T454" s="63"/>
      <c r="U454" s="63"/>
      <c r="V454" s="81"/>
      <c r="W454" s="82"/>
      <c r="X454" s="63"/>
      <c r="Y454" s="81"/>
      <c r="Z454" s="83"/>
      <c r="AA454" s="84"/>
      <c r="AB454" s="85"/>
      <c r="AC454" s="81"/>
      <c r="AD454" s="86"/>
      <c r="AE454" s="87">
        <f t="shared" si="55"/>
        <v>0</v>
      </c>
      <c r="AF454" s="85"/>
      <c r="AG454" s="81"/>
      <c r="AH454" s="86"/>
      <c r="AI454" s="63"/>
      <c r="AJ454" s="63"/>
      <c r="AK454" s="87">
        <f t="shared" si="52"/>
        <v>0</v>
      </c>
      <c r="AL454" s="86"/>
      <c r="AM454" s="86">
        <f t="shared" si="53"/>
        <v>0</v>
      </c>
      <c r="AN454" s="63" t="s">
        <v>1155</v>
      </c>
      <c r="AO454" s="86">
        <f t="shared" si="54"/>
        <v>0</v>
      </c>
      <c r="AP454" s="63"/>
      <c r="AQ454" s="63"/>
      <c r="AR454" s="63" t="s">
        <v>1157</v>
      </c>
      <c r="AS454" s="63"/>
      <c r="AT454" s="63"/>
      <c r="AU454" s="220"/>
      <c r="AV454" s="220"/>
      <c r="AW454" s="220"/>
    </row>
    <row r="455" spans="1:49" s="221" customFormat="1" ht="342" x14ac:dyDescent="0.25">
      <c r="A455" s="63">
        <v>41</v>
      </c>
      <c r="B455" s="63" t="str">
        <f t="shared" si="50"/>
        <v>3075-41</v>
      </c>
      <c r="C455" s="76" t="s">
        <v>1141</v>
      </c>
      <c r="D455" s="76" t="s">
        <v>1142</v>
      </c>
      <c r="E455" s="76" t="s">
        <v>1143</v>
      </c>
      <c r="F455" s="76" t="s">
        <v>1158</v>
      </c>
      <c r="G455" s="77" t="s">
        <v>1159</v>
      </c>
      <c r="H455" s="78" t="s">
        <v>1160</v>
      </c>
      <c r="I455" s="76" t="s">
        <v>1147</v>
      </c>
      <c r="J455" s="76" t="s">
        <v>1148</v>
      </c>
      <c r="K455" s="76">
        <v>801116</v>
      </c>
      <c r="L455" s="63" t="s">
        <v>1149</v>
      </c>
      <c r="M455" s="63" t="s">
        <v>58</v>
      </c>
      <c r="N455" s="63" t="s">
        <v>59</v>
      </c>
      <c r="O455" s="76" t="s">
        <v>1213</v>
      </c>
      <c r="P455" s="76" t="s">
        <v>1294</v>
      </c>
      <c r="Q455" s="83">
        <v>4120000</v>
      </c>
      <c r="R455" s="63">
        <v>2</v>
      </c>
      <c r="S455" s="80">
        <v>0</v>
      </c>
      <c r="T455" s="63"/>
      <c r="U455" s="63"/>
      <c r="V455" s="81"/>
      <c r="W455" s="82"/>
      <c r="X455" s="63"/>
      <c r="Y455" s="81"/>
      <c r="Z455" s="83"/>
      <c r="AA455" s="84"/>
      <c r="AB455" s="85"/>
      <c r="AC455" s="81"/>
      <c r="AD455" s="86"/>
      <c r="AE455" s="87">
        <f t="shared" si="55"/>
        <v>0</v>
      </c>
      <c r="AF455" s="85"/>
      <c r="AG455" s="81"/>
      <c r="AH455" s="86"/>
      <c r="AI455" s="63"/>
      <c r="AJ455" s="63"/>
      <c r="AK455" s="87">
        <f t="shared" si="52"/>
        <v>0</v>
      </c>
      <c r="AL455" s="86"/>
      <c r="AM455" s="86">
        <f t="shared" si="53"/>
        <v>0</v>
      </c>
      <c r="AN455" s="63" t="s">
        <v>1155</v>
      </c>
      <c r="AO455" s="86">
        <f t="shared" si="54"/>
        <v>0</v>
      </c>
      <c r="AP455" s="63"/>
      <c r="AQ455" s="63"/>
      <c r="AR455" s="63" t="s">
        <v>1157</v>
      </c>
      <c r="AS455" s="63"/>
      <c r="AT455" s="63"/>
      <c r="AU455" s="220"/>
      <c r="AV455" s="220"/>
      <c r="AW455" s="220"/>
    </row>
    <row r="456" spans="1:49" s="221" customFormat="1" ht="270.75" x14ac:dyDescent="0.25">
      <c r="A456" s="63">
        <v>42</v>
      </c>
      <c r="B456" s="63" t="str">
        <f t="shared" si="50"/>
        <v>3075-42</v>
      </c>
      <c r="C456" s="76" t="s">
        <v>1141</v>
      </c>
      <c r="D456" s="76" t="s">
        <v>1142</v>
      </c>
      <c r="E456" s="76" t="s">
        <v>1143</v>
      </c>
      <c r="F456" s="76" t="s">
        <v>1158</v>
      </c>
      <c r="G456" s="77" t="s">
        <v>1159</v>
      </c>
      <c r="H456" s="78" t="s">
        <v>1160</v>
      </c>
      <c r="I456" s="76" t="s">
        <v>1147</v>
      </c>
      <c r="J456" s="76" t="s">
        <v>1148</v>
      </c>
      <c r="K456" s="76">
        <v>801116</v>
      </c>
      <c r="L456" s="63" t="s">
        <v>1149</v>
      </c>
      <c r="M456" s="63" t="s">
        <v>58</v>
      </c>
      <c r="N456" s="63" t="s">
        <v>59</v>
      </c>
      <c r="O456" s="76" t="s">
        <v>1213</v>
      </c>
      <c r="P456" s="76" t="s">
        <v>1295</v>
      </c>
      <c r="Q456" s="83">
        <v>5036700</v>
      </c>
      <c r="R456" s="63">
        <v>1</v>
      </c>
      <c r="S456" s="80">
        <v>55403700</v>
      </c>
      <c r="T456" s="63" t="s">
        <v>888</v>
      </c>
      <c r="U456" s="63" t="s">
        <v>1163</v>
      </c>
      <c r="V456" s="81" t="s">
        <v>64</v>
      </c>
      <c r="W456" s="82">
        <v>11</v>
      </c>
      <c r="X456" s="63" t="s">
        <v>1296</v>
      </c>
      <c r="Y456" s="81">
        <v>43103</v>
      </c>
      <c r="Z456" s="83">
        <v>55403700</v>
      </c>
      <c r="AA456" s="84" t="s">
        <v>439</v>
      </c>
      <c r="AB456" s="85">
        <v>346</v>
      </c>
      <c r="AC456" s="81">
        <v>43110</v>
      </c>
      <c r="AD456" s="86">
        <v>55403700</v>
      </c>
      <c r="AE456" s="87">
        <f t="shared" si="55"/>
        <v>0</v>
      </c>
      <c r="AF456" s="85">
        <v>194</v>
      </c>
      <c r="AG456" s="81">
        <v>43118</v>
      </c>
      <c r="AH456" s="86">
        <v>55403700</v>
      </c>
      <c r="AI456" s="63" t="s">
        <v>1297</v>
      </c>
      <c r="AJ456" s="63">
        <v>162</v>
      </c>
      <c r="AK456" s="87">
        <f t="shared" si="52"/>
        <v>0</v>
      </c>
      <c r="AL456" s="86">
        <v>37271580</v>
      </c>
      <c r="AM456" s="86">
        <f t="shared" si="53"/>
        <v>18132120</v>
      </c>
      <c r="AN456" s="63" t="s">
        <v>1155</v>
      </c>
      <c r="AO456" s="86">
        <f t="shared" si="54"/>
        <v>0</v>
      </c>
      <c r="AP456" s="63"/>
      <c r="AQ456" s="63"/>
      <c r="AR456" s="63"/>
      <c r="AS456" s="63"/>
      <c r="AT456" s="63"/>
      <c r="AU456" s="220"/>
      <c r="AV456" s="220"/>
      <c r="AW456" s="220"/>
    </row>
    <row r="457" spans="1:49" s="221" customFormat="1" ht="285" x14ac:dyDescent="0.25">
      <c r="A457" s="63">
        <v>43</v>
      </c>
      <c r="B457" s="63" t="str">
        <f t="shared" si="50"/>
        <v>3075-43</v>
      </c>
      <c r="C457" s="76" t="s">
        <v>1141</v>
      </c>
      <c r="D457" s="76" t="s">
        <v>1142</v>
      </c>
      <c r="E457" s="76" t="s">
        <v>1143</v>
      </c>
      <c r="F457" s="76" t="s">
        <v>1158</v>
      </c>
      <c r="G457" s="77" t="s">
        <v>1159</v>
      </c>
      <c r="H457" s="78" t="s">
        <v>1160</v>
      </c>
      <c r="I457" s="76" t="s">
        <v>1147</v>
      </c>
      <c r="J457" s="76" t="s">
        <v>1148</v>
      </c>
      <c r="K457" s="76">
        <v>801116</v>
      </c>
      <c r="L457" s="63" t="s">
        <v>1149</v>
      </c>
      <c r="M457" s="63" t="s">
        <v>58</v>
      </c>
      <c r="N457" s="63" t="s">
        <v>59</v>
      </c>
      <c r="O457" s="76" t="s">
        <v>1213</v>
      </c>
      <c r="P457" s="76" t="s">
        <v>1298</v>
      </c>
      <c r="Q457" s="83">
        <v>5665000</v>
      </c>
      <c r="R457" s="63">
        <v>1</v>
      </c>
      <c r="S457" s="80">
        <v>45320000</v>
      </c>
      <c r="T457" s="63" t="s">
        <v>888</v>
      </c>
      <c r="U457" s="63" t="s">
        <v>1163</v>
      </c>
      <c r="V457" s="81" t="s">
        <v>64</v>
      </c>
      <c r="W457" s="82">
        <v>8</v>
      </c>
      <c r="X457" s="63" t="s">
        <v>1299</v>
      </c>
      <c r="Y457" s="81">
        <v>43103</v>
      </c>
      <c r="Z457" s="83">
        <v>45320000</v>
      </c>
      <c r="AA457" s="84" t="s">
        <v>439</v>
      </c>
      <c r="AB457" s="85">
        <v>355</v>
      </c>
      <c r="AC457" s="81">
        <v>43110</v>
      </c>
      <c r="AD457" s="86">
        <v>45320000</v>
      </c>
      <c r="AE457" s="87">
        <f t="shared" si="55"/>
        <v>0</v>
      </c>
      <c r="AF457" s="85">
        <v>139</v>
      </c>
      <c r="AG457" s="81">
        <v>43117</v>
      </c>
      <c r="AH457" s="86">
        <v>45320000</v>
      </c>
      <c r="AI457" s="63" t="s">
        <v>1300</v>
      </c>
      <c r="AJ457" s="63">
        <v>146</v>
      </c>
      <c r="AK457" s="87">
        <f t="shared" si="52"/>
        <v>0</v>
      </c>
      <c r="AL457" s="86">
        <v>42109833</v>
      </c>
      <c r="AM457" s="86">
        <f t="shared" si="53"/>
        <v>3210167</v>
      </c>
      <c r="AN457" s="63" t="s">
        <v>1155</v>
      </c>
      <c r="AO457" s="86">
        <f t="shared" si="54"/>
        <v>0</v>
      </c>
      <c r="AP457" s="63"/>
      <c r="AQ457" s="63"/>
      <c r="AR457" s="63"/>
      <c r="AS457" s="63"/>
      <c r="AT457" s="63"/>
      <c r="AU457" s="220"/>
      <c r="AV457" s="220"/>
      <c r="AW457" s="220"/>
    </row>
    <row r="458" spans="1:49" s="221" customFormat="1" ht="228" x14ac:dyDescent="0.25">
      <c r="A458" s="63">
        <v>44</v>
      </c>
      <c r="B458" s="63" t="str">
        <f t="shared" si="50"/>
        <v>3075-44</v>
      </c>
      <c r="C458" s="76" t="s">
        <v>1141</v>
      </c>
      <c r="D458" s="76" t="s">
        <v>1142</v>
      </c>
      <c r="E458" s="76" t="s">
        <v>1143</v>
      </c>
      <c r="F458" s="76" t="s">
        <v>1158</v>
      </c>
      <c r="G458" s="77" t="s">
        <v>1159</v>
      </c>
      <c r="H458" s="78" t="s">
        <v>1160</v>
      </c>
      <c r="I458" s="76" t="s">
        <v>1147</v>
      </c>
      <c r="J458" s="76" t="s">
        <v>1148</v>
      </c>
      <c r="K458" s="76">
        <v>801116</v>
      </c>
      <c r="L458" s="63" t="s">
        <v>1149</v>
      </c>
      <c r="M458" s="63" t="s">
        <v>58</v>
      </c>
      <c r="N458" s="63" t="s">
        <v>59</v>
      </c>
      <c r="O458" s="76" t="s">
        <v>1213</v>
      </c>
      <c r="P458" s="76" t="s">
        <v>1301</v>
      </c>
      <c r="Q458" s="83">
        <v>8240000</v>
      </c>
      <c r="R458" s="63">
        <v>2</v>
      </c>
      <c r="S458" s="80">
        <v>0</v>
      </c>
      <c r="T458" s="63"/>
      <c r="U458" s="63"/>
      <c r="V458" s="81"/>
      <c r="W458" s="82"/>
      <c r="X458" s="63"/>
      <c r="Y458" s="81"/>
      <c r="Z458" s="83"/>
      <c r="AA458" s="84"/>
      <c r="AB458" s="85"/>
      <c r="AC458" s="81"/>
      <c r="AD458" s="86"/>
      <c r="AE458" s="87">
        <f t="shared" si="55"/>
        <v>0</v>
      </c>
      <c r="AF458" s="85"/>
      <c r="AG458" s="81"/>
      <c r="AH458" s="86"/>
      <c r="AI458" s="63"/>
      <c r="AJ458" s="63"/>
      <c r="AK458" s="87">
        <f t="shared" si="52"/>
        <v>0</v>
      </c>
      <c r="AL458" s="86"/>
      <c r="AM458" s="86">
        <f t="shared" si="53"/>
        <v>0</v>
      </c>
      <c r="AN458" s="63" t="s">
        <v>1155</v>
      </c>
      <c r="AO458" s="86">
        <f t="shared" si="54"/>
        <v>0</v>
      </c>
      <c r="AP458" s="63"/>
      <c r="AQ458" s="63"/>
      <c r="AR458" s="63" t="s">
        <v>1157</v>
      </c>
      <c r="AS458" s="63"/>
      <c r="AT458" s="63"/>
      <c r="AU458" s="220"/>
      <c r="AV458" s="220"/>
      <c r="AW458" s="220"/>
    </row>
    <row r="459" spans="1:49" s="221" customFormat="1" ht="256.5" x14ac:dyDescent="0.25">
      <c r="A459" s="63">
        <v>45</v>
      </c>
      <c r="B459" s="63" t="str">
        <f t="shared" si="50"/>
        <v>3075-45</v>
      </c>
      <c r="C459" s="76" t="s">
        <v>1141</v>
      </c>
      <c r="D459" s="76" t="s">
        <v>1142</v>
      </c>
      <c r="E459" s="76" t="s">
        <v>1143</v>
      </c>
      <c r="F459" s="76" t="s">
        <v>1158</v>
      </c>
      <c r="G459" s="77" t="s">
        <v>1159</v>
      </c>
      <c r="H459" s="78" t="s">
        <v>1160</v>
      </c>
      <c r="I459" s="76" t="s">
        <v>1147</v>
      </c>
      <c r="J459" s="76" t="s">
        <v>1148</v>
      </c>
      <c r="K459" s="76">
        <v>801116</v>
      </c>
      <c r="L459" s="63" t="s">
        <v>1149</v>
      </c>
      <c r="M459" s="63" t="s">
        <v>58</v>
      </c>
      <c r="N459" s="63" t="s">
        <v>59</v>
      </c>
      <c r="O459" s="76" t="s">
        <v>1213</v>
      </c>
      <c r="P459" s="76" t="s">
        <v>1302</v>
      </c>
      <c r="Q459" s="83">
        <v>8240000</v>
      </c>
      <c r="R459" s="63">
        <v>1</v>
      </c>
      <c r="S459" s="80">
        <v>90640000</v>
      </c>
      <c r="T459" s="63" t="s">
        <v>888</v>
      </c>
      <c r="U459" s="63" t="s">
        <v>1163</v>
      </c>
      <c r="V459" s="81" t="s">
        <v>64</v>
      </c>
      <c r="W459" s="82">
        <v>11</v>
      </c>
      <c r="X459" s="63" t="s">
        <v>1303</v>
      </c>
      <c r="Y459" s="81">
        <v>43103</v>
      </c>
      <c r="Z459" s="83">
        <v>90640000</v>
      </c>
      <c r="AA459" s="84" t="s">
        <v>439</v>
      </c>
      <c r="AB459" s="85">
        <v>364</v>
      </c>
      <c r="AC459" s="81">
        <v>43110</v>
      </c>
      <c r="AD459" s="86">
        <v>90640000</v>
      </c>
      <c r="AE459" s="87">
        <f t="shared" si="55"/>
        <v>0</v>
      </c>
      <c r="AF459" s="85">
        <v>116</v>
      </c>
      <c r="AG459" s="81">
        <v>43117</v>
      </c>
      <c r="AH459" s="86">
        <v>90640000</v>
      </c>
      <c r="AI459" s="63" t="s">
        <v>1304</v>
      </c>
      <c r="AJ459" s="63">
        <v>94</v>
      </c>
      <c r="AK459" s="87">
        <f t="shared" si="52"/>
        <v>0</v>
      </c>
      <c r="AL459" s="86">
        <v>61525334</v>
      </c>
      <c r="AM459" s="86">
        <f t="shared" si="53"/>
        <v>29114666</v>
      </c>
      <c r="AN459" s="63" t="s">
        <v>1155</v>
      </c>
      <c r="AO459" s="86">
        <f t="shared" si="54"/>
        <v>0</v>
      </c>
      <c r="AP459" s="63"/>
      <c r="AQ459" s="63"/>
      <c r="AR459" s="63"/>
      <c r="AS459" s="63"/>
      <c r="AT459" s="63"/>
      <c r="AU459" s="220"/>
      <c r="AV459" s="220"/>
      <c r="AW459" s="220"/>
    </row>
    <row r="460" spans="1:49" s="221" customFormat="1" ht="270.75" x14ac:dyDescent="0.25">
      <c r="A460" s="63">
        <v>46</v>
      </c>
      <c r="B460" s="63" t="str">
        <f t="shared" si="50"/>
        <v>3075-46</v>
      </c>
      <c r="C460" s="76" t="s">
        <v>1141</v>
      </c>
      <c r="D460" s="76" t="s">
        <v>1142</v>
      </c>
      <c r="E460" s="76" t="s">
        <v>1305</v>
      </c>
      <c r="F460" s="76" t="s">
        <v>1158</v>
      </c>
      <c r="G460" s="77" t="s">
        <v>1159</v>
      </c>
      <c r="H460" s="78" t="s">
        <v>1160</v>
      </c>
      <c r="I460" s="76" t="s">
        <v>1147</v>
      </c>
      <c r="J460" s="76" t="s">
        <v>1148</v>
      </c>
      <c r="K460" s="76">
        <v>801116</v>
      </c>
      <c r="L460" s="63" t="s">
        <v>1149</v>
      </c>
      <c r="M460" s="63" t="s">
        <v>58</v>
      </c>
      <c r="N460" s="63" t="s">
        <v>59</v>
      </c>
      <c r="O460" s="76" t="s">
        <v>1213</v>
      </c>
      <c r="P460" s="76" t="s">
        <v>1306</v>
      </c>
      <c r="Q460" s="83">
        <v>8240000</v>
      </c>
      <c r="R460" s="63">
        <v>1</v>
      </c>
      <c r="S460" s="80">
        <v>90640000</v>
      </c>
      <c r="T460" s="63" t="s">
        <v>888</v>
      </c>
      <c r="U460" s="63" t="s">
        <v>1163</v>
      </c>
      <c r="V460" s="81" t="s">
        <v>64</v>
      </c>
      <c r="W460" s="82">
        <v>11</v>
      </c>
      <c r="X460" s="63" t="s">
        <v>1307</v>
      </c>
      <c r="Y460" s="81">
        <v>43103</v>
      </c>
      <c r="Z460" s="83">
        <v>90640000</v>
      </c>
      <c r="AA460" s="84" t="s">
        <v>439</v>
      </c>
      <c r="AB460" s="85">
        <v>319</v>
      </c>
      <c r="AC460" s="81">
        <v>43110</v>
      </c>
      <c r="AD460" s="86">
        <v>90640000</v>
      </c>
      <c r="AE460" s="87">
        <f t="shared" si="55"/>
        <v>0</v>
      </c>
      <c r="AF460" s="85">
        <v>127</v>
      </c>
      <c r="AG460" s="81">
        <v>43117</v>
      </c>
      <c r="AH460" s="86">
        <v>90640000</v>
      </c>
      <c r="AI460" s="63" t="s">
        <v>1308</v>
      </c>
      <c r="AJ460" s="63">
        <v>119</v>
      </c>
      <c r="AK460" s="87">
        <f t="shared" si="52"/>
        <v>0</v>
      </c>
      <c r="AL460" s="86">
        <v>61250667</v>
      </c>
      <c r="AM460" s="86">
        <f t="shared" si="53"/>
        <v>29389333</v>
      </c>
      <c r="AN460" s="63" t="s">
        <v>1155</v>
      </c>
      <c r="AO460" s="86">
        <f t="shared" si="54"/>
        <v>0</v>
      </c>
      <c r="AP460" s="63"/>
      <c r="AQ460" s="63"/>
      <c r="AR460" s="63"/>
      <c r="AS460" s="63"/>
      <c r="AT460" s="63"/>
      <c r="AU460" s="220"/>
      <c r="AV460" s="220"/>
      <c r="AW460" s="220"/>
    </row>
    <row r="461" spans="1:49" s="221" customFormat="1" ht="242.25" x14ac:dyDescent="0.25">
      <c r="A461" s="63">
        <v>47</v>
      </c>
      <c r="B461" s="63" t="str">
        <f t="shared" si="50"/>
        <v>3075-47</v>
      </c>
      <c r="C461" s="76" t="s">
        <v>1141</v>
      </c>
      <c r="D461" s="76" t="s">
        <v>1142</v>
      </c>
      <c r="E461" s="76" t="s">
        <v>1143</v>
      </c>
      <c r="F461" s="76" t="s">
        <v>1158</v>
      </c>
      <c r="G461" s="77" t="s">
        <v>1159</v>
      </c>
      <c r="H461" s="78" t="s">
        <v>1160</v>
      </c>
      <c r="I461" s="76" t="s">
        <v>1147</v>
      </c>
      <c r="J461" s="76" t="s">
        <v>1148</v>
      </c>
      <c r="K461" s="76">
        <v>801116</v>
      </c>
      <c r="L461" s="63" t="s">
        <v>1149</v>
      </c>
      <c r="M461" s="63" t="s">
        <v>58</v>
      </c>
      <c r="N461" s="63" t="s">
        <v>59</v>
      </c>
      <c r="O461" s="76" t="s">
        <v>1213</v>
      </c>
      <c r="P461" s="76" t="s">
        <v>1309</v>
      </c>
      <c r="Q461" s="83">
        <v>6180000</v>
      </c>
      <c r="R461" s="63">
        <v>1</v>
      </c>
      <c r="S461" s="80">
        <v>61800000</v>
      </c>
      <c r="T461" s="63" t="s">
        <v>888</v>
      </c>
      <c r="U461" s="63" t="s">
        <v>1163</v>
      </c>
      <c r="V461" s="81" t="s">
        <v>64</v>
      </c>
      <c r="W461" s="82">
        <v>10</v>
      </c>
      <c r="X461" s="63" t="s">
        <v>1310</v>
      </c>
      <c r="Y461" s="81">
        <v>43103</v>
      </c>
      <c r="Z461" s="83">
        <v>61800000</v>
      </c>
      <c r="AA461" s="84" t="s">
        <v>439</v>
      </c>
      <c r="AB461" s="85">
        <v>329</v>
      </c>
      <c r="AC461" s="81">
        <v>43110</v>
      </c>
      <c r="AD461" s="86">
        <v>61800000</v>
      </c>
      <c r="AE461" s="87">
        <f t="shared" si="55"/>
        <v>0</v>
      </c>
      <c r="AF461" s="85">
        <v>389</v>
      </c>
      <c r="AG461" s="81">
        <v>43124</v>
      </c>
      <c r="AH461" s="86">
        <v>61800000</v>
      </c>
      <c r="AI461" s="63" t="s">
        <v>1311</v>
      </c>
      <c r="AJ461" s="63">
        <v>312</v>
      </c>
      <c r="AK461" s="87">
        <f t="shared" si="52"/>
        <v>0</v>
      </c>
      <c r="AL461" s="86">
        <v>44702000</v>
      </c>
      <c r="AM461" s="86">
        <f t="shared" si="53"/>
        <v>17098000</v>
      </c>
      <c r="AN461" s="63" t="s">
        <v>1155</v>
      </c>
      <c r="AO461" s="86">
        <f t="shared" si="54"/>
        <v>0</v>
      </c>
      <c r="AP461" s="63"/>
      <c r="AQ461" s="63"/>
      <c r="AR461" s="63"/>
      <c r="AS461" s="63"/>
      <c r="AT461" s="63"/>
      <c r="AU461" s="220"/>
      <c r="AV461" s="220"/>
      <c r="AW461" s="220"/>
    </row>
    <row r="462" spans="1:49" s="221" customFormat="1" ht="409.5" x14ac:dyDescent="0.25">
      <c r="A462" s="63">
        <v>48</v>
      </c>
      <c r="B462" s="63" t="str">
        <f t="shared" si="50"/>
        <v>3075-48</v>
      </c>
      <c r="C462" s="76" t="s">
        <v>1141</v>
      </c>
      <c r="D462" s="76" t="s">
        <v>1142</v>
      </c>
      <c r="E462" s="76" t="s">
        <v>1143</v>
      </c>
      <c r="F462" s="76" t="s">
        <v>1158</v>
      </c>
      <c r="G462" s="77" t="s">
        <v>1159</v>
      </c>
      <c r="H462" s="78" t="s">
        <v>1160</v>
      </c>
      <c r="I462" s="76" t="s">
        <v>1147</v>
      </c>
      <c r="J462" s="76" t="s">
        <v>1148</v>
      </c>
      <c r="K462" s="76">
        <v>801116</v>
      </c>
      <c r="L462" s="63" t="s">
        <v>1149</v>
      </c>
      <c r="M462" s="63" t="s">
        <v>58</v>
      </c>
      <c r="N462" s="63" t="s">
        <v>59</v>
      </c>
      <c r="O462" s="76" t="s">
        <v>1213</v>
      </c>
      <c r="P462" s="76" t="s">
        <v>1312</v>
      </c>
      <c r="Q462" s="83">
        <v>5036700</v>
      </c>
      <c r="R462" s="63">
        <v>2</v>
      </c>
      <c r="S462" s="80">
        <v>50367000</v>
      </c>
      <c r="T462" s="63" t="s">
        <v>888</v>
      </c>
      <c r="U462" s="63" t="s">
        <v>1163</v>
      </c>
      <c r="V462" s="81" t="s">
        <v>64</v>
      </c>
      <c r="W462" s="82">
        <v>10</v>
      </c>
      <c r="X462" s="63" t="s">
        <v>1313</v>
      </c>
      <c r="Y462" s="81">
        <v>43111</v>
      </c>
      <c r="Z462" s="83">
        <v>50367000</v>
      </c>
      <c r="AA462" s="84" t="s">
        <v>1314</v>
      </c>
      <c r="AB462" s="85">
        <v>453</v>
      </c>
      <c r="AC462" s="81">
        <v>43111</v>
      </c>
      <c r="AD462" s="86">
        <v>50367000</v>
      </c>
      <c r="AE462" s="87">
        <f t="shared" si="55"/>
        <v>0</v>
      </c>
      <c r="AF462" s="85">
        <v>419</v>
      </c>
      <c r="AG462" s="81">
        <v>43124</v>
      </c>
      <c r="AH462" s="86">
        <v>50367000</v>
      </c>
      <c r="AI462" s="63" t="s">
        <v>1315</v>
      </c>
      <c r="AJ462" s="63">
        <v>368</v>
      </c>
      <c r="AK462" s="87">
        <f t="shared" si="52"/>
        <v>0</v>
      </c>
      <c r="AL462" s="86">
        <v>36264240</v>
      </c>
      <c r="AM462" s="86">
        <f t="shared" si="53"/>
        <v>14102760</v>
      </c>
      <c r="AN462" s="63" t="s">
        <v>1155</v>
      </c>
      <c r="AO462" s="86">
        <f t="shared" si="54"/>
        <v>0</v>
      </c>
      <c r="AP462" s="63" t="s">
        <v>1316</v>
      </c>
      <c r="AQ462" s="63"/>
      <c r="AR462" s="63"/>
      <c r="AS462" s="63"/>
      <c r="AT462" s="63"/>
      <c r="AU462" s="220"/>
      <c r="AV462" s="220"/>
      <c r="AW462" s="220"/>
    </row>
    <row r="463" spans="1:49" s="221" customFormat="1" ht="285" x14ac:dyDescent="0.25">
      <c r="A463" s="63">
        <v>49</v>
      </c>
      <c r="B463" s="63" t="str">
        <f t="shared" si="50"/>
        <v>3075-49</v>
      </c>
      <c r="C463" s="76" t="s">
        <v>1141</v>
      </c>
      <c r="D463" s="76" t="s">
        <v>1142</v>
      </c>
      <c r="E463" s="76" t="s">
        <v>1143</v>
      </c>
      <c r="F463" s="76" t="s">
        <v>1158</v>
      </c>
      <c r="G463" s="77" t="s">
        <v>1159</v>
      </c>
      <c r="H463" s="78" t="s">
        <v>1160</v>
      </c>
      <c r="I463" s="76" t="s">
        <v>1147</v>
      </c>
      <c r="J463" s="76" t="s">
        <v>1148</v>
      </c>
      <c r="K463" s="76">
        <v>801116</v>
      </c>
      <c r="L463" s="63" t="s">
        <v>1149</v>
      </c>
      <c r="M463" s="63" t="s">
        <v>58</v>
      </c>
      <c r="N463" s="63" t="s">
        <v>59</v>
      </c>
      <c r="O463" s="76" t="s">
        <v>1213</v>
      </c>
      <c r="P463" s="76" t="s">
        <v>1317</v>
      </c>
      <c r="Q463" s="83">
        <v>8240000</v>
      </c>
      <c r="R463" s="63">
        <v>1</v>
      </c>
      <c r="S463" s="80">
        <v>82400000</v>
      </c>
      <c r="T463" s="63" t="s">
        <v>888</v>
      </c>
      <c r="U463" s="63" t="s">
        <v>1163</v>
      </c>
      <c r="V463" s="81" t="s">
        <v>64</v>
      </c>
      <c r="W463" s="82">
        <v>10</v>
      </c>
      <c r="X463" s="63" t="s">
        <v>1318</v>
      </c>
      <c r="Y463" s="81">
        <v>43103</v>
      </c>
      <c r="Z463" s="83">
        <v>82400000</v>
      </c>
      <c r="AA463" s="84" t="s">
        <v>439</v>
      </c>
      <c r="AB463" s="85">
        <v>363</v>
      </c>
      <c r="AC463" s="81">
        <v>43110</v>
      </c>
      <c r="AD463" s="86">
        <v>82400000</v>
      </c>
      <c r="AE463" s="87">
        <f t="shared" si="55"/>
        <v>0</v>
      </c>
      <c r="AF463" s="85">
        <v>450</v>
      </c>
      <c r="AG463" s="81">
        <v>43125</v>
      </c>
      <c r="AH463" s="86">
        <v>82400000</v>
      </c>
      <c r="AI463" s="63" t="s">
        <v>1319</v>
      </c>
      <c r="AJ463" s="63">
        <v>386</v>
      </c>
      <c r="AK463" s="87">
        <f t="shared" si="52"/>
        <v>0</v>
      </c>
      <c r="AL463" s="86">
        <v>59328000</v>
      </c>
      <c r="AM463" s="86">
        <f t="shared" si="53"/>
        <v>23072000</v>
      </c>
      <c r="AN463" s="63" t="s">
        <v>1155</v>
      </c>
      <c r="AO463" s="86">
        <f t="shared" si="54"/>
        <v>0</v>
      </c>
      <c r="AP463" s="63"/>
      <c r="AQ463" s="63"/>
      <c r="AR463" s="63"/>
      <c r="AS463" s="63"/>
      <c r="AT463" s="63"/>
      <c r="AU463" s="220"/>
      <c r="AV463" s="220"/>
      <c r="AW463" s="220"/>
    </row>
    <row r="464" spans="1:49" s="221" customFormat="1" ht="199.5" x14ac:dyDescent="0.25">
      <c r="A464" s="63">
        <v>50</v>
      </c>
      <c r="B464" s="63" t="str">
        <f t="shared" si="50"/>
        <v>3075-50</v>
      </c>
      <c r="C464" s="76" t="s">
        <v>1141</v>
      </c>
      <c r="D464" s="76" t="s">
        <v>1142</v>
      </c>
      <c r="E464" s="76" t="s">
        <v>1143</v>
      </c>
      <c r="F464" s="76" t="s">
        <v>1158</v>
      </c>
      <c r="G464" s="77" t="s">
        <v>1159</v>
      </c>
      <c r="H464" s="78" t="s">
        <v>1160</v>
      </c>
      <c r="I464" s="76" t="s">
        <v>1147</v>
      </c>
      <c r="J464" s="76" t="s">
        <v>1148</v>
      </c>
      <c r="K464" s="76">
        <v>801116</v>
      </c>
      <c r="L464" s="63" t="s">
        <v>1149</v>
      </c>
      <c r="M464" s="63" t="s">
        <v>58</v>
      </c>
      <c r="N464" s="63" t="s">
        <v>59</v>
      </c>
      <c r="O464" s="76" t="s">
        <v>1213</v>
      </c>
      <c r="P464" s="76" t="s">
        <v>1320</v>
      </c>
      <c r="Q464" s="83">
        <v>7210000</v>
      </c>
      <c r="R464" s="63">
        <v>1</v>
      </c>
      <c r="S464" s="80">
        <f>72100000-25183500-20600000-5922500</f>
        <v>20394000</v>
      </c>
      <c r="T464" s="63" t="s">
        <v>888</v>
      </c>
      <c r="U464" s="63" t="s">
        <v>1163</v>
      </c>
      <c r="V464" s="81" t="s">
        <v>64</v>
      </c>
      <c r="W464" s="82">
        <v>10</v>
      </c>
      <c r="X464" s="63" t="s">
        <v>1321</v>
      </c>
      <c r="Y464" s="81">
        <v>43124</v>
      </c>
      <c r="Z464" s="83">
        <v>20394000</v>
      </c>
      <c r="AA464" s="84" t="s">
        <v>439</v>
      </c>
      <c r="AB464" s="85">
        <v>564</v>
      </c>
      <c r="AC464" s="81">
        <v>43124</v>
      </c>
      <c r="AD464" s="86">
        <v>20394000</v>
      </c>
      <c r="AE464" s="87">
        <f t="shared" si="55"/>
        <v>0</v>
      </c>
      <c r="AF464" s="85">
        <v>484</v>
      </c>
      <c r="AG464" s="81">
        <v>43126</v>
      </c>
      <c r="AH464" s="86">
        <v>20394000</v>
      </c>
      <c r="AI464" s="63" t="s">
        <v>1322</v>
      </c>
      <c r="AJ464" s="63">
        <v>406</v>
      </c>
      <c r="AK464" s="87">
        <f t="shared" si="52"/>
        <v>0</v>
      </c>
      <c r="AL464" s="86">
        <v>20394000</v>
      </c>
      <c r="AM464" s="86">
        <f t="shared" si="53"/>
        <v>0</v>
      </c>
      <c r="AN464" s="63" t="s">
        <v>1155</v>
      </c>
      <c r="AO464" s="86">
        <f t="shared" si="54"/>
        <v>0</v>
      </c>
      <c r="AP464" s="63" t="s">
        <v>1323</v>
      </c>
      <c r="AQ464" s="63"/>
      <c r="AR464" s="63"/>
      <c r="AS464" s="63"/>
      <c r="AT464" s="63"/>
      <c r="AU464" s="220"/>
      <c r="AV464" s="220"/>
      <c r="AW464" s="220"/>
    </row>
    <row r="465" spans="1:49" s="221" customFormat="1" ht="342" x14ac:dyDescent="0.25">
      <c r="A465" s="63">
        <v>51</v>
      </c>
      <c r="B465" s="63" t="str">
        <f t="shared" si="50"/>
        <v>3075-51</v>
      </c>
      <c r="C465" s="76" t="s">
        <v>1141</v>
      </c>
      <c r="D465" s="76" t="s">
        <v>1142</v>
      </c>
      <c r="E465" s="76" t="s">
        <v>1143</v>
      </c>
      <c r="F465" s="76" t="s">
        <v>1158</v>
      </c>
      <c r="G465" s="77" t="s">
        <v>1159</v>
      </c>
      <c r="H465" s="78" t="s">
        <v>1160</v>
      </c>
      <c r="I465" s="76" t="s">
        <v>1147</v>
      </c>
      <c r="J465" s="76" t="s">
        <v>1148</v>
      </c>
      <c r="K465" s="76">
        <v>801116</v>
      </c>
      <c r="L465" s="63" t="s">
        <v>1149</v>
      </c>
      <c r="M465" s="63" t="s">
        <v>58</v>
      </c>
      <c r="N465" s="63" t="s">
        <v>59</v>
      </c>
      <c r="O465" s="76" t="s">
        <v>1213</v>
      </c>
      <c r="P465" s="76" t="s">
        <v>1324</v>
      </c>
      <c r="Q465" s="83">
        <v>6180000</v>
      </c>
      <c r="R465" s="63">
        <v>1</v>
      </c>
      <c r="S465" s="80">
        <v>57783000</v>
      </c>
      <c r="T465" s="63" t="s">
        <v>888</v>
      </c>
      <c r="U465" s="63" t="s">
        <v>1163</v>
      </c>
      <c r="V465" s="81" t="s">
        <v>64</v>
      </c>
      <c r="W465" s="82">
        <v>11.5</v>
      </c>
      <c r="X465" s="63" t="s">
        <v>1325</v>
      </c>
      <c r="Y465" s="81">
        <v>43110</v>
      </c>
      <c r="Z465" s="83">
        <v>57783000</v>
      </c>
      <c r="AA465" s="84" t="s">
        <v>439</v>
      </c>
      <c r="AB465" s="85">
        <v>450</v>
      </c>
      <c r="AC465" s="81">
        <v>43111</v>
      </c>
      <c r="AD465" s="86">
        <v>57783000</v>
      </c>
      <c r="AE465" s="87">
        <f t="shared" si="55"/>
        <v>0</v>
      </c>
      <c r="AF465" s="85">
        <v>263</v>
      </c>
      <c r="AG465" s="81">
        <v>43119</v>
      </c>
      <c r="AH465" s="86">
        <v>57783000</v>
      </c>
      <c r="AI465" s="63" t="s">
        <v>1326</v>
      </c>
      <c r="AJ465" s="63">
        <v>229</v>
      </c>
      <c r="AK465" s="87">
        <f t="shared" si="52"/>
        <v>0</v>
      </c>
      <c r="AL465" s="86">
        <v>38522000</v>
      </c>
      <c r="AM465" s="86">
        <f t="shared" si="53"/>
        <v>19261000</v>
      </c>
      <c r="AN465" s="63" t="s">
        <v>1155</v>
      </c>
      <c r="AO465" s="86">
        <f t="shared" si="54"/>
        <v>0</v>
      </c>
      <c r="AP465" s="63"/>
      <c r="AQ465" s="63"/>
      <c r="AR465" s="63"/>
      <c r="AS465" s="63"/>
      <c r="AT465" s="63"/>
      <c r="AU465" s="220"/>
      <c r="AV465" s="220"/>
      <c r="AW465" s="220"/>
    </row>
    <row r="466" spans="1:49" s="221" customFormat="1" ht="342" x14ac:dyDescent="0.25">
      <c r="A466" s="63">
        <v>52</v>
      </c>
      <c r="B466" s="63" t="str">
        <f t="shared" si="50"/>
        <v>3075-52</v>
      </c>
      <c r="C466" s="76" t="s">
        <v>1141</v>
      </c>
      <c r="D466" s="76" t="s">
        <v>1142</v>
      </c>
      <c r="E466" s="76" t="s">
        <v>1143</v>
      </c>
      <c r="F466" s="76" t="s">
        <v>1158</v>
      </c>
      <c r="G466" s="77" t="s">
        <v>1159</v>
      </c>
      <c r="H466" s="78" t="s">
        <v>1160</v>
      </c>
      <c r="I466" s="76" t="s">
        <v>1147</v>
      </c>
      <c r="J466" s="76" t="s">
        <v>1148</v>
      </c>
      <c r="K466" s="76">
        <v>801116</v>
      </c>
      <c r="L466" s="63" t="s">
        <v>1149</v>
      </c>
      <c r="M466" s="63" t="s">
        <v>58</v>
      </c>
      <c r="N466" s="63" t="s">
        <v>59</v>
      </c>
      <c r="O466" s="76" t="s">
        <v>1213</v>
      </c>
      <c r="P466" s="76" t="s">
        <v>1324</v>
      </c>
      <c r="Q466" s="83">
        <v>4532000</v>
      </c>
      <c r="R466" s="63">
        <v>1</v>
      </c>
      <c r="S466" s="80">
        <f>47380000-17767500-4532000-360500</f>
        <v>24720000</v>
      </c>
      <c r="T466" s="63" t="s">
        <v>888</v>
      </c>
      <c r="U466" s="63" t="s">
        <v>1163</v>
      </c>
      <c r="V466" s="81" t="s">
        <v>64</v>
      </c>
      <c r="W466" s="82">
        <v>11.5</v>
      </c>
      <c r="X466" s="63" t="s">
        <v>1327</v>
      </c>
      <c r="Y466" s="81">
        <v>43109</v>
      </c>
      <c r="Z466" s="83">
        <f>47380000-17767500-4532000-360500</f>
        <v>24720000</v>
      </c>
      <c r="AA466" s="84" t="s">
        <v>439</v>
      </c>
      <c r="AB466" s="85">
        <v>430</v>
      </c>
      <c r="AC466" s="81">
        <v>43111</v>
      </c>
      <c r="AD466" s="86">
        <v>24720000</v>
      </c>
      <c r="AE466" s="87">
        <f t="shared" si="55"/>
        <v>0</v>
      </c>
      <c r="AF466" s="85">
        <v>228</v>
      </c>
      <c r="AG466" s="81">
        <v>43118</v>
      </c>
      <c r="AH466" s="86">
        <v>24720000</v>
      </c>
      <c r="AI466" s="63" t="s">
        <v>1328</v>
      </c>
      <c r="AJ466" s="63">
        <v>161</v>
      </c>
      <c r="AK466" s="87">
        <f t="shared" si="52"/>
        <v>0</v>
      </c>
      <c r="AL466" s="86">
        <v>24720000</v>
      </c>
      <c r="AM466" s="86">
        <f t="shared" si="53"/>
        <v>0</v>
      </c>
      <c r="AN466" s="63" t="s">
        <v>1155</v>
      </c>
      <c r="AO466" s="86">
        <f t="shared" si="54"/>
        <v>0</v>
      </c>
      <c r="AP466" s="63"/>
      <c r="AQ466" s="63"/>
      <c r="AR466" s="63"/>
      <c r="AS466" s="63"/>
      <c r="AT466" s="63"/>
      <c r="AU466" s="220"/>
      <c r="AV466" s="220"/>
      <c r="AW466" s="220"/>
    </row>
    <row r="467" spans="1:49" s="221" customFormat="1" ht="256.5" x14ac:dyDescent="0.25">
      <c r="A467" s="63">
        <v>53</v>
      </c>
      <c r="B467" s="63" t="str">
        <f t="shared" si="50"/>
        <v>3075-53</v>
      </c>
      <c r="C467" s="76" t="s">
        <v>1141</v>
      </c>
      <c r="D467" s="76" t="s">
        <v>1142</v>
      </c>
      <c r="E467" s="76" t="s">
        <v>1143</v>
      </c>
      <c r="F467" s="76" t="s">
        <v>1158</v>
      </c>
      <c r="G467" s="77" t="s">
        <v>1159</v>
      </c>
      <c r="H467" s="78" t="s">
        <v>1160</v>
      </c>
      <c r="I467" s="76" t="s">
        <v>1147</v>
      </c>
      <c r="J467" s="76" t="s">
        <v>1148</v>
      </c>
      <c r="K467" s="76">
        <v>801116</v>
      </c>
      <c r="L467" s="63" t="s">
        <v>1149</v>
      </c>
      <c r="M467" s="63" t="s">
        <v>58</v>
      </c>
      <c r="N467" s="63" t="s">
        <v>59</v>
      </c>
      <c r="O467" s="76" t="s">
        <v>1213</v>
      </c>
      <c r="P467" s="76" t="s">
        <v>1329</v>
      </c>
      <c r="Q467" s="83">
        <v>5036700</v>
      </c>
      <c r="R467" s="63">
        <v>1</v>
      </c>
      <c r="S467" s="80">
        <v>45330300</v>
      </c>
      <c r="T467" s="63" t="s">
        <v>888</v>
      </c>
      <c r="U467" s="63" t="s">
        <v>1163</v>
      </c>
      <c r="V467" s="81" t="s">
        <v>64</v>
      </c>
      <c r="W467" s="82">
        <v>9</v>
      </c>
      <c r="X467" s="63" t="s">
        <v>1330</v>
      </c>
      <c r="Y467" s="81">
        <v>43103</v>
      </c>
      <c r="Z467" s="83">
        <v>45330300</v>
      </c>
      <c r="AA467" s="84" t="s">
        <v>439</v>
      </c>
      <c r="AB467" s="85">
        <v>360</v>
      </c>
      <c r="AC467" s="81">
        <v>43110</v>
      </c>
      <c r="AD467" s="86">
        <v>45330300</v>
      </c>
      <c r="AE467" s="87">
        <f t="shared" si="55"/>
        <v>0</v>
      </c>
      <c r="AF467" s="85">
        <v>125</v>
      </c>
      <c r="AG467" s="81">
        <v>43117</v>
      </c>
      <c r="AH467" s="86">
        <v>45330300</v>
      </c>
      <c r="AI467" s="63" t="s">
        <v>1331</v>
      </c>
      <c r="AJ467" s="63">
        <v>110</v>
      </c>
      <c r="AK467" s="87">
        <f t="shared" si="52"/>
        <v>0</v>
      </c>
      <c r="AL467" s="86">
        <v>37439470</v>
      </c>
      <c r="AM467" s="86">
        <f t="shared" si="53"/>
        <v>7890830</v>
      </c>
      <c r="AN467" s="63" t="s">
        <v>1155</v>
      </c>
      <c r="AO467" s="86">
        <f t="shared" si="54"/>
        <v>0</v>
      </c>
      <c r="AP467" s="63"/>
      <c r="AQ467" s="63"/>
      <c r="AR467" s="63"/>
      <c r="AS467" s="63"/>
      <c r="AT467" s="63"/>
      <c r="AU467" s="220"/>
      <c r="AV467" s="220"/>
      <c r="AW467" s="220"/>
    </row>
    <row r="468" spans="1:49" s="221" customFormat="1" ht="199.5" x14ac:dyDescent="0.25">
      <c r="A468" s="63">
        <v>54</v>
      </c>
      <c r="B468" s="63" t="str">
        <f t="shared" si="50"/>
        <v>3075-54</v>
      </c>
      <c r="C468" s="76" t="s">
        <v>1141</v>
      </c>
      <c r="D468" s="76" t="s">
        <v>1142</v>
      </c>
      <c r="E468" s="76" t="s">
        <v>1143</v>
      </c>
      <c r="F468" s="76" t="s">
        <v>1158</v>
      </c>
      <c r="G468" s="77" t="s">
        <v>1159</v>
      </c>
      <c r="H468" s="78" t="s">
        <v>1160</v>
      </c>
      <c r="I468" s="76" t="s">
        <v>1147</v>
      </c>
      <c r="J468" s="76" t="s">
        <v>1148</v>
      </c>
      <c r="K468" s="76">
        <v>801116</v>
      </c>
      <c r="L468" s="63" t="s">
        <v>1149</v>
      </c>
      <c r="M468" s="63" t="s">
        <v>58</v>
      </c>
      <c r="N468" s="63" t="s">
        <v>59</v>
      </c>
      <c r="O468" s="76" t="s">
        <v>1213</v>
      </c>
      <c r="P468" s="76" t="s">
        <v>1332</v>
      </c>
      <c r="Q468" s="83">
        <v>2060000</v>
      </c>
      <c r="R468" s="63">
        <v>1</v>
      </c>
      <c r="S468" s="80">
        <v>23690000</v>
      </c>
      <c r="T468" s="63" t="s">
        <v>888</v>
      </c>
      <c r="U468" s="63" t="s">
        <v>1163</v>
      </c>
      <c r="V468" s="81" t="s">
        <v>64</v>
      </c>
      <c r="W468" s="82">
        <v>11.5</v>
      </c>
      <c r="X468" s="63" t="s">
        <v>1333</v>
      </c>
      <c r="Y468" s="81">
        <v>43109</v>
      </c>
      <c r="Z468" s="83">
        <v>23690000</v>
      </c>
      <c r="AA468" s="84" t="s">
        <v>439</v>
      </c>
      <c r="AB468" s="85">
        <v>431</v>
      </c>
      <c r="AC468" s="81">
        <v>43111</v>
      </c>
      <c r="AD468" s="86">
        <v>23690000</v>
      </c>
      <c r="AE468" s="87">
        <f t="shared" si="55"/>
        <v>0</v>
      </c>
      <c r="AF468" s="85">
        <v>154</v>
      </c>
      <c r="AG468" s="81">
        <v>43117</v>
      </c>
      <c r="AH468" s="86">
        <v>23690000</v>
      </c>
      <c r="AI468" s="63" t="s">
        <v>324</v>
      </c>
      <c r="AJ468" s="63">
        <v>155</v>
      </c>
      <c r="AK468" s="87">
        <f t="shared" si="52"/>
        <v>0</v>
      </c>
      <c r="AL468" s="86">
        <v>15312666</v>
      </c>
      <c r="AM468" s="86">
        <f t="shared" si="53"/>
        <v>8377334</v>
      </c>
      <c r="AN468" s="63" t="s">
        <v>1155</v>
      </c>
      <c r="AO468" s="86">
        <f t="shared" si="54"/>
        <v>0</v>
      </c>
      <c r="AP468" s="63"/>
      <c r="AQ468" s="63"/>
      <c r="AR468" s="63"/>
      <c r="AS468" s="63"/>
      <c r="AT468" s="63"/>
      <c r="AU468" s="220"/>
      <c r="AV468" s="220"/>
      <c r="AW468" s="220"/>
    </row>
    <row r="469" spans="1:49" s="221" customFormat="1" ht="242.25" x14ac:dyDescent="0.25">
      <c r="A469" s="63">
        <v>55</v>
      </c>
      <c r="B469" s="63" t="str">
        <f t="shared" si="50"/>
        <v>3075-55</v>
      </c>
      <c r="C469" s="76" t="s">
        <v>1141</v>
      </c>
      <c r="D469" s="76" t="s">
        <v>1142</v>
      </c>
      <c r="E469" s="76" t="s">
        <v>1143</v>
      </c>
      <c r="F469" s="76" t="s">
        <v>1158</v>
      </c>
      <c r="G469" s="77" t="s">
        <v>1159</v>
      </c>
      <c r="H469" s="78" t="s">
        <v>1160</v>
      </c>
      <c r="I469" s="76" t="s">
        <v>1147</v>
      </c>
      <c r="J469" s="76" t="s">
        <v>1148</v>
      </c>
      <c r="K469" s="76">
        <v>801116</v>
      </c>
      <c r="L469" s="63" t="s">
        <v>1149</v>
      </c>
      <c r="M469" s="63" t="s">
        <v>58</v>
      </c>
      <c r="N469" s="63" t="s">
        <v>59</v>
      </c>
      <c r="O469" s="76" t="s">
        <v>1213</v>
      </c>
      <c r="P469" s="76" t="s">
        <v>1241</v>
      </c>
      <c r="Q469" s="83">
        <v>4120000</v>
      </c>
      <c r="R469" s="63">
        <v>3</v>
      </c>
      <c r="S469" s="80">
        <v>0</v>
      </c>
      <c r="T469" s="63"/>
      <c r="U469" s="63"/>
      <c r="V469" s="81"/>
      <c r="W469" s="82"/>
      <c r="X469" s="63"/>
      <c r="Y469" s="81"/>
      <c r="Z469" s="83"/>
      <c r="AA469" s="84"/>
      <c r="AB469" s="85"/>
      <c r="AC469" s="81"/>
      <c r="AD469" s="86"/>
      <c r="AE469" s="87">
        <f t="shared" si="55"/>
        <v>0</v>
      </c>
      <c r="AF469" s="85"/>
      <c r="AG469" s="81"/>
      <c r="AH469" s="86"/>
      <c r="AI469" s="63"/>
      <c r="AJ469" s="63"/>
      <c r="AK469" s="87">
        <f t="shared" si="52"/>
        <v>0</v>
      </c>
      <c r="AL469" s="86"/>
      <c r="AM469" s="86">
        <f t="shared" si="53"/>
        <v>0</v>
      </c>
      <c r="AN469" s="63" t="s">
        <v>1155</v>
      </c>
      <c r="AO469" s="86">
        <f t="shared" si="54"/>
        <v>0</v>
      </c>
      <c r="AP469" s="63"/>
      <c r="AQ469" s="63"/>
      <c r="AR469" s="63" t="s">
        <v>1157</v>
      </c>
      <c r="AS469" s="63"/>
      <c r="AT469" s="63"/>
      <c r="AU469" s="220"/>
      <c r="AV469" s="220"/>
      <c r="AW469" s="220"/>
    </row>
    <row r="470" spans="1:49" s="221" customFormat="1" ht="299.25" x14ac:dyDescent="0.25">
      <c r="A470" s="63">
        <v>56</v>
      </c>
      <c r="B470" s="63" t="str">
        <f t="shared" si="50"/>
        <v>3075-56</v>
      </c>
      <c r="C470" s="76" t="s">
        <v>1141</v>
      </c>
      <c r="D470" s="76" t="s">
        <v>1142</v>
      </c>
      <c r="E470" s="76" t="s">
        <v>1143</v>
      </c>
      <c r="F470" s="76" t="s">
        <v>1158</v>
      </c>
      <c r="G470" s="77" t="s">
        <v>1159</v>
      </c>
      <c r="H470" s="78" t="s">
        <v>1160</v>
      </c>
      <c r="I470" s="76" t="s">
        <v>1147</v>
      </c>
      <c r="J470" s="76" t="s">
        <v>1148</v>
      </c>
      <c r="K470" s="76">
        <v>801116</v>
      </c>
      <c r="L470" s="63" t="s">
        <v>1149</v>
      </c>
      <c r="M470" s="63" t="s">
        <v>58</v>
      </c>
      <c r="N470" s="63" t="s">
        <v>59</v>
      </c>
      <c r="O470" s="76" t="s">
        <v>1213</v>
      </c>
      <c r="P470" s="76" t="s">
        <v>1334</v>
      </c>
      <c r="Q470" s="83">
        <v>4120000</v>
      </c>
      <c r="R470" s="63">
        <v>1</v>
      </c>
      <c r="S470" s="80">
        <v>47380000</v>
      </c>
      <c r="T470" s="63" t="s">
        <v>888</v>
      </c>
      <c r="U470" s="63" t="s">
        <v>1163</v>
      </c>
      <c r="V470" s="81" t="s">
        <v>64</v>
      </c>
      <c r="W470" s="82">
        <v>11.5</v>
      </c>
      <c r="X470" s="63" t="s">
        <v>1335</v>
      </c>
      <c r="Y470" s="81">
        <v>43109</v>
      </c>
      <c r="Z470" s="83">
        <v>47380000</v>
      </c>
      <c r="AA470" s="84" t="s">
        <v>439</v>
      </c>
      <c r="AB470" s="85">
        <v>429</v>
      </c>
      <c r="AC470" s="81">
        <v>43111</v>
      </c>
      <c r="AD470" s="86">
        <v>47380000</v>
      </c>
      <c r="AE470" s="87">
        <f t="shared" si="55"/>
        <v>0</v>
      </c>
      <c r="AF470" s="85">
        <v>83</v>
      </c>
      <c r="AG470" s="81">
        <v>43116</v>
      </c>
      <c r="AH470" s="86">
        <v>47380000</v>
      </c>
      <c r="AI470" s="63" t="s">
        <v>855</v>
      </c>
      <c r="AJ470" s="63">
        <v>33</v>
      </c>
      <c r="AK470" s="87">
        <f t="shared" si="52"/>
        <v>0</v>
      </c>
      <c r="AL470" s="86">
        <v>30900000</v>
      </c>
      <c r="AM470" s="86">
        <f t="shared" si="53"/>
        <v>16480000</v>
      </c>
      <c r="AN470" s="63" t="s">
        <v>1155</v>
      </c>
      <c r="AO470" s="86">
        <f t="shared" si="54"/>
        <v>0</v>
      </c>
      <c r="AP470" s="63"/>
      <c r="AQ470" s="63"/>
      <c r="AR470" s="63"/>
      <c r="AS470" s="63"/>
      <c r="AT470" s="63"/>
      <c r="AU470" s="220"/>
      <c r="AV470" s="220"/>
      <c r="AW470" s="220"/>
    </row>
    <row r="471" spans="1:49" s="221" customFormat="1" ht="409.5" x14ac:dyDescent="0.25">
      <c r="A471" s="63">
        <v>57</v>
      </c>
      <c r="B471" s="63" t="str">
        <f t="shared" si="50"/>
        <v>3075-57</v>
      </c>
      <c r="C471" s="76" t="s">
        <v>1141</v>
      </c>
      <c r="D471" s="76" t="s">
        <v>1142</v>
      </c>
      <c r="E471" s="76" t="s">
        <v>1143</v>
      </c>
      <c r="F471" s="76" t="s">
        <v>1158</v>
      </c>
      <c r="G471" s="77" t="s">
        <v>1159</v>
      </c>
      <c r="H471" s="78" t="s">
        <v>1160</v>
      </c>
      <c r="I471" s="76" t="s">
        <v>1147</v>
      </c>
      <c r="J471" s="76" t="s">
        <v>1148</v>
      </c>
      <c r="K471" s="76">
        <v>801116</v>
      </c>
      <c r="L471" s="63" t="s">
        <v>1149</v>
      </c>
      <c r="M471" s="63" t="s">
        <v>58</v>
      </c>
      <c r="N471" s="63" t="s">
        <v>59</v>
      </c>
      <c r="O471" s="76" t="s">
        <v>1213</v>
      </c>
      <c r="P471" s="76" t="s">
        <v>1336</v>
      </c>
      <c r="Q471" s="83">
        <v>5098500</v>
      </c>
      <c r="R471" s="63">
        <v>1</v>
      </c>
      <c r="S471" s="80">
        <v>58632750</v>
      </c>
      <c r="T471" s="63" t="s">
        <v>888</v>
      </c>
      <c r="U471" s="63" t="s">
        <v>1163</v>
      </c>
      <c r="V471" s="81" t="s">
        <v>64</v>
      </c>
      <c r="W471" s="95">
        <v>11.5</v>
      </c>
      <c r="X471" s="63" t="s">
        <v>1337</v>
      </c>
      <c r="Y471" s="81">
        <v>43110</v>
      </c>
      <c r="Z471" s="83">
        <v>58632750</v>
      </c>
      <c r="AA471" s="84" t="s">
        <v>439</v>
      </c>
      <c r="AB471" s="85">
        <v>451</v>
      </c>
      <c r="AC471" s="81">
        <v>43111</v>
      </c>
      <c r="AD471" s="86">
        <v>58632750</v>
      </c>
      <c r="AE471" s="87">
        <f t="shared" si="55"/>
        <v>0</v>
      </c>
      <c r="AF471" s="85">
        <v>411</v>
      </c>
      <c r="AG471" s="81">
        <v>43124</v>
      </c>
      <c r="AH471" s="86">
        <v>58632750</v>
      </c>
      <c r="AI471" s="63" t="s">
        <v>366</v>
      </c>
      <c r="AJ471" s="63">
        <v>314</v>
      </c>
      <c r="AK471" s="87">
        <f t="shared" si="52"/>
        <v>0</v>
      </c>
      <c r="AL471" s="86">
        <v>41888000</v>
      </c>
      <c r="AM471" s="86">
        <f t="shared" si="53"/>
        <v>16744750</v>
      </c>
      <c r="AN471" s="63" t="s">
        <v>1155</v>
      </c>
      <c r="AO471" s="86">
        <f t="shared" si="54"/>
        <v>0</v>
      </c>
      <c r="AP471" s="63"/>
      <c r="AQ471" s="63"/>
      <c r="AR471" s="63"/>
      <c r="AS471" s="63"/>
      <c r="AT471" s="63"/>
      <c r="AU471" s="220"/>
      <c r="AV471" s="220"/>
      <c r="AW471" s="220"/>
    </row>
    <row r="472" spans="1:49" s="221" customFormat="1" ht="313.5" x14ac:dyDescent="0.25">
      <c r="A472" s="63">
        <v>58</v>
      </c>
      <c r="B472" s="63" t="str">
        <f t="shared" si="50"/>
        <v>3075-58</v>
      </c>
      <c r="C472" s="76" t="s">
        <v>1141</v>
      </c>
      <c r="D472" s="76" t="s">
        <v>1142</v>
      </c>
      <c r="E472" s="76" t="s">
        <v>1143</v>
      </c>
      <c r="F472" s="76" t="s">
        <v>1158</v>
      </c>
      <c r="G472" s="77" t="s">
        <v>1159</v>
      </c>
      <c r="H472" s="78" t="s">
        <v>1160</v>
      </c>
      <c r="I472" s="76" t="s">
        <v>1147</v>
      </c>
      <c r="J472" s="76" t="s">
        <v>1148</v>
      </c>
      <c r="K472" s="76">
        <v>801116</v>
      </c>
      <c r="L472" s="63" t="s">
        <v>1149</v>
      </c>
      <c r="M472" s="63" t="s">
        <v>58</v>
      </c>
      <c r="N472" s="63" t="s">
        <v>59</v>
      </c>
      <c r="O472" s="76" t="s">
        <v>1213</v>
      </c>
      <c r="P472" s="76" t="s">
        <v>1338</v>
      </c>
      <c r="Q472" s="96">
        <v>6868146.5217391308</v>
      </c>
      <c r="R472" s="63">
        <v>1</v>
      </c>
      <c r="S472" s="80">
        <f>78983685-10558685</f>
        <v>68425000</v>
      </c>
      <c r="T472" s="63" t="s">
        <v>888</v>
      </c>
      <c r="U472" s="63" t="s">
        <v>1163</v>
      </c>
      <c r="V472" s="81" t="s">
        <v>64</v>
      </c>
      <c r="W472" s="82">
        <v>11.5</v>
      </c>
      <c r="X472" s="63" t="s">
        <v>1339</v>
      </c>
      <c r="Y472" s="81">
        <v>43118</v>
      </c>
      <c r="Z472" s="83">
        <v>68425000</v>
      </c>
      <c r="AA472" s="84" t="s">
        <v>439</v>
      </c>
      <c r="AB472" s="85">
        <v>531</v>
      </c>
      <c r="AC472" s="81">
        <v>43118</v>
      </c>
      <c r="AD472" s="86">
        <v>68425000</v>
      </c>
      <c r="AE472" s="87">
        <f t="shared" si="55"/>
        <v>0</v>
      </c>
      <c r="AF472" s="85">
        <v>309</v>
      </c>
      <c r="AG472" s="81">
        <v>43122</v>
      </c>
      <c r="AH472" s="86">
        <v>68425000</v>
      </c>
      <c r="AI472" s="63" t="s">
        <v>1340</v>
      </c>
      <c r="AJ472" s="63">
        <v>280</v>
      </c>
      <c r="AK472" s="87">
        <f t="shared" si="52"/>
        <v>0</v>
      </c>
      <c r="AL472" s="86">
        <v>40063334</v>
      </c>
      <c r="AM472" s="86">
        <f t="shared" si="53"/>
        <v>28361666</v>
      </c>
      <c r="AN472" s="63" t="s">
        <v>1155</v>
      </c>
      <c r="AO472" s="86">
        <f t="shared" si="54"/>
        <v>0</v>
      </c>
      <c r="AP472" s="63" t="s">
        <v>1341</v>
      </c>
      <c r="AQ472" s="63"/>
      <c r="AR472" s="63"/>
      <c r="AS472" s="63"/>
      <c r="AT472" s="63"/>
      <c r="AU472" s="220"/>
      <c r="AV472" s="220"/>
      <c r="AW472" s="220"/>
    </row>
    <row r="473" spans="1:49" s="221" customFormat="1" ht="342" x14ac:dyDescent="0.25">
      <c r="A473" s="63">
        <v>59</v>
      </c>
      <c r="B473" s="63" t="str">
        <f t="shared" si="50"/>
        <v>3075-59</v>
      </c>
      <c r="C473" s="76" t="s">
        <v>1141</v>
      </c>
      <c r="D473" s="76" t="s">
        <v>1142</v>
      </c>
      <c r="E473" s="76" t="s">
        <v>1143</v>
      </c>
      <c r="F473" s="76" t="s">
        <v>1158</v>
      </c>
      <c r="G473" s="77" t="s">
        <v>1159</v>
      </c>
      <c r="H473" s="78" t="s">
        <v>1160</v>
      </c>
      <c r="I473" s="76" t="s">
        <v>1147</v>
      </c>
      <c r="J473" s="76" t="s">
        <v>1148</v>
      </c>
      <c r="K473" s="76">
        <v>801116</v>
      </c>
      <c r="L473" s="63" t="s">
        <v>1149</v>
      </c>
      <c r="M473" s="63" t="s">
        <v>58</v>
      </c>
      <c r="N473" s="63" t="s">
        <v>59</v>
      </c>
      <c r="O473" s="76" t="s">
        <v>1213</v>
      </c>
      <c r="P473" s="76" t="s">
        <v>1342</v>
      </c>
      <c r="Q473" s="83">
        <v>4532000</v>
      </c>
      <c r="R473" s="63">
        <v>2</v>
      </c>
      <c r="S473" s="80">
        <v>52530000</v>
      </c>
      <c r="T473" s="63" t="s">
        <v>888</v>
      </c>
      <c r="U473" s="63" t="s">
        <v>1163</v>
      </c>
      <c r="V473" s="81" t="s">
        <v>64</v>
      </c>
      <c r="W473" s="82">
        <v>7.5</v>
      </c>
      <c r="X473" s="63" t="s">
        <v>1343</v>
      </c>
      <c r="Y473" s="81">
        <v>43111</v>
      </c>
      <c r="Z473" s="83">
        <v>52530000</v>
      </c>
      <c r="AA473" s="84" t="s">
        <v>1344</v>
      </c>
      <c r="AB473" s="85">
        <v>452</v>
      </c>
      <c r="AC473" s="81">
        <v>43111</v>
      </c>
      <c r="AD473" s="86">
        <v>52530000</v>
      </c>
      <c r="AE473" s="87">
        <f t="shared" si="55"/>
        <v>0</v>
      </c>
      <c r="AF473" s="85">
        <v>430</v>
      </c>
      <c r="AG473" s="81">
        <v>43124</v>
      </c>
      <c r="AH473" s="86">
        <v>52530000</v>
      </c>
      <c r="AI473" s="63" t="s">
        <v>1345</v>
      </c>
      <c r="AJ473" s="63">
        <v>371</v>
      </c>
      <c r="AK473" s="87">
        <f t="shared" si="52"/>
        <v>0</v>
      </c>
      <c r="AL473" s="86">
        <v>37821600</v>
      </c>
      <c r="AM473" s="86">
        <f t="shared" si="53"/>
        <v>14708400</v>
      </c>
      <c r="AN473" s="63" t="s">
        <v>1155</v>
      </c>
      <c r="AO473" s="86">
        <f t="shared" si="54"/>
        <v>0</v>
      </c>
      <c r="AP473" s="63" t="s">
        <v>1346</v>
      </c>
      <c r="AQ473" s="63"/>
      <c r="AR473" s="63"/>
      <c r="AS473" s="63"/>
      <c r="AT473" s="63"/>
      <c r="AU473" s="220"/>
      <c r="AV473" s="220"/>
      <c r="AW473" s="220"/>
    </row>
    <row r="474" spans="1:49" s="221" customFormat="1" ht="199.5" x14ac:dyDescent="0.25">
      <c r="A474" s="63">
        <v>60</v>
      </c>
      <c r="B474" s="63" t="str">
        <f t="shared" si="50"/>
        <v>3075-60</v>
      </c>
      <c r="C474" s="76" t="s">
        <v>1141</v>
      </c>
      <c r="D474" s="76" t="s">
        <v>1142</v>
      </c>
      <c r="E474" s="76" t="s">
        <v>1143</v>
      </c>
      <c r="F474" s="76" t="s">
        <v>1158</v>
      </c>
      <c r="G474" s="77" t="s">
        <v>1159</v>
      </c>
      <c r="H474" s="78" t="s">
        <v>1160</v>
      </c>
      <c r="I474" s="76" t="s">
        <v>1147</v>
      </c>
      <c r="J474" s="76" t="s">
        <v>1148</v>
      </c>
      <c r="K474" s="76">
        <v>801116</v>
      </c>
      <c r="L474" s="63" t="s">
        <v>1149</v>
      </c>
      <c r="M474" s="63" t="s">
        <v>58</v>
      </c>
      <c r="N474" s="63" t="s">
        <v>59</v>
      </c>
      <c r="O474" s="76" t="s">
        <v>1213</v>
      </c>
      <c r="P474" s="76" t="s">
        <v>1347</v>
      </c>
      <c r="Q474" s="83">
        <v>7210000</v>
      </c>
      <c r="R474" s="63">
        <v>3</v>
      </c>
      <c r="S474" s="80">
        <v>0</v>
      </c>
      <c r="T474" s="63"/>
      <c r="U474" s="63"/>
      <c r="V474" s="81"/>
      <c r="W474" s="82"/>
      <c r="X474" s="63"/>
      <c r="Y474" s="81"/>
      <c r="Z474" s="83"/>
      <c r="AA474" s="84"/>
      <c r="AB474" s="85"/>
      <c r="AC474" s="81"/>
      <c r="AD474" s="86"/>
      <c r="AE474" s="87">
        <f t="shared" si="55"/>
        <v>0</v>
      </c>
      <c r="AF474" s="85"/>
      <c r="AG474" s="81"/>
      <c r="AH474" s="86"/>
      <c r="AI474" s="63"/>
      <c r="AJ474" s="63"/>
      <c r="AK474" s="87">
        <f t="shared" si="52"/>
        <v>0</v>
      </c>
      <c r="AL474" s="86"/>
      <c r="AM474" s="86">
        <f t="shared" si="53"/>
        <v>0</v>
      </c>
      <c r="AN474" s="63" t="s">
        <v>1155</v>
      </c>
      <c r="AO474" s="86">
        <f t="shared" si="54"/>
        <v>0</v>
      </c>
      <c r="AP474" s="63"/>
      <c r="AQ474" s="63"/>
      <c r="AR474" s="63" t="s">
        <v>1157</v>
      </c>
      <c r="AS474" s="63"/>
      <c r="AT474" s="63"/>
      <c r="AU474" s="220"/>
      <c r="AV474" s="220"/>
      <c r="AW474" s="220"/>
    </row>
    <row r="475" spans="1:49" s="221" customFormat="1" ht="213.75" x14ac:dyDescent="0.25">
      <c r="A475" s="63">
        <v>61</v>
      </c>
      <c r="B475" s="63" t="str">
        <f t="shared" si="50"/>
        <v>3075-61</v>
      </c>
      <c r="C475" s="76" t="s">
        <v>1141</v>
      </c>
      <c r="D475" s="76" t="s">
        <v>1142</v>
      </c>
      <c r="E475" s="76" t="s">
        <v>1143</v>
      </c>
      <c r="F475" s="76" t="s">
        <v>1158</v>
      </c>
      <c r="G475" s="77" t="s">
        <v>1159</v>
      </c>
      <c r="H475" s="78" t="s">
        <v>1160</v>
      </c>
      <c r="I475" s="76" t="s">
        <v>1147</v>
      </c>
      <c r="J475" s="76" t="s">
        <v>1148</v>
      </c>
      <c r="K475" s="76">
        <v>801116</v>
      </c>
      <c r="L475" s="63" t="s">
        <v>1149</v>
      </c>
      <c r="M475" s="63" t="s">
        <v>58</v>
      </c>
      <c r="N475" s="63" t="s">
        <v>59</v>
      </c>
      <c r="O475" s="76" t="s">
        <v>1213</v>
      </c>
      <c r="P475" s="76" t="s">
        <v>1348</v>
      </c>
      <c r="Q475" s="83">
        <v>4532000</v>
      </c>
      <c r="R475" s="63">
        <v>1</v>
      </c>
      <c r="S475" s="80">
        <v>27192000</v>
      </c>
      <c r="T475" s="63" t="s">
        <v>888</v>
      </c>
      <c r="U475" s="63" t="s">
        <v>1163</v>
      </c>
      <c r="V475" s="81" t="s">
        <v>64</v>
      </c>
      <c r="W475" s="82">
        <v>6</v>
      </c>
      <c r="X475" s="63" t="s">
        <v>1349</v>
      </c>
      <c r="Y475" s="81">
        <v>43103</v>
      </c>
      <c r="Z475" s="83">
        <v>27192000</v>
      </c>
      <c r="AA475" s="84" t="s">
        <v>439</v>
      </c>
      <c r="AB475" s="85">
        <v>333</v>
      </c>
      <c r="AC475" s="81">
        <v>43110</v>
      </c>
      <c r="AD475" s="86">
        <v>27192000</v>
      </c>
      <c r="AE475" s="87">
        <f t="shared" si="55"/>
        <v>0</v>
      </c>
      <c r="AF475" s="85">
        <v>436</v>
      </c>
      <c r="AG475" s="81">
        <v>43125</v>
      </c>
      <c r="AH475" s="86">
        <v>27192000</v>
      </c>
      <c r="AI475" s="63" t="s">
        <v>1350</v>
      </c>
      <c r="AJ475" s="63">
        <v>376</v>
      </c>
      <c r="AK475" s="87">
        <f t="shared" si="52"/>
        <v>0</v>
      </c>
      <c r="AL475" s="86">
        <v>27192000</v>
      </c>
      <c r="AM475" s="86">
        <f t="shared" si="53"/>
        <v>0</v>
      </c>
      <c r="AN475" s="63" t="s">
        <v>1155</v>
      </c>
      <c r="AO475" s="86">
        <f t="shared" si="54"/>
        <v>0</v>
      </c>
      <c r="AP475" s="63"/>
      <c r="AQ475" s="63"/>
      <c r="AR475" s="63"/>
      <c r="AS475" s="63"/>
      <c r="AT475" s="63"/>
      <c r="AU475" s="220"/>
      <c r="AV475" s="220"/>
      <c r="AW475" s="220"/>
    </row>
    <row r="476" spans="1:49" s="221" customFormat="1" ht="213.75" x14ac:dyDescent="0.25">
      <c r="A476" s="63">
        <v>62</v>
      </c>
      <c r="B476" s="63" t="str">
        <f t="shared" si="50"/>
        <v>3075-62</v>
      </c>
      <c r="C476" s="76" t="s">
        <v>1141</v>
      </c>
      <c r="D476" s="76" t="s">
        <v>1142</v>
      </c>
      <c r="E476" s="76" t="s">
        <v>1143</v>
      </c>
      <c r="F476" s="76" t="s">
        <v>1158</v>
      </c>
      <c r="G476" s="77" t="s">
        <v>1159</v>
      </c>
      <c r="H476" s="78" t="s">
        <v>1160</v>
      </c>
      <c r="I476" s="76" t="s">
        <v>1147</v>
      </c>
      <c r="J476" s="76" t="s">
        <v>1148</v>
      </c>
      <c r="K476" s="76">
        <v>801116</v>
      </c>
      <c r="L476" s="63" t="s">
        <v>1149</v>
      </c>
      <c r="M476" s="63" t="s">
        <v>58</v>
      </c>
      <c r="N476" s="63" t="s">
        <v>59</v>
      </c>
      <c r="O476" s="76" t="s">
        <v>1213</v>
      </c>
      <c r="P476" s="76" t="s">
        <v>1269</v>
      </c>
      <c r="Q476" s="83">
        <v>3553500</v>
      </c>
      <c r="R476" s="63">
        <v>2</v>
      </c>
      <c r="S476" s="80">
        <v>17767500</v>
      </c>
      <c r="T476" s="63" t="s">
        <v>888</v>
      </c>
      <c r="U476" s="63" t="s">
        <v>1163</v>
      </c>
      <c r="V476" s="81" t="s">
        <v>64</v>
      </c>
      <c r="W476" s="82">
        <v>8</v>
      </c>
      <c r="X476" s="63" t="s">
        <v>1351</v>
      </c>
      <c r="Y476" s="81">
        <v>43111</v>
      </c>
      <c r="Z476" s="83">
        <v>17767500</v>
      </c>
      <c r="AA476" s="84" t="s">
        <v>1352</v>
      </c>
      <c r="AB476" s="85">
        <v>446</v>
      </c>
      <c r="AC476" s="81">
        <v>43111</v>
      </c>
      <c r="AD476" s="86">
        <v>17767500</v>
      </c>
      <c r="AE476" s="87">
        <f t="shared" si="55"/>
        <v>0</v>
      </c>
      <c r="AF476" s="85">
        <v>385</v>
      </c>
      <c r="AG476" s="81">
        <v>43124</v>
      </c>
      <c r="AH476" s="86">
        <v>17767500</v>
      </c>
      <c r="AI476" s="63" t="s">
        <v>1353</v>
      </c>
      <c r="AJ476" s="63">
        <v>328</v>
      </c>
      <c r="AK476" s="87">
        <f t="shared" si="52"/>
        <v>0</v>
      </c>
      <c r="AL476" s="86">
        <v>17767500</v>
      </c>
      <c r="AM476" s="86">
        <f t="shared" si="53"/>
        <v>0</v>
      </c>
      <c r="AN476" s="63" t="s">
        <v>1155</v>
      </c>
      <c r="AO476" s="86">
        <f t="shared" si="54"/>
        <v>0</v>
      </c>
      <c r="AP476" s="63"/>
      <c r="AQ476" s="63"/>
      <c r="AR476" s="63"/>
      <c r="AS476" s="63"/>
      <c r="AT476" s="63"/>
      <c r="AU476" s="220"/>
      <c r="AV476" s="220"/>
      <c r="AW476" s="220"/>
    </row>
    <row r="477" spans="1:49" s="221" customFormat="1" ht="228" x14ac:dyDescent="0.25">
      <c r="A477" s="63">
        <v>63</v>
      </c>
      <c r="B477" s="63" t="str">
        <f t="shared" si="50"/>
        <v>3075-63</v>
      </c>
      <c r="C477" s="76" t="s">
        <v>1141</v>
      </c>
      <c r="D477" s="76" t="s">
        <v>1142</v>
      </c>
      <c r="E477" s="76" t="s">
        <v>1143</v>
      </c>
      <c r="F477" s="76" t="s">
        <v>1158</v>
      </c>
      <c r="G477" s="77" t="s">
        <v>1159</v>
      </c>
      <c r="H477" s="78" t="s">
        <v>1160</v>
      </c>
      <c r="I477" s="76" t="s">
        <v>1147</v>
      </c>
      <c r="J477" s="76" t="s">
        <v>1148</v>
      </c>
      <c r="K477" s="76">
        <v>801116</v>
      </c>
      <c r="L477" s="63" t="s">
        <v>1149</v>
      </c>
      <c r="M477" s="63" t="s">
        <v>58</v>
      </c>
      <c r="N477" s="63" t="s">
        <v>59</v>
      </c>
      <c r="O477" s="76" t="s">
        <v>1213</v>
      </c>
      <c r="P477" s="76" t="s">
        <v>1354</v>
      </c>
      <c r="Q477" s="83">
        <v>3326900</v>
      </c>
      <c r="R477" s="63">
        <v>1</v>
      </c>
      <c r="S477" s="80">
        <v>19961400</v>
      </c>
      <c r="T477" s="63" t="s">
        <v>928</v>
      </c>
      <c r="U477" s="63" t="s">
        <v>1163</v>
      </c>
      <c r="V477" s="81" t="s">
        <v>64</v>
      </c>
      <c r="W477" s="82">
        <v>6</v>
      </c>
      <c r="X477" s="63" t="s">
        <v>1355</v>
      </c>
      <c r="Y477" s="81">
        <v>43103</v>
      </c>
      <c r="Z477" s="83">
        <v>19961400</v>
      </c>
      <c r="AA477" s="84" t="s">
        <v>439</v>
      </c>
      <c r="AB477" s="85">
        <v>326</v>
      </c>
      <c r="AC477" s="81">
        <v>43110</v>
      </c>
      <c r="AD477" s="86">
        <v>19961400</v>
      </c>
      <c r="AE477" s="87">
        <f t="shared" si="55"/>
        <v>0</v>
      </c>
      <c r="AF477" s="85">
        <v>427</v>
      </c>
      <c r="AG477" s="81">
        <v>43124</v>
      </c>
      <c r="AH477" s="86">
        <v>19961400</v>
      </c>
      <c r="AI477" s="63" t="s">
        <v>1356</v>
      </c>
      <c r="AJ477" s="63">
        <v>362</v>
      </c>
      <c r="AK477" s="87">
        <f t="shared" si="52"/>
        <v>0</v>
      </c>
      <c r="AL477" s="86">
        <v>19961400</v>
      </c>
      <c r="AM477" s="86">
        <f t="shared" si="53"/>
        <v>0</v>
      </c>
      <c r="AN477" s="63" t="s">
        <v>1155</v>
      </c>
      <c r="AO477" s="86">
        <f t="shared" si="54"/>
        <v>0</v>
      </c>
      <c r="AP477" s="63"/>
      <c r="AQ477" s="63"/>
      <c r="AR477" s="63"/>
      <c r="AS477" s="63"/>
      <c r="AT477" s="63"/>
      <c r="AU477" s="220"/>
      <c r="AV477" s="220"/>
      <c r="AW477" s="220"/>
    </row>
    <row r="478" spans="1:49" s="221" customFormat="1" ht="256.5" x14ac:dyDescent="0.25">
      <c r="A478" s="63">
        <v>64</v>
      </c>
      <c r="B478" s="63" t="str">
        <f t="shared" si="50"/>
        <v>3075-64</v>
      </c>
      <c r="C478" s="76" t="s">
        <v>1141</v>
      </c>
      <c r="D478" s="76" t="s">
        <v>1142</v>
      </c>
      <c r="E478" s="76" t="s">
        <v>1143</v>
      </c>
      <c r="F478" s="76" t="s">
        <v>1158</v>
      </c>
      <c r="G478" s="77" t="s">
        <v>1159</v>
      </c>
      <c r="H478" s="78" t="s">
        <v>1160</v>
      </c>
      <c r="I478" s="76" t="s">
        <v>1147</v>
      </c>
      <c r="J478" s="76" t="s">
        <v>1148</v>
      </c>
      <c r="K478" s="76">
        <v>801116</v>
      </c>
      <c r="L478" s="63" t="s">
        <v>1149</v>
      </c>
      <c r="M478" s="63" t="s">
        <v>58</v>
      </c>
      <c r="N478" s="63" t="s">
        <v>59</v>
      </c>
      <c r="O478" s="76" t="s">
        <v>1213</v>
      </c>
      <c r="P478" s="76" t="s">
        <v>1302</v>
      </c>
      <c r="Q478" s="83">
        <v>5253000</v>
      </c>
      <c r="R478" s="63">
        <v>1</v>
      </c>
      <c r="S478" s="80">
        <v>31518000</v>
      </c>
      <c r="T478" s="63" t="s">
        <v>888</v>
      </c>
      <c r="U478" s="63" t="s">
        <v>1163</v>
      </c>
      <c r="V478" s="81" t="s">
        <v>64</v>
      </c>
      <c r="W478" s="82">
        <v>6</v>
      </c>
      <c r="X478" s="63" t="s">
        <v>1357</v>
      </c>
      <c r="Y478" s="81">
        <v>43103</v>
      </c>
      <c r="Z478" s="83">
        <v>31518000</v>
      </c>
      <c r="AA478" s="84" t="s">
        <v>439</v>
      </c>
      <c r="AB478" s="85">
        <v>311</v>
      </c>
      <c r="AC478" s="81">
        <v>43110</v>
      </c>
      <c r="AD478" s="86">
        <v>31518000</v>
      </c>
      <c r="AE478" s="87">
        <f t="shared" si="55"/>
        <v>0</v>
      </c>
      <c r="AF478" s="85">
        <v>454</v>
      </c>
      <c r="AG478" s="81">
        <v>43125</v>
      </c>
      <c r="AH478" s="86">
        <v>31518000</v>
      </c>
      <c r="AI478" s="63" t="s">
        <v>1358</v>
      </c>
      <c r="AJ478" s="63">
        <v>384</v>
      </c>
      <c r="AK478" s="87">
        <f t="shared" si="52"/>
        <v>0</v>
      </c>
      <c r="AL478" s="86">
        <v>31518000</v>
      </c>
      <c r="AM478" s="86">
        <f t="shared" si="53"/>
        <v>0</v>
      </c>
      <c r="AN478" s="63" t="s">
        <v>1155</v>
      </c>
      <c r="AO478" s="86">
        <f t="shared" si="54"/>
        <v>0</v>
      </c>
      <c r="AP478" s="63"/>
      <c r="AQ478" s="63"/>
      <c r="AR478" s="63"/>
      <c r="AS478" s="63"/>
      <c r="AT478" s="63"/>
      <c r="AU478" s="220"/>
      <c r="AV478" s="220"/>
      <c r="AW478" s="220"/>
    </row>
    <row r="479" spans="1:49" s="221" customFormat="1" ht="342" x14ac:dyDescent="0.25">
      <c r="A479" s="63">
        <v>65</v>
      </c>
      <c r="B479" s="63" t="str">
        <f t="shared" ref="B479:B542" si="56">CONCATENATE("3075","-",A479)</f>
        <v>3075-65</v>
      </c>
      <c r="C479" s="76" t="s">
        <v>1141</v>
      </c>
      <c r="D479" s="76" t="s">
        <v>1142</v>
      </c>
      <c r="E479" s="76" t="s">
        <v>1143</v>
      </c>
      <c r="F479" s="76" t="s">
        <v>1158</v>
      </c>
      <c r="G479" s="77" t="s">
        <v>1159</v>
      </c>
      <c r="H479" s="78" t="s">
        <v>1160</v>
      </c>
      <c r="I479" s="76" t="s">
        <v>1147</v>
      </c>
      <c r="J479" s="76" t="s">
        <v>1148</v>
      </c>
      <c r="K479" s="76">
        <v>801116</v>
      </c>
      <c r="L479" s="63" t="s">
        <v>1149</v>
      </c>
      <c r="M479" s="63" t="s">
        <v>58</v>
      </c>
      <c r="N479" s="63" t="s">
        <v>59</v>
      </c>
      <c r="O479" s="76" t="s">
        <v>1213</v>
      </c>
      <c r="P479" s="76" t="s">
        <v>1359</v>
      </c>
      <c r="Q479" s="83">
        <v>5036700</v>
      </c>
      <c r="R479" s="63">
        <v>1</v>
      </c>
      <c r="S479" s="80">
        <v>50367000</v>
      </c>
      <c r="T479" s="63" t="s">
        <v>888</v>
      </c>
      <c r="U479" s="63" t="s">
        <v>1163</v>
      </c>
      <c r="V479" s="81" t="s">
        <v>64</v>
      </c>
      <c r="W479" s="82">
        <v>10</v>
      </c>
      <c r="X479" s="63" t="s">
        <v>1360</v>
      </c>
      <c r="Y479" s="81">
        <v>43103</v>
      </c>
      <c r="Z479" s="83">
        <v>50367000</v>
      </c>
      <c r="AA479" s="84" t="s">
        <v>439</v>
      </c>
      <c r="AB479" s="85">
        <v>325</v>
      </c>
      <c r="AC479" s="81">
        <v>43110</v>
      </c>
      <c r="AD479" s="86">
        <v>50367000</v>
      </c>
      <c r="AE479" s="87">
        <f t="shared" si="55"/>
        <v>0</v>
      </c>
      <c r="AF479" s="85">
        <v>249</v>
      </c>
      <c r="AG479" s="81">
        <v>43119</v>
      </c>
      <c r="AH479" s="86">
        <v>50367000</v>
      </c>
      <c r="AI479" s="63" t="s">
        <v>1361</v>
      </c>
      <c r="AJ479" s="63">
        <v>206</v>
      </c>
      <c r="AK479" s="87">
        <f t="shared" ref="AK479:AK542" si="57">AD479-AH479</f>
        <v>0</v>
      </c>
      <c r="AL479" s="86">
        <v>37271580</v>
      </c>
      <c r="AM479" s="86">
        <f t="shared" ref="AM479:AM542" si="58">AH479-AL479</f>
        <v>13095420</v>
      </c>
      <c r="AN479" s="63" t="s">
        <v>1155</v>
      </c>
      <c r="AO479" s="86">
        <f t="shared" ref="AO479:AO542" si="59">S479-AH479</f>
        <v>0</v>
      </c>
      <c r="AP479" s="63"/>
      <c r="AQ479" s="63"/>
      <c r="AR479" s="63"/>
      <c r="AS479" s="63"/>
      <c r="AT479" s="63"/>
      <c r="AU479" s="220"/>
      <c r="AV479" s="220"/>
      <c r="AW479" s="220"/>
    </row>
    <row r="480" spans="1:49" s="221" customFormat="1" ht="342" x14ac:dyDescent="0.25">
      <c r="A480" s="63">
        <v>66</v>
      </c>
      <c r="B480" s="63" t="str">
        <f t="shared" si="56"/>
        <v>3075-66</v>
      </c>
      <c r="C480" s="76" t="s">
        <v>1141</v>
      </c>
      <c r="D480" s="76" t="s">
        <v>1142</v>
      </c>
      <c r="E480" s="76" t="s">
        <v>1143</v>
      </c>
      <c r="F480" s="76" t="s">
        <v>1158</v>
      </c>
      <c r="G480" s="77" t="s">
        <v>1159</v>
      </c>
      <c r="H480" s="78" t="s">
        <v>1160</v>
      </c>
      <c r="I480" s="76" t="s">
        <v>1147</v>
      </c>
      <c r="J480" s="76" t="s">
        <v>1148</v>
      </c>
      <c r="K480" s="76">
        <v>801116</v>
      </c>
      <c r="L480" s="63" t="s">
        <v>1149</v>
      </c>
      <c r="M480" s="63" t="s">
        <v>58</v>
      </c>
      <c r="N480" s="63" t="s">
        <v>59</v>
      </c>
      <c r="O480" s="76" t="s">
        <v>1213</v>
      </c>
      <c r="P480" s="76" t="s">
        <v>1294</v>
      </c>
      <c r="Q480" s="83">
        <v>7210000</v>
      </c>
      <c r="R480" s="63">
        <v>1</v>
      </c>
      <c r="S480" s="80">
        <v>72100000</v>
      </c>
      <c r="T480" s="63" t="s">
        <v>888</v>
      </c>
      <c r="U480" s="63" t="s">
        <v>1163</v>
      </c>
      <c r="V480" s="81" t="s">
        <v>64</v>
      </c>
      <c r="W480" s="82">
        <v>10</v>
      </c>
      <c r="X480" s="63" t="s">
        <v>1362</v>
      </c>
      <c r="Y480" s="81">
        <v>43103</v>
      </c>
      <c r="Z480" s="83">
        <v>72100000</v>
      </c>
      <c r="AA480" s="84" t="s">
        <v>439</v>
      </c>
      <c r="AB480" s="85">
        <v>339</v>
      </c>
      <c r="AC480" s="81">
        <v>43110</v>
      </c>
      <c r="AD480" s="86">
        <v>72100000</v>
      </c>
      <c r="AE480" s="87">
        <f t="shared" si="55"/>
        <v>0</v>
      </c>
      <c r="AF480" s="85">
        <v>500</v>
      </c>
      <c r="AG480" s="81">
        <v>43126</v>
      </c>
      <c r="AH480" s="86">
        <v>72100000</v>
      </c>
      <c r="AI480" s="63" t="s">
        <v>1363</v>
      </c>
      <c r="AJ480" s="63">
        <v>410</v>
      </c>
      <c r="AK480" s="87">
        <f t="shared" si="57"/>
        <v>0</v>
      </c>
      <c r="AL480" s="86">
        <v>50950667</v>
      </c>
      <c r="AM480" s="86">
        <f t="shared" si="58"/>
        <v>21149333</v>
      </c>
      <c r="AN480" s="63" t="s">
        <v>1155</v>
      </c>
      <c r="AO480" s="86">
        <f t="shared" si="59"/>
        <v>0</v>
      </c>
      <c r="AP480" s="63"/>
      <c r="AQ480" s="63"/>
      <c r="AR480" s="63"/>
      <c r="AS480" s="63"/>
      <c r="AT480" s="63"/>
      <c r="AU480" s="220"/>
      <c r="AV480" s="220"/>
      <c r="AW480" s="220"/>
    </row>
    <row r="481" spans="1:49" s="221" customFormat="1" ht="242.25" x14ac:dyDescent="0.25">
      <c r="A481" s="63">
        <v>67</v>
      </c>
      <c r="B481" s="63" t="str">
        <f t="shared" si="56"/>
        <v>3075-67</v>
      </c>
      <c r="C481" s="76" t="s">
        <v>1141</v>
      </c>
      <c r="D481" s="76" t="s">
        <v>1142</v>
      </c>
      <c r="E481" s="76" t="s">
        <v>1143</v>
      </c>
      <c r="F481" s="76" t="s">
        <v>1158</v>
      </c>
      <c r="G481" s="77" t="s">
        <v>1159</v>
      </c>
      <c r="H481" s="78" t="s">
        <v>1160</v>
      </c>
      <c r="I481" s="76" t="s">
        <v>1147</v>
      </c>
      <c r="J481" s="76" t="s">
        <v>1148</v>
      </c>
      <c r="K481" s="76">
        <v>801116</v>
      </c>
      <c r="L481" s="63" t="s">
        <v>1149</v>
      </c>
      <c r="M481" s="63" t="s">
        <v>58</v>
      </c>
      <c r="N481" s="63" t="s">
        <v>59</v>
      </c>
      <c r="O481" s="76" t="s">
        <v>1213</v>
      </c>
      <c r="P481" s="76" t="s">
        <v>1364</v>
      </c>
      <c r="Q481" s="83">
        <v>6180000</v>
      </c>
      <c r="R481" s="63">
        <v>1</v>
      </c>
      <c r="S481" s="80">
        <v>67980000</v>
      </c>
      <c r="T481" s="63" t="s">
        <v>888</v>
      </c>
      <c r="U481" s="63" t="s">
        <v>1163</v>
      </c>
      <c r="V481" s="81" t="s">
        <v>64</v>
      </c>
      <c r="W481" s="82">
        <v>11</v>
      </c>
      <c r="X481" s="63" t="s">
        <v>1365</v>
      </c>
      <c r="Y481" s="81">
        <v>43103</v>
      </c>
      <c r="Z481" s="83">
        <v>67980000</v>
      </c>
      <c r="AA481" s="84" t="s">
        <v>439</v>
      </c>
      <c r="AB481" s="85">
        <v>341</v>
      </c>
      <c r="AC481" s="81">
        <v>43110</v>
      </c>
      <c r="AD481" s="86">
        <v>67980000</v>
      </c>
      <c r="AE481" s="87">
        <f t="shared" si="55"/>
        <v>0</v>
      </c>
      <c r="AF481" s="85">
        <v>91</v>
      </c>
      <c r="AG481" s="81">
        <v>43116</v>
      </c>
      <c r="AH481" s="86">
        <v>67980000</v>
      </c>
      <c r="AI481" s="63" t="s">
        <v>1366</v>
      </c>
      <c r="AJ481" s="63">
        <v>80</v>
      </c>
      <c r="AK481" s="87">
        <f t="shared" si="57"/>
        <v>0</v>
      </c>
      <c r="AL481" s="86">
        <v>42848000</v>
      </c>
      <c r="AM481" s="86">
        <f t="shared" si="58"/>
        <v>25132000</v>
      </c>
      <c r="AN481" s="63" t="s">
        <v>1155</v>
      </c>
      <c r="AO481" s="86">
        <f t="shared" si="59"/>
        <v>0</v>
      </c>
      <c r="AP481" s="63"/>
      <c r="AQ481" s="63"/>
      <c r="AR481" s="63"/>
      <c r="AS481" s="63"/>
      <c r="AT481" s="63"/>
      <c r="AU481" s="220"/>
      <c r="AV481" s="220"/>
      <c r="AW481" s="220"/>
    </row>
    <row r="482" spans="1:49" s="221" customFormat="1" ht="313.5" x14ac:dyDescent="0.25">
      <c r="A482" s="63">
        <v>68</v>
      </c>
      <c r="B482" s="63" t="str">
        <f t="shared" si="56"/>
        <v>3075-68</v>
      </c>
      <c r="C482" s="76" t="s">
        <v>1141</v>
      </c>
      <c r="D482" s="76" t="s">
        <v>1142</v>
      </c>
      <c r="E482" s="76" t="s">
        <v>1143</v>
      </c>
      <c r="F482" s="76" t="s">
        <v>1158</v>
      </c>
      <c r="G482" s="77" t="s">
        <v>1159</v>
      </c>
      <c r="H482" s="78" t="s">
        <v>1160</v>
      </c>
      <c r="I482" s="76" t="s">
        <v>1147</v>
      </c>
      <c r="J482" s="76" t="s">
        <v>1148</v>
      </c>
      <c r="K482" s="76">
        <v>801116</v>
      </c>
      <c r="L482" s="63" t="s">
        <v>1149</v>
      </c>
      <c r="M482" s="63" t="s">
        <v>58</v>
      </c>
      <c r="N482" s="63" t="s">
        <v>59</v>
      </c>
      <c r="O482" s="76" t="s">
        <v>1213</v>
      </c>
      <c r="P482" s="76" t="s">
        <v>1367</v>
      </c>
      <c r="Q482" s="83">
        <v>5036700</v>
      </c>
      <c r="R482" s="63">
        <v>1</v>
      </c>
      <c r="S482" s="80">
        <v>50367000</v>
      </c>
      <c r="T482" s="63" t="s">
        <v>888</v>
      </c>
      <c r="U482" s="63" t="s">
        <v>1163</v>
      </c>
      <c r="V482" s="81" t="s">
        <v>64</v>
      </c>
      <c r="W482" s="82">
        <v>10</v>
      </c>
      <c r="X482" s="63" t="s">
        <v>1368</v>
      </c>
      <c r="Y482" s="81">
        <v>43103</v>
      </c>
      <c r="Z482" s="83">
        <v>50367000</v>
      </c>
      <c r="AA482" s="84" t="s">
        <v>439</v>
      </c>
      <c r="AB482" s="85">
        <v>330</v>
      </c>
      <c r="AC482" s="81">
        <v>43110</v>
      </c>
      <c r="AD482" s="86">
        <v>50367000</v>
      </c>
      <c r="AE482" s="87">
        <f t="shared" si="55"/>
        <v>0</v>
      </c>
      <c r="AF482" s="85">
        <v>89</v>
      </c>
      <c r="AG482" s="81">
        <v>43116</v>
      </c>
      <c r="AH482" s="86">
        <v>50367000</v>
      </c>
      <c r="AI482" s="63" t="s">
        <v>1369</v>
      </c>
      <c r="AJ482" s="63">
        <v>77</v>
      </c>
      <c r="AK482" s="87">
        <f t="shared" si="57"/>
        <v>0</v>
      </c>
      <c r="AL482" s="86">
        <v>37607360</v>
      </c>
      <c r="AM482" s="86">
        <f t="shared" si="58"/>
        <v>12759640</v>
      </c>
      <c r="AN482" s="63" t="s">
        <v>1155</v>
      </c>
      <c r="AO482" s="86">
        <f t="shared" si="59"/>
        <v>0</v>
      </c>
      <c r="AP482" s="63"/>
      <c r="AQ482" s="63"/>
      <c r="AR482" s="63"/>
      <c r="AS482" s="63"/>
      <c r="AT482" s="63"/>
      <c r="AU482" s="220"/>
      <c r="AV482" s="220"/>
      <c r="AW482" s="220"/>
    </row>
    <row r="483" spans="1:49" s="221" customFormat="1" ht="213.75" x14ac:dyDescent="0.25">
      <c r="A483" s="63">
        <v>69</v>
      </c>
      <c r="B483" s="63" t="str">
        <f t="shared" si="56"/>
        <v>3075-69</v>
      </c>
      <c r="C483" s="76" t="s">
        <v>1141</v>
      </c>
      <c r="D483" s="76" t="s">
        <v>1142</v>
      </c>
      <c r="E483" s="76" t="s">
        <v>1143</v>
      </c>
      <c r="F483" s="76" t="s">
        <v>1158</v>
      </c>
      <c r="G483" s="77" t="s">
        <v>1159</v>
      </c>
      <c r="H483" s="78" t="s">
        <v>1160</v>
      </c>
      <c r="I483" s="76" t="s">
        <v>1147</v>
      </c>
      <c r="J483" s="76" t="s">
        <v>1148</v>
      </c>
      <c r="K483" s="76">
        <v>801116</v>
      </c>
      <c r="L483" s="63" t="s">
        <v>1149</v>
      </c>
      <c r="M483" s="63" t="s">
        <v>58</v>
      </c>
      <c r="N483" s="63" t="s">
        <v>59</v>
      </c>
      <c r="O483" s="76" t="s">
        <v>1213</v>
      </c>
      <c r="P483" s="76" t="s">
        <v>1370</v>
      </c>
      <c r="Q483" s="83">
        <v>3553500</v>
      </c>
      <c r="R483" s="63">
        <v>1</v>
      </c>
      <c r="S483" s="80">
        <f>35535000-1545000</f>
        <v>33990000</v>
      </c>
      <c r="T483" s="63" t="s">
        <v>888</v>
      </c>
      <c r="U483" s="63" t="s">
        <v>1163</v>
      </c>
      <c r="V483" s="81" t="s">
        <v>64</v>
      </c>
      <c r="W483" s="82">
        <v>10</v>
      </c>
      <c r="X483" s="63" t="s">
        <v>1371</v>
      </c>
      <c r="Y483" s="81">
        <v>43102</v>
      </c>
      <c r="Z483" s="83">
        <f>35535000-1545000</f>
        <v>33990000</v>
      </c>
      <c r="AA483" s="84" t="s">
        <v>439</v>
      </c>
      <c r="AB483" s="85">
        <v>409</v>
      </c>
      <c r="AC483" s="81">
        <v>43110</v>
      </c>
      <c r="AD483" s="86">
        <v>33990000</v>
      </c>
      <c r="AE483" s="87">
        <f t="shared" si="55"/>
        <v>0</v>
      </c>
      <c r="AF483" s="85">
        <v>474</v>
      </c>
      <c r="AG483" s="81">
        <v>43126</v>
      </c>
      <c r="AH483" s="86">
        <v>33990000</v>
      </c>
      <c r="AI483" s="63" t="s">
        <v>1372</v>
      </c>
      <c r="AJ483" s="63">
        <v>400</v>
      </c>
      <c r="AK483" s="87">
        <f t="shared" si="57"/>
        <v>0</v>
      </c>
      <c r="AL483" s="86">
        <v>24359500</v>
      </c>
      <c r="AM483" s="86">
        <f t="shared" si="58"/>
        <v>9630500</v>
      </c>
      <c r="AN483" s="63" t="s">
        <v>1155</v>
      </c>
      <c r="AO483" s="86">
        <f t="shared" si="59"/>
        <v>0</v>
      </c>
      <c r="AP483" s="63"/>
      <c r="AQ483" s="63"/>
      <c r="AR483" s="63"/>
      <c r="AS483" s="63"/>
      <c r="AT483" s="63"/>
      <c r="AU483" s="220"/>
      <c r="AV483" s="220"/>
      <c r="AW483" s="220"/>
    </row>
    <row r="484" spans="1:49" s="221" customFormat="1" ht="213.75" x14ac:dyDescent="0.25">
      <c r="A484" s="63">
        <v>70</v>
      </c>
      <c r="B484" s="63" t="str">
        <f t="shared" si="56"/>
        <v>3075-70</v>
      </c>
      <c r="C484" s="76" t="s">
        <v>1141</v>
      </c>
      <c r="D484" s="76" t="s">
        <v>1142</v>
      </c>
      <c r="E484" s="76" t="s">
        <v>1143</v>
      </c>
      <c r="F484" s="76" t="s">
        <v>1158</v>
      </c>
      <c r="G484" s="77" t="s">
        <v>1159</v>
      </c>
      <c r="H484" s="78" t="s">
        <v>1160</v>
      </c>
      <c r="I484" s="76" t="s">
        <v>1147</v>
      </c>
      <c r="J484" s="76" t="s">
        <v>1148</v>
      </c>
      <c r="K484" s="76">
        <v>801116</v>
      </c>
      <c r="L484" s="63" t="s">
        <v>1149</v>
      </c>
      <c r="M484" s="63" t="s">
        <v>58</v>
      </c>
      <c r="N484" s="63" t="s">
        <v>59</v>
      </c>
      <c r="O484" s="76" t="s">
        <v>1213</v>
      </c>
      <c r="P484" s="76" t="s">
        <v>1370</v>
      </c>
      <c r="Q484" s="83">
        <v>3399000</v>
      </c>
      <c r="R484" s="63">
        <v>2</v>
      </c>
      <c r="S484" s="80">
        <v>37389000</v>
      </c>
      <c r="T484" s="63" t="s">
        <v>888</v>
      </c>
      <c r="U484" s="63" t="s">
        <v>1163</v>
      </c>
      <c r="V484" s="81" t="s">
        <v>64</v>
      </c>
      <c r="W484" s="82">
        <v>9.5</v>
      </c>
      <c r="X484" s="63" t="s">
        <v>1373</v>
      </c>
      <c r="Y484" s="81">
        <v>43102</v>
      </c>
      <c r="Z484" s="83">
        <v>37389000</v>
      </c>
      <c r="AA484" s="84" t="s">
        <v>439</v>
      </c>
      <c r="AB484" s="85">
        <v>345</v>
      </c>
      <c r="AC484" s="81">
        <v>43110</v>
      </c>
      <c r="AD484" s="86">
        <v>37389000</v>
      </c>
      <c r="AE484" s="87">
        <f t="shared" si="55"/>
        <v>0</v>
      </c>
      <c r="AF484" s="85">
        <v>92</v>
      </c>
      <c r="AG484" s="81">
        <v>43116</v>
      </c>
      <c r="AH484" s="86">
        <v>37389000</v>
      </c>
      <c r="AI484" s="63" t="s">
        <v>1374</v>
      </c>
      <c r="AJ484" s="63">
        <v>79</v>
      </c>
      <c r="AK484" s="87">
        <f t="shared" si="57"/>
        <v>0</v>
      </c>
      <c r="AL484" s="86">
        <v>25379200</v>
      </c>
      <c r="AM484" s="86">
        <f t="shared" si="58"/>
        <v>12009800</v>
      </c>
      <c r="AN484" s="63" t="s">
        <v>1155</v>
      </c>
      <c r="AO484" s="86">
        <f t="shared" si="59"/>
        <v>0</v>
      </c>
      <c r="AP484" s="63"/>
      <c r="AQ484" s="63"/>
      <c r="AR484" s="63"/>
      <c r="AS484" s="63"/>
      <c r="AT484" s="63"/>
      <c r="AU484" s="220"/>
      <c r="AV484" s="220"/>
      <c r="AW484" s="220"/>
    </row>
    <row r="485" spans="1:49" s="221" customFormat="1" ht="242.25" x14ac:dyDescent="0.25">
      <c r="A485" s="63">
        <v>71</v>
      </c>
      <c r="B485" s="63" t="str">
        <f t="shared" si="56"/>
        <v>3075-71</v>
      </c>
      <c r="C485" s="76" t="s">
        <v>1141</v>
      </c>
      <c r="D485" s="76" t="s">
        <v>1142</v>
      </c>
      <c r="E485" s="76" t="s">
        <v>1143</v>
      </c>
      <c r="F485" s="76" t="s">
        <v>1158</v>
      </c>
      <c r="G485" s="77" t="s">
        <v>1159</v>
      </c>
      <c r="H485" s="78" t="s">
        <v>1160</v>
      </c>
      <c r="I485" s="76" t="s">
        <v>1147</v>
      </c>
      <c r="J485" s="76" t="s">
        <v>1148</v>
      </c>
      <c r="K485" s="76">
        <v>801116</v>
      </c>
      <c r="L485" s="63" t="s">
        <v>1149</v>
      </c>
      <c r="M485" s="63" t="s">
        <v>58</v>
      </c>
      <c r="N485" s="63" t="s">
        <v>59</v>
      </c>
      <c r="O485" s="76" t="s">
        <v>1213</v>
      </c>
      <c r="P485" s="76" t="s">
        <v>1375</v>
      </c>
      <c r="Q485" s="83">
        <v>3038500</v>
      </c>
      <c r="R485" s="63">
        <v>2</v>
      </c>
      <c r="S485" s="80">
        <v>0</v>
      </c>
      <c r="T485" s="63"/>
      <c r="U485" s="63"/>
      <c r="V485" s="81"/>
      <c r="W485" s="82"/>
      <c r="X485" s="63"/>
      <c r="Y485" s="81"/>
      <c r="Z485" s="83"/>
      <c r="AA485" s="84"/>
      <c r="AB485" s="85"/>
      <c r="AC485" s="81"/>
      <c r="AD485" s="86"/>
      <c r="AE485" s="87">
        <f t="shared" si="55"/>
        <v>0</v>
      </c>
      <c r="AF485" s="85"/>
      <c r="AG485" s="81"/>
      <c r="AH485" s="86"/>
      <c r="AI485" s="63"/>
      <c r="AJ485" s="63"/>
      <c r="AK485" s="87">
        <f t="shared" si="57"/>
        <v>0</v>
      </c>
      <c r="AL485" s="86"/>
      <c r="AM485" s="86">
        <f t="shared" si="58"/>
        <v>0</v>
      </c>
      <c r="AN485" s="63" t="s">
        <v>1155</v>
      </c>
      <c r="AO485" s="86">
        <f t="shared" si="59"/>
        <v>0</v>
      </c>
      <c r="AP485" s="63"/>
      <c r="AQ485" s="63"/>
      <c r="AR485" s="63" t="s">
        <v>1157</v>
      </c>
      <c r="AS485" s="63"/>
      <c r="AT485" s="63"/>
      <c r="AU485" s="220"/>
      <c r="AV485" s="220"/>
      <c r="AW485" s="220"/>
    </row>
    <row r="486" spans="1:49" s="221" customFormat="1" ht="242.25" x14ac:dyDescent="0.25">
      <c r="A486" s="63">
        <v>72</v>
      </c>
      <c r="B486" s="63" t="str">
        <f t="shared" si="56"/>
        <v>3075-72</v>
      </c>
      <c r="C486" s="76" t="s">
        <v>1141</v>
      </c>
      <c r="D486" s="76" t="s">
        <v>1142</v>
      </c>
      <c r="E486" s="76" t="s">
        <v>1143</v>
      </c>
      <c r="F486" s="76" t="s">
        <v>1158</v>
      </c>
      <c r="G486" s="77" t="s">
        <v>1159</v>
      </c>
      <c r="H486" s="78" t="s">
        <v>1160</v>
      </c>
      <c r="I486" s="76" t="s">
        <v>1147</v>
      </c>
      <c r="J486" s="76" t="s">
        <v>1148</v>
      </c>
      <c r="K486" s="76">
        <v>801116</v>
      </c>
      <c r="L486" s="63" t="s">
        <v>1149</v>
      </c>
      <c r="M486" s="63" t="s">
        <v>58</v>
      </c>
      <c r="N486" s="63" t="s">
        <v>59</v>
      </c>
      <c r="O486" s="76" t="s">
        <v>1213</v>
      </c>
      <c r="P486" s="76" t="s">
        <v>1376</v>
      </c>
      <c r="Q486" s="83">
        <v>7210000</v>
      </c>
      <c r="R486" s="63">
        <v>1</v>
      </c>
      <c r="S486" s="80">
        <v>72100000</v>
      </c>
      <c r="T486" s="63" t="s">
        <v>888</v>
      </c>
      <c r="U486" s="63" t="s">
        <v>1163</v>
      </c>
      <c r="V486" s="81" t="s">
        <v>64</v>
      </c>
      <c r="W486" s="82">
        <v>10</v>
      </c>
      <c r="X486" s="63" t="s">
        <v>1377</v>
      </c>
      <c r="Y486" s="81">
        <v>43103</v>
      </c>
      <c r="Z486" s="83">
        <v>72100000</v>
      </c>
      <c r="AA486" s="84" t="s">
        <v>439</v>
      </c>
      <c r="AB486" s="85">
        <v>348</v>
      </c>
      <c r="AC486" s="81">
        <v>43110</v>
      </c>
      <c r="AD486" s="86">
        <v>72100000</v>
      </c>
      <c r="AE486" s="87">
        <f t="shared" si="55"/>
        <v>0</v>
      </c>
      <c r="AF486" s="85">
        <v>162</v>
      </c>
      <c r="AG486" s="81">
        <v>43118</v>
      </c>
      <c r="AH486" s="86">
        <v>72100000</v>
      </c>
      <c r="AI486" s="63" t="s">
        <v>1378</v>
      </c>
      <c r="AJ486" s="63">
        <v>123</v>
      </c>
      <c r="AK486" s="87">
        <f t="shared" si="57"/>
        <v>0</v>
      </c>
      <c r="AL486" s="86">
        <v>53594333</v>
      </c>
      <c r="AM486" s="86">
        <f t="shared" si="58"/>
        <v>18505667</v>
      </c>
      <c r="AN486" s="63" t="s">
        <v>1155</v>
      </c>
      <c r="AO486" s="86">
        <f t="shared" si="59"/>
        <v>0</v>
      </c>
      <c r="AP486" s="63"/>
      <c r="AQ486" s="63"/>
      <c r="AR486" s="63"/>
      <c r="AS486" s="63"/>
      <c r="AT486" s="63"/>
      <c r="AU486" s="220"/>
      <c r="AV486" s="220"/>
      <c r="AW486" s="220"/>
    </row>
    <row r="487" spans="1:49" s="221" customFormat="1" ht="242.25" x14ac:dyDescent="0.25">
      <c r="A487" s="63">
        <v>73</v>
      </c>
      <c r="B487" s="63" t="str">
        <f t="shared" si="56"/>
        <v>3075-73</v>
      </c>
      <c r="C487" s="76" t="s">
        <v>1141</v>
      </c>
      <c r="D487" s="76" t="s">
        <v>1142</v>
      </c>
      <c r="E487" s="76" t="s">
        <v>1143</v>
      </c>
      <c r="F487" s="76" t="s">
        <v>1158</v>
      </c>
      <c r="G487" s="77" t="s">
        <v>1159</v>
      </c>
      <c r="H487" s="78" t="s">
        <v>1160</v>
      </c>
      <c r="I487" s="76" t="s">
        <v>1147</v>
      </c>
      <c r="J487" s="76" t="s">
        <v>1148</v>
      </c>
      <c r="K487" s="76">
        <v>801116</v>
      </c>
      <c r="L487" s="63" t="s">
        <v>1149</v>
      </c>
      <c r="M487" s="63" t="s">
        <v>58</v>
      </c>
      <c r="N487" s="63" t="s">
        <v>59</v>
      </c>
      <c r="O487" s="76" t="s">
        <v>1213</v>
      </c>
      <c r="P487" s="76" t="s">
        <v>1376</v>
      </c>
      <c r="Q487" s="83">
        <v>6695000</v>
      </c>
      <c r="R487" s="63">
        <v>1</v>
      </c>
      <c r="S487" s="80">
        <v>66950000</v>
      </c>
      <c r="T487" s="63" t="s">
        <v>888</v>
      </c>
      <c r="U487" s="63" t="s">
        <v>1163</v>
      </c>
      <c r="V487" s="81" t="s">
        <v>64</v>
      </c>
      <c r="W487" s="82">
        <v>10</v>
      </c>
      <c r="X487" s="63" t="s">
        <v>1379</v>
      </c>
      <c r="Y487" s="81">
        <v>43103</v>
      </c>
      <c r="Z487" s="83">
        <v>66950000</v>
      </c>
      <c r="AA487" s="84" t="s">
        <v>439</v>
      </c>
      <c r="AB487" s="85">
        <v>332</v>
      </c>
      <c r="AC487" s="81">
        <v>43110</v>
      </c>
      <c r="AD487" s="86">
        <v>66950000</v>
      </c>
      <c r="AE487" s="87">
        <f t="shared" si="55"/>
        <v>0</v>
      </c>
      <c r="AF487" s="85">
        <v>289</v>
      </c>
      <c r="AG487" s="81">
        <v>43122</v>
      </c>
      <c r="AH487" s="86">
        <v>66950000</v>
      </c>
      <c r="AI487" s="63" t="s">
        <v>1380</v>
      </c>
      <c r="AJ487" s="63">
        <v>258</v>
      </c>
      <c r="AK487" s="87">
        <f t="shared" si="57"/>
        <v>0</v>
      </c>
      <c r="AL487" s="86">
        <v>48650333</v>
      </c>
      <c r="AM487" s="86">
        <f t="shared" si="58"/>
        <v>18299667</v>
      </c>
      <c r="AN487" s="63" t="s">
        <v>1155</v>
      </c>
      <c r="AO487" s="86">
        <f t="shared" si="59"/>
        <v>0</v>
      </c>
      <c r="AP487" s="63"/>
      <c r="AQ487" s="63"/>
      <c r="AR487" s="63"/>
      <c r="AS487" s="63"/>
      <c r="AT487" s="63"/>
      <c r="AU487" s="220"/>
      <c r="AV487" s="220"/>
      <c r="AW487" s="220"/>
    </row>
    <row r="488" spans="1:49" s="221" customFormat="1" ht="228" x14ac:dyDescent="0.25">
      <c r="A488" s="63">
        <v>74</v>
      </c>
      <c r="B488" s="63" t="str">
        <f t="shared" si="56"/>
        <v>3075-74</v>
      </c>
      <c r="C488" s="76" t="s">
        <v>1141</v>
      </c>
      <c r="D488" s="76" t="s">
        <v>1142</v>
      </c>
      <c r="E488" s="76" t="s">
        <v>1143</v>
      </c>
      <c r="F488" s="76" t="s">
        <v>1158</v>
      </c>
      <c r="G488" s="77" t="s">
        <v>1159</v>
      </c>
      <c r="H488" s="78" t="s">
        <v>1160</v>
      </c>
      <c r="I488" s="76" t="s">
        <v>1147</v>
      </c>
      <c r="J488" s="76" t="s">
        <v>1148</v>
      </c>
      <c r="K488" s="76">
        <v>801116</v>
      </c>
      <c r="L488" s="63" t="s">
        <v>1149</v>
      </c>
      <c r="M488" s="63" t="s">
        <v>58</v>
      </c>
      <c r="N488" s="63" t="s">
        <v>59</v>
      </c>
      <c r="O488" s="76" t="s">
        <v>1213</v>
      </c>
      <c r="P488" s="76" t="s">
        <v>1381</v>
      </c>
      <c r="Q488" s="83">
        <v>3553500</v>
      </c>
      <c r="R488" s="63">
        <v>1</v>
      </c>
      <c r="S488" s="80">
        <v>28428000</v>
      </c>
      <c r="T488" s="63" t="s">
        <v>888</v>
      </c>
      <c r="U488" s="63" t="s">
        <v>1163</v>
      </c>
      <c r="V488" s="81" t="s">
        <v>64</v>
      </c>
      <c r="W488" s="82">
        <v>8</v>
      </c>
      <c r="X488" s="63" t="s">
        <v>1382</v>
      </c>
      <c r="Y488" s="81">
        <v>43102</v>
      </c>
      <c r="Z488" s="83">
        <v>28428000</v>
      </c>
      <c r="AA488" s="84" t="s">
        <v>439</v>
      </c>
      <c r="AB488" s="85">
        <v>217</v>
      </c>
      <c r="AC488" s="81">
        <v>43105</v>
      </c>
      <c r="AD488" s="86">
        <v>28428000</v>
      </c>
      <c r="AE488" s="87">
        <f t="shared" si="55"/>
        <v>0</v>
      </c>
      <c r="AF488" s="85">
        <v>421</v>
      </c>
      <c r="AG488" s="81">
        <v>43124</v>
      </c>
      <c r="AH488" s="86">
        <v>28428000</v>
      </c>
      <c r="AI488" s="63" t="s">
        <v>1383</v>
      </c>
      <c r="AJ488" s="63">
        <v>370</v>
      </c>
      <c r="AK488" s="87">
        <f t="shared" si="57"/>
        <v>0</v>
      </c>
      <c r="AL488" s="86">
        <v>25585200</v>
      </c>
      <c r="AM488" s="86">
        <f t="shared" si="58"/>
        <v>2842800</v>
      </c>
      <c r="AN488" s="63" t="s">
        <v>1155</v>
      </c>
      <c r="AO488" s="86">
        <f t="shared" si="59"/>
        <v>0</v>
      </c>
      <c r="AP488" s="63"/>
      <c r="AQ488" s="63"/>
      <c r="AR488" s="63"/>
      <c r="AS488" s="63"/>
      <c r="AT488" s="63"/>
      <c r="AU488" s="220"/>
      <c r="AV488" s="220"/>
      <c r="AW488" s="220"/>
    </row>
    <row r="489" spans="1:49" s="221" customFormat="1" ht="213.75" x14ac:dyDescent="0.25">
      <c r="A489" s="63">
        <v>75</v>
      </c>
      <c r="B489" s="63" t="str">
        <f t="shared" si="56"/>
        <v>3075-75</v>
      </c>
      <c r="C489" s="76" t="s">
        <v>1141</v>
      </c>
      <c r="D489" s="76" t="s">
        <v>1142</v>
      </c>
      <c r="E489" s="76" t="s">
        <v>1143</v>
      </c>
      <c r="F489" s="76" t="s">
        <v>1158</v>
      </c>
      <c r="G489" s="77" t="s">
        <v>1159</v>
      </c>
      <c r="H489" s="78" t="s">
        <v>1160</v>
      </c>
      <c r="I489" s="76" t="s">
        <v>1147</v>
      </c>
      <c r="J489" s="76" t="s">
        <v>1148</v>
      </c>
      <c r="K489" s="76">
        <v>801116</v>
      </c>
      <c r="L489" s="63" t="s">
        <v>1149</v>
      </c>
      <c r="M489" s="63" t="s">
        <v>58</v>
      </c>
      <c r="N489" s="63" t="s">
        <v>59</v>
      </c>
      <c r="O489" s="76" t="s">
        <v>1213</v>
      </c>
      <c r="P489" s="76" t="s">
        <v>1384</v>
      </c>
      <c r="Q489" s="83">
        <v>3553500</v>
      </c>
      <c r="R489" s="63">
        <v>4</v>
      </c>
      <c r="S489" s="80">
        <v>17767500</v>
      </c>
      <c r="T489" s="63" t="s">
        <v>888</v>
      </c>
      <c r="U489" s="63" t="s">
        <v>1163</v>
      </c>
      <c r="V489" s="81" t="s">
        <v>64</v>
      </c>
      <c r="W489" s="82">
        <v>9.5</v>
      </c>
      <c r="X489" s="63" t="s">
        <v>1385</v>
      </c>
      <c r="Y489" s="81">
        <v>43111</v>
      </c>
      <c r="Z489" s="83">
        <v>17767500</v>
      </c>
      <c r="AA489" s="84" t="s">
        <v>1386</v>
      </c>
      <c r="AB489" s="85">
        <v>445</v>
      </c>
      <c r="AC489" s="81">
        <v>43111</v>
      </c>
      <c r="AD489" s="86">
        <v>17767500</v>
      </c>
      <c r="AE489" s="87">
        <f t="shared" si="55"/>
        <v>0</v>
      </c>
      <c r="AF489" s="85">
        <v>400</v>
      </c>
      <c r="AG489" s="81">
        <v>43124</v>
      </c>
      <c r="AH489" s="86">
        <v>17767500</v>
      </c>
      <c r="AI489" s="63" t="s">
        <v>1387</v>
      </c>
      <c r="AJ489" s="63">
        <v>321</v>
      </c>
      <c r="AK489" s="87">
        <f t="shared" si="57"/>
        <v>0</v>
      </c>
      <c r="AL489" s="86">
        <v>17767500</v>
      </c>
      <c r="AM489" s="86">
        <f t="shared" si="58"/>
        <v>0</v>
      </c>
      <c r="AN489" s="63" t="s">
        <v>1155</v>
      </c>
      <c r="AO489" s="86">
        <f t="shared" si="59"/>
        <v>0</v>
      </c>
      <c r="AP489" s="63"/>
      <c r="AQ489" s="63"/>
      <c r="AR489" s="63"/>
      <c r="AS489" s="63"/>
      <c r="AT489" s="63"/>
      <c r="AU489" s="220"/>
      <c r="AV489" s="220"/>
      <c r="AW489" s="220"/>
    </row>
    <row r="490" spans="1:49" s="221" customFormat="1" ht="256.5" x14ac:dyDescent="0.25">
      <c r="A490" s="63">
        <v>76</v>
      </c>
      <c r="B490" s="63" t="str">
        <f t="shared" si="56"/>
        <v>3075-76</v>
      </c>
      <c r="C490" s="76" t="s">
        <v>1141</v>
      </c>
      <c r="D490" s="76" t="s">
        <v>1142</v>
      </c>
      <c r="E490" s="76" t="s">
        <v>1143</v>
      </c>
      <c r="F490" s="76" t="s">
        <v>1158</v>
      </c>
      <c r="G490" s="77" t="s">
        <v>1159</v>
      </c>
      <c r="H490" s="78" t="s">
        <v>1160</v>
      </c>
      <c r="I490" s="76" t="s">
        <v>1147</v>
      </c>
      <c r="J490" s="76" t="s">
        <v>1148</v>
      </c>
      <c r="K490" s="76">
        <v>801116</v>
      </c>
      <c r="L490" s="63" t="s">
        <v>1149</v>
      </c>
      <c r="M490" s="63" t="s">
        <v>58</v>
      </c>
      <c r="N490" s="63" t="s">
        <v>59</v>
      </c>
      <c r="O490" s="76" t="s">
        <v>1213</v>
      </c>
      <c r="P490" s="76" t="s">
        <v>1302</v>
      </c>
      <c r="Q490" s="83">
        <v>4532000</v>
      </c>
      <c r="R490" s="63">
        <v>1</v>
      </c>
      <c r="S490" s="80">
        <v>49852000</v>
      </c>
      <c r="T490" s="63" t="s">
        <v>888</v>
      </c>
      <c r="U490" s="63" t="s">
        <v>1163</v>
      </c>
      <c r="V490" s="81" t="s">
        <v>64</v>
      </c>
      <c r="W490" s="82">
        <v>11</v>
      </c>
      <c r="X490" s="63" t="s">
        <v>1388</v>
      </c>
      <c r="Y490" s="81">
        <v>43103</v>
      </c>
      <c r="Z490" s="83">
        <v>49852000</v>
      </c>
      <c r="AA490" s="84" t="s">
        <v>439</v>
      </c>
      <c r="AB490" s="85">
        <v>337</v>
      </c>
      <c r="AC490" s="81">
        <v>43110</v>
      </c>
      <c r="AD490" s="86">
        <v>49852000</v>
      </c>
      <c r="AE490" s="87">
        <f t="shared" si="55"/>
        <v>0</v>
      </c>
      <c r="AF490" s="85">
        <v>35</v>
      </c>
      <c r="AG490" s="81">
        <v>43116</v>
      </c>
      <c r="AH490" s="86">
        <v>49852000</v>
      </c>
      <c r="AI490" s="63" t="s">
        <v>1389</v>
      </c>
      <c r="AJ490" s="63">
        <v>34</v>
      </c>
      <c r="AK490" s="87">
        <f t="shared" si="57"/>
        <v>0</v>
      </c>
      <c r="AL490" s="86">
        <v>33990000</v>
      </c>
      <c r="AM490" s="86">
        <f t="shared" si="58"/>
        <v>15862000</v>
      </c>
      <c r="AN490" s="63" t="s">
        <v>1155</v>
      </c>
      <c r="AO490" s="86">
        <f t="shared" si="59"/>
        <v>0</v>
      </c>
      <c r="AP490" s="63"/>
      <c r="AQ490" s="63"/>
      <c r="AR490" s="63"/>
      <c r="AS490" s="63"/>
      <c r="AT490" s="63"/>
      <c r="AU490" s="220"/>
      <c r="AV490" s="220"/>
      <c r="AW490" s="220"/>
    </row>
    <row r="491" spans="1:49" s="221" customFormat="1" ht="313.5" x14ac:dyDescent="0.25">
      <c r="A491" s="63">
        <v>77</v>
      </c>
      <c r="B491" s="63" t="str">
        <f t="shared" si="56"/>
        <v>3075-77</v>
      </c>
      <c r="C491" s="76" t="s">
        <v>1141</v>
      </c>
      <c r="D491" s="76" t="s">
        <v>1142</v>
      </c>
      <c r="E491" s="76" t="s">
        <v>1143</v>
      </c>
      <c r="F491" s="76" t="s">
        <v>1158</v>
      </c>
      <c r="G491" s="77" t="s">
        <v>1159</v>
      </c>
      <c r="H491" s="78" t="s">
        <v>1160</v>
      </c>
      <c r="I491" s="76" t="s">
        <v>1147</v>
      </c>
      <c r="J491" s="76" t="s">
        <v>1148</v>
      </c>
      <c r="K491" s="76">
        <v>801116</v>
      </c>
      <c r="L491" s="63" t="s">
        <v>1149</v>
      </c>
      <c r="M491" s="63" t="s">
        <v>58</v>
      </c>
      <c r="N491" s="63" t="s">
        <v>59</v>
      </c>
      <c r="O491" s="76" t="s">
        <v>1213</v>
      </c>
      <c r="P491" s="76" t="s">
        <v>1367</v>
      </c>
      <c r="Q491" s="83">
        <v>4532000</v>
      </c>
      <c r="R491" s="63">
        <v>1</v>
      </c>
      <c r="S491" s="80">
        <v>45320000</v>
      </c>
      <c r="T491" s="63" t="s">
        <v>888</v>
      </c>
      <c r="U491" s="63" t="s">
        <v>1163</v>
      </c>
      <c r="V491" s="81" t="s">
        <v>64</v>
      </c>
      <c r="W491" s="82">
        <v>10</v>
      </c>
      <c r="X491" s="63" t="s">
        <v>1390</v>
      </c>
      <c r="Y491" s="81">
        <v>43103</v>
      </c>
      <c r="Z491" s="83">
        <v>45320000</v>
      </c>
      <c r="AA491" s="84" t="s">
        <v>439</v>
      </c>
      <c r="AB491" s="85">
        <v>310</v>
      </c>
      <c r="AC491" s="81">
        <v>43110</v>
      </c>
      <c r="AD491" s="86">
        <v>45320000</v>
      </c>
      <c r="AE491" s="87">
        <f t="shared" si="55"/>
        <v>0</v>
      </c>
      <c r="AF491" s="85">
        <v>205</v>
      </c>
      <c r="AG491" s="81">
        <v>43118</v>
      </c>
      <c r="AH491" s="86">
        <v>45320000</v>
      </c>
      <c r="AI491" s="63" t="s">
        <v>1391</v>
      </c>
      <c r="AJ491" s="63">
        <v>163</v>
      </c>
      <c r="AK491" s="87">
        <f t="shared" si="57"/>
        <v>0</v>
      </c>
      <c r="AL491" s="86">
        <v>33536800</v>
      </c>
      <c r="AM491" s="86">
        <f t="shared" si="58"/>
        <v>11783200</v>
      </c>
      <c r="AN491" s="63" t="s">
        <v>1155</v>
      </c>
      <c r="AO491" s="86">
        <f t="shared" si="59"/>
        <v>0</v>
      </c>
      <c r="AP491" s="63"/>
      <c r="AQ491" s="63"/>
      <c r="AR491" s="63"/>
      <c r="AS491" s="63"/>
      <c r="AT491" s="63"/>
      <c r="AU491" s="220"/>
      <c r="AV491" s="220"/>
      <c r="AW491" s="220"/>
    </row>
    <row r="492" spans="1:49" s="221" customFormat="1" ht="213.75" x14ac:dyDescent="0.25">
      <c r="A492" s="63">
        <v>78</v>
      </c>
      <c r="B492" s="63" t="str">
        <f t="shared" si="56"/>
        <v>3075-78</v>
      </c>
      <c r="C492" s="76" t="s">
        <v>1141</v>
      </c>
      <c r="D492" s="76" t="s">
        <v>1142</v>
      </c>
      <c r="E492" s="76" t="s">
        <v>1143</v>
      </c>
      <c r="F492" s="76" t="s">
        <v>1158</v>
      </c>
      <c r="G492" s="77" t="s">
        <v>1159</v>
      </c>
      <c r="H492" s="78" t="s">
        <v>1160</v>
      </c>
      <c r="I492" s="76" t="s">
        <v>1147</v>
      </c>
      <c r="J492" s="76" t="s">
        <v>1148</v>
      </c>
      <c r="K492" s="76">
        <v>801116</v>
      </c>
      <c r="L492" s="63" t="s">
        <v>1149</v>
      </c>
      <c r="M492" s="63" t="s">
        <v>58</v>
      </c>
      <c r="N492" s="63" t="s">
        <v>59</v>
      </c>
      <c r="O492" s="76" t="s">
        <v>1213</v>
      </c>
      <c r="P492" s="76" t="s">
        <v>1287</v>
      </c>
      <c r="Q492" s="83">
        <v>5036700</v>
      </c>
      <c r="R492" s="63">
        <v>1</v>
      </c>
      <c r="S492" s="80">
        <v>45330300</v>
      </c>
      <c r="T492" s="63" t="s">
        <v>888</v>
      </c>
      <c r="U492" s="63" t="s">
        <v>1163</v>
      </c>
      <c r="V492" s="81" t="s">
        <v>64</v>
      </c>
      <c r="W492" s="82">
        <v>9</v>
      </c>
      <c r="X492" s="63" t="s">
        <v>1392</v>
      </c>
      <c r="Y492" s="81">
        <v>43103</v>
      </c>
      <c r="Z492" s="83">
        <v>45330300</v>
      </c>
      <c r="AA492" s="84" t="s">
        <v>439</v>
      </c>
      <c r="AB492" s="85">
        <v>328</v>
      </c>
      <c r="AC492" s="81">
        <v>43110</v>
      </c>
      <c r="AD492" s="86">
        <v>45330300</v>
      </c>
      <c r="AE492" s="87">
        <f t="shared" si="55"/>
        <v>0</v>
      </c>
      <c r="AF492" s="85">
        <v>227</v>
      </c>
      <c r="AG492" s="81">
        <v>43118</v>
      </c>
      <c r="AH492" s="86">
        <v>45330300</v>
      </c>
      <c r="AI492" s="63" t="s">
        <v>1393</v>
      </c>
      <c r="AJ492" s="63">
        <v>194</v>
      </c>
      <c r="AK492" s="87">
        <f t="shared" si="57"/>
        <v>0</v>
      </c>
      <c r="AL492" s="86">
        <v>37271580</v>
      </c>
      <c r="AM492" s="86">
        <f t="shared" si="58"/>
        <v>8058720</v>
      </c>
      <c r="AN492" s="63" t="s">
        <v>1155</v>
      </c>
      <c r="AO492" s="86">
        <f t="shared" si="59"/>
        <v>0</v>
      </c>
      <c r="AP492" s="63"/>
      <c r="AQ492" s="63"/>
      <c r="AR492" s="63"/>
      <c r="AS492" s="63"/>
      <c r="AT492" s="63"/>
      <c r="AU492" s="220"/>
      <c r="AV492" s="220"/>
      <c r="AW492" s="220"/>
    </row>
    <row r="493" spans="1:49" s="221" customFormat="1" ht="242.25" x14ac:dyDescent="0.25">
      <c r="A493" s="63">
        <v>79</v>
      </c>
      <c r="B493" s="63" t="str">
        <f t="shared" si="56"/>
        <v>3075-79</v>
      </c>
      <c r="C493" s="76" t="s">
        <v>1141</v>
      </c>
      <c r="D493" s="76" t="s">
        <v>1142</v>
      </c>
      <c r="E493" s="76" t="s">
        <v>1143</v>
      </c>
      <c r="F493" s="76" t="s">
        <v>1158</v>
      </c>
      <c r="G493" s="77" t="s">
        <v>1159</v>
      </c>
      <c r="H493" s="78" t="s">
        <v>1160</v>
      </c>
      <c r="I493" s="76" t="s">
        <v>1147</v>
      </c>
      <c r="J493" s="76" t="s">
        <v>1148</v>
      </c>
      <c r="K493" s="76">
        <v>801116</v>
      </c>
      <c r="L493" s="63" t="s">
        <v>1149</v>
      </c>
      <c r="M493" s="63" t="s">
        <v>58</v>
      </c>
      <c r="N493" s="63" t="s">
        <v>59</v>
      </c>
      <c r="O493" s="76" t="s">
        <v>1213</v>
      </c>
      <c r="P493" s="76" t="s">
        <v>1394</v>
      </c>
      <c r="Q493" s="83">
        <v>5253000</v>
      </c>
      <c r="R493" s="63">
        <v>1</v>
      </c>
      <c r="S493" s="80">
        <v>36771000</v>
      </c>
      <c r="T493" s="63" t="s">
        <v>888</v>
      </c>
      <c r="U493" s="63" t="s">
        <v>1163</v>
      </c>
      <c r="V493" s="81" t="s">
        <v>64</v>
      </c>
      <c r="W493" s="82">
        <v>7</v>
      </c>
      <c r="X493" s="63" t="s">
        <v>1395</v>
      </c>
      <c r="Y493" s="81">
        <v>43103</v>
      </c>
      <c r="Z493" s="83">
        <v>36771000</v>
      </c>
      <c r="AA493" s="84" t="s">
        <v>439</v>
      </c>
      <c r="AB493" s="85">
        <v>343</v>
      </c>
      <c r="AC493" s="81">
        <v>43110</v>
      </c>
      <c r="AD493" s="86">
        <v>36771000</v>
      </c>
      <c r="AE493" s="87">
        <f t="shared" si="55"/>
        <v>0</v>
      </c>
      <c r="AF493" s="85">
        <v>303</v>
      </c>
      <c r="AG493" s="81">
        <v>43122</v>
      </c>
      <c r="AH493" s="86">
        <v>36771000</v>
      </c>
      <c r="AI493" s="63" t="s">
        <v>1396</v>
      </c>
      <c r="AJ493" s="63">
        <v>269</v>
      </c>
      <c r="AK493" s="87">
        <f t="shared" si="57"/>
        <v>0</v>
      </c>
      <c r="AL493" s="86">
        <v>36771000</v>
      </c>
      <c r="AM493" s="86">
        <f t="shared" si="58"/>
        <v>0</v>
      </c>
      <c r="AN493" s="63" t="s">
        <v>1155</v>
      </c>
      <c r="AO493" s="86">
        <f t="shared" si="59"/>
        <v>0</v>
      </c>
      <c r="AP493" s="63"/>
      <c r="AQ493" s="63"/>
      <c r="AR493" s="63"/>
      <c r="AS493" s="63"/>
      <c r="AT493" s="63"/>
      <c r="AU493" s="220"/>
      <c r="AV493" s="220"/>
      <c r="AW493" s="220"/>
    </row>
    <row r="494" spans="1:49" s="221" customFormat="1" ht="213.75" x14ac:dyDescent="0.25">
      <c r="A494" s="63">
        <v>80</v>
      </c>
      <c r="B494" s="63" t="str">
        <f t="shared" si="56"/>
        <v>3075-80</v>
      </c>
      <c r="C494" s="76" t="s">
        <v>1141</v>
      </c>
      <c r="D494" s="76" t="s">
        <v>1142</v>
      </c>
      <c r="E494" s="76" t="s">
        <v>1305</v>
      </c>
      <c r="F494" s="76" t="s">
        <v>1158</v>
      </c>
      <c r="G494" s="77" t="s">
        <v>1159</v>
      </c>
      <c r="H494" s="78" t="s">
        <v>1160</v>
      </c>
      <c r="I494" s="76" t="s">
        <v>1147</v>
      </c>
      <c r="J494" s="76" t="s">
        <v>1148</v>
      </c>
      <c r="K494" s="76">
        <v>801116</v>
      </c>
      <c r="L494" s="63" t="s">
        <v>1149</v>
      </c>
      <c r="M494" s="63" t="s">
        <v>58</v>
      </c>
      <c r="N494" s="63" t="s">
        <v>59</v>
      </c>
      <c r="O494" s="76" t="s">
        <v>1213</v>
      </c>
      <c r="P494" s="76" t="s">
        <v>1287</v>
      </c>
      <c r="Q494" s="83">
        <v>5253000</v>
      </c>
      <c r="R494" s="63">
        <v>1</v>
      </c>
      <c r="S494" s="80">
        <v>57783000</v>
      </c>
      <c r="T494" s="63" t="s">
        <v>888</v>
      </c>
      <c r="U494" s="63" t="s">
        <v>1163</v>
      </c>
      <c r="V494" s="81" t="s">
        <v>64</v>
      </c>
      <c r="W494" s="82">
        <v>11</v>
      </c>
      <c r="X494" s="63" t="s">
        <v>1397</v>
      </c>
      <c r="Y494" s="81">
        <v>43103</v>
      </c>
      <c r="Z494" s="83">
        <v>57783000</v>
      </c>
      <c r="AA494" s="84" t="s">
        <v>439</v>
      </c>
      <c r="AB494" s="85">
        <v>335</v>
      </c>
      <c r="AC494" s="81">
        <v>43110</v>
      </c>
      <c r="AD494" s="86">
        <v>57783000</v>
      </c>
      <c r="AE494" s="87">
        <f t="shared" si="55"/>
        <v>0</v>
      </c>
      <c r="AF494" s="85">
        <v>187</v>
      </c>
      <c r="AG494" s="81">
        <v>43118</v>
      </c>
      <c r="AH494" s="86">
        <v>57783000</v>
      </c>
      <c r="AI494" s="63" t="s">
        <v>1398</v>
      </c>
      <c r="AJ494" s="63">
        <v>156</v>
      </c>
      <c r="AK494" s="87">
        <f t="shared" si="57"/>
        <v>0</v>
      </c>
      <c r="AL494" s="86">
        <v>39047300</v>
      </c>
      <c r="AM494" s="86">
        <f t="shared" si="58"/>
        <v>18735700</v>
      </c>
      <c r="AN494" s="63" t="s">
        <v>1155</v>
      </c>
      <c r="AO494" s="86">
        <f t="shared" si="59"/>
        <v>0</v>
      </c>
      <c r="AP494" s="63"/>
      <c r="AQ494" s="63"/>
      <c r="AR494" s="63"/>
      <c r="AS494" s="63"/>
      <c r="AT494" s="63"/>
      <c r="AU494" s="220"/>
      <c r="AV494" s="220"/>
      <c r="AW494" s="220"/>
    </row>
    <row r="495" spans="1:49" s="221" customFormat="1" ht="342" x14ac:dyDescent="0.25">
      <c r="A495" s="63">
        <v>81</v>
      </c>
      <c r="B495" s="63" t="str">
        <f t="shared" si="56"/>
        <v>3075-81</v>
      </c>
      <c r="C495" s="76" t="s">
        <v>1141</v>
      </c>
      <c r="D495" s="76" t="s">
        <v>1142</v>
      </c>
      <c r="E495" s="76" t="s">
        <v>1143</v>
      </c>
      <c r="F495" s="76" t="s">
        <v>1158</v>
      </c>
      <c r="G495" s="77" t="s">
        <v>1159</v>
      </c>
      <c r="H495" s="78" t="s">
        <v>1160</v>
      </c>
      <c r="I495" s="76" t="s">
        <v>1147</v>
      </c>
      <c r="J495" s="76" t="s">
        <v>1148</v>
      </c>
      <c r="K495" s="76">
        <v>801116</v>
      </c>
      <c r="L495" s="63" t="s">
        <v>1149</v>
      </c>
      <c r="M495" s="63" t="s">
        <v>58</v>
      </c>
      <c r="N495" s="63" t="s">
        <v>59</v>
      </c>
      <c r="O495" s="76" t="s">
        <v>1213</v>
      </c>
      <c r="P495" s="76" t="s">
        <v>1399</v>
      </c>
      <c r="Q495" s="83">
        <v>6180000</v>
      </c>
      <c r="R495" s="63">
        <v>1</v>
      </c>
      <c r="S495" s="80">
        <v>61800000</v>
      </c>
      <c r="T495" s="63" t="s">
        <v>888</v>
      </c>
      <c r="U495" s="63" t="s">
        <v>1163</v>
      </c>
      <c r="V495" s="81" t="s">
        <v>64</v>
      </c>
      <c r="W495" s="82">
        <v>10</v>
      </c>
      <c r="X495" s="63" t="s">
        <v>1400</v>
      </c>
      <c r="Y495" s="81">
        <v>43103</v>
      </c>
      <c r="Z495" s="83">
        <v>61800000</v>
      </c>
      <c r="AA495" s="84" t="s">
        <v>439</v>
      </c>
      <c r="AB495" s="85">
        <v>327</v>
      </c>
      <c r="AC495" s="81">
        <v>43110</v>
      </c>
      <c r="AD495" s="86">
        <v>61800000</v>
      </c>
      <c r="AE495" s="87">
        <f t="shared" ref="AE495:AE558" si="60">S495-Z495</f>
        <v>0</v>
      </c>
      <c r="AF495" s="85">
        <v>369</v>
      </c>
      <c r="AG495" s="81">
        <v>43124</v>
      </c>
      <c r="AH495" s="86">
        <v>61800000</v>
      </c>
      <c r="AI495" s="63" t="s">
        <v>1401</v>
      </c>
      <c r="AJ495" s="63">
        <v>324</v>
      </c>
      <c r="AK495" s="87">
        <f t="shared" si="57"/>
        <v>0</v>
      </c>
      <c r="AL495" s="86">
        <v>44702000</v>
      </c>
      <c r="AM495" s="86">
        <f t="shared" si="58"/>
        <v>17098000</v>
      </c>
      <c r="AN495" s="63" t="s">
        <v>1155</v>
      </c>
      <c r="AO495" s="86">
        <f t="shared" si="59"/>
        <v>0</v>
      </c>
      <c r="AP495" s="63"/>
      <c r="AQ495" s="63"/>
      <c r="AR495" s="63"/>
      <c r="AS495" s="63"/>
      <c r="AT495" s="63"/>
      <c r="AU495" s="220"/>
      <c r="AV495" s="220"/>
      <c r="AW495" s="220"/>
    </row>
    <row r="496" spans="1:49" s="221" customFormat="1" ht="299.25" x14ac:dyDescent="0.25">
      <c r="A496" s="63">
        <v>82</v>
      </c>
      <c r="B496" s="63" t="str">
        <f t="shared" si="56"/>
        <v>3075-82</v>
      </c>
      <c r="C496" s="76" t="s">
        <v>1141</v>
      </c>
      <c r="D496" s="76" t="s">
        <v>1142</v>
      </c>
      <c r="E496" s="76" t="s">
        <v>1143</v>
      </c>
      <c r="F496" s="76" t="s">
        <v>1158</v>
      </c>
      <c r="G496" s="77" t="s">
        <v>1159</v>
      </c>
      <c r="H496" s="78" t="s">
        <v>1160</v>
      </c>
      <c r="I496" s="76" t="s">
        <v>1147</v>
      </c>
      <c r="J496" s="76" t="s">
        <v>1148</v>
      </c>
      <c r="K496" s="76">
        <v>801116</v>
      </c>
      <c r="L496" s="63" t="s">
        <v>1149</v>
      </c>
      <c r="M496" s="63" t="s">
        <v>58</v>
      </c>
      <c r="N496" s="63" t="s">
        <v>59</v>
      </c>
      <c r="O496" s="76" t="s">
        <v>1213</v>
      </c>
      <c r="P496" s="76" t="s">
        <v>1402</v>
      </c>
      <c r="Q496" s="83">
        <v>6180000</v>
      </c>
      <c r="R496" s="63">
        <v>1</v>
      </c>
      <c r="S496" s="80">
        <v>61800000</v>
      </c>
      <c r="T496" s="63" t="s">
        <v>888</v>
      </c>
      <c r="U496" s="63" t="s">
        <v>1163</v>
      </c>
      <c r="V496" s="81" t="s">
        <v>64</v>
      </c>
      <c r="W496" s="82">
        <v>10</v>
      </c>
      <c r="X496" s="63" t="s">
        <v>1403</v>
      </c>
      <c r="Y496" s="81">
        <v>43103</v>
      </c>
      <c r="Z496" s="83">
        <v>61800000</v>
      </c>
      <c r="AA496" s="84" t="s">
        <v>439</v>
      </c>
      <c r="AB496" s="85">
        <v>312</v>
      </c>
      <c r="AC496" s="81">
        <v>43110</v>
      </c>
      <c r="AD496" s="86">
        <v>61800000</v>
      </c>
      <c r="AE496" s="87">
        <f t="shared" si="60"/>
        <v>0</v>
      </c>
      <c r="AF496" s="85">
        <v>295</v>
      </c>
      <c r="AG496" s="81">
        <v>43122</v>
      </c>
      <c r="AH496" s="86">
        <v>61800000</v>
      </c>
      <c r="AI496" s="63" t="s">
        <v>1404</v>
      </c>
      <c r="AJ496" s="63">
        <v>263</v>
      </c>
      <c r="AK496" s="87">
        <f t="shared" si="57"/>
        <v>0</v>
      </c>
      <c r="AL496" s="86">
        <v>45114000</v>
      </c>
      <c r="AM496" s="86">
        <f t="shared" si="58"/>
        <v>16686000</v>
      </c>
      <c r="AN496" s="63" t="s">
        <v>1155</v>
      </c>
      <c r="AO496" s="86">
        <f t="shared" si="59"/>
        <v>0</v>
      </c>
      <c r="AP496" s="63"/>
      <c r="AQ496" s="63"/>
      <c r="AR496" s="63"/>
      <c r="AS496" s="63"/>
      <c r="AT496" s="63"/>
      <c r="AU496" s="220"/>
      <c r="AV496" s="220"/>
      <c r="AW496" s="220"/>
    </row>
    <row r="497" spans="1:49" s="221" customFormat="1" ht="327.75" x14ac:dyDescent="0.25">
      <c r="A497" s="63">
        <v>83</v>
      </c>
      <c r="B497" s="63" t="str">
        <f t="shared" si="56"/>
        <v>3075-83</v>
      </c>
      <c r="C497" s="76" t="s">
        <v>1141</v>
      </c>
      <c r="D497" s="76" t="s">
        <v>1142</v>
      </c>
      <c r="E497" s="76" t="s">
        <v>1143</v>
      </c>
      <c r="F497" s="76" t="s">
        <v>1158</v>
      </c>
      <c r="G497" s="77" t="s">
        <v>1159</v>
      </c>
      <c r="H497" s="78" t="s">
        <v>1160</v>
      </c>
      <c r="I497" s="76" t="s">
        <v>1147</v>
      </c>
      <c r="J497" s="76" t="s">
        <v>1148</v>
      </c>
      <c r="K497" s="76">
        <v>801116</v>
      </c>
      <c r="L497" s="63" t="s">
        <v>1149</v>
      </c>
      <c r="M497" s="63" t="s">
        <v>58</v>
      </c>
      <c r="N497" s="63" t="s">
        <v>59</v>
      </c>
      <c r="O497" s="76" t="s">
        <v>1213</v>
      </c>
      <c r="P497" s="76" t="s">
        <v>1405</v>
      </c>
      <c r="Q497" s="83">
        <v>6180000</v>
      </c>
      <c r="R497" s="63">
        <v>1</v>
      </c>
      <c r="S497" s="80">
        <v>67980000</v>
      </c>
      <c r="T497" s="63" t="s">
        <v>888</v>
      </c>
      <c r="U497" s="63" t="s">
        <v>1163</v>
      </c>
      <c r="V497" s="81" t="s">
        <v>64</v>
      </c>
      <c r="W497" s="82">
        <v>11</v>
      </c>
      <c r="X497" s="63" t="s">
        <v>1406</v>
      </c>
      <c r="Y497" s="81">
        <v>43103</v>
      </c>
      <c r="Z497" s="83">
        <v>67980000</v>
      </c>
      <c r="AA497" s="84" t="s">
        <v>439</v>
      </c>
      <c r="AB497" s="85">
        <v>357</v>
      </c>
      <c r="AC497" s="81">
        <v>43110</v>
      </c>
      <c r="AD497" s="86">
        <v>67980000</v>
      </c>
      <c r="AE497" s="87">
        <f t="shared" si="60"/>
        <v>0</v>
      </c>
      <c r="AF497" s="85">
        <v>87</v>
      </c>
      <c r="AG497" s="81">
        <v>43116</v>
      </c>
      <c r="AH497" s="86">
        <v>67980000</v>
      </c>
      <c r="AI497" s="63" t="s">
        <v>1407</v>
      </c>
      <c r="AJ497" s="63">
        <v>75</v>
      </c>
      <c r="AK497" s="87">
        <f t="shared" si="57"/>
        <v>0</v>
      </c>
      <c r="AL497" s="86">
        <v>46144000</v>
      </c>
      <c r="AM497" s="86">
        <f t="shared" si="58"/>
        <v>21836000</v>
      </c>
      <c r="AN497" s="63" t="s">
        <v>1155</v>
      </c>
      <c r="AO497" s="86">
        <f t="shared" si="59"/>
        <v>0</v>
      </c>
      <c r="AP497" s="63"/>
      <c r="AQ497" s="63"/>
      <c r="AR497" s="63"/>
      <c r="AS497" s="63"/>
      <c r="AT497" s="63"/>
      <c r="AU497" s="220"/>
      <c r="AV497" s="220"/>
      <c r="AW497" s="220"/>
    </row>
    <row r="498" spans="1:49" s="221" customFormat="1" ht="242.25" x14ac:dyDescent="0.25">
      <c r="A498" s="63">
        <v>84</v>
      </c>
      <c r="B498" s="63" t="str">
        <f t="shared" si="56"/>
        <v>3075-84</v>
      </c>
      <c r="C498" s="76" t="s">
        <v>1141</v>
      </c>
      <c r="D498" s="76" t="s">
        <v>1142</v>
      </c>
      <c r="E498" s="76" t="s">
        <v>1143</v>
      </c>
      <c r="F498" s="76" t="s">
        <v>1158</v>
      </c>
      <c r="G498" s="77" t="s">
        <v>1159</v>
      </c>
      <c r="H498" s="78" t="s">
        <v>1160</v>
      </c>
      <c r="I498" s="76" t="s">
        <v>1147</v>
      </c>
      <c r="J498" s="76" t="s">
        <v>1148</v>
      </c>
      <c r="K498" s="76">
        <v>801116</v>
      </c>
      <c r="L498" s="63" t="s">
        <v>1149</v>
      </c>
      <c r="M498" s="63" t="s">
        <v>58</v>
      </c>
      <c r="N498" s="63" t="s">
        <v>59</v>
      </c>
      <c r="O498" s="76" t="s">
        <v>1213</v>
      </c>
      <c r="P498" s="76" t="s">
        <v>1309</v>
      </c>
      <c r="Q498" s="83">
        <v>8240000</v>
      </c>
      <c r="R498" s="63">
        <v>1</v>
      </c>
      <c r="S498" s="80">
        <v>90640000</v>
      </c>
      <c r="T498" s="63" t="s">
        <v>888</v>
      </c>
      <c r="U498" s="63" t="s">
        <v>1163</v>
      </c>
      <c r="V498" s="81" t="s">
        <v>64</v>
      </c>
      <c r="W498" s="82">
        <v>11</v>
      </c>
      <c r="X498" s="63" t="s">
        <v>1408</v>
      </c>
      <c r="Y498" s="81">
        <v>43103</v>
      </c>
      <c r="Z498" s="83">
        <v>90640000</v>
      </c>
      <c r="AA498" s="84" t="s">
        <v>439</v>
      </c>
      <c r="AB498" s="85">
        <v>236</v>
      </c>
      <c r="AC498" s="81">
        <v>43105</v>
      </c>
      <c r="AD498" s="86">
        <v>90640000</v>
      </c>
      <c r="AE498" s="87">
        <f t="shared" si="60"/>
        <v>0</v>
      </c>
      <c r="AF498" s="85">
        <v>130</v>
      </c>
      <c r="AG498" s="81">
        <v>43117</v>
      </c>
      <c r="AH498" s="86">
        <v>90640000</v>
      </c>
      <c r="AI498" s="63" t="s">
        <v>1409</v>
      </c>
      <c r="AJ498" s="63">
        <v>121</v>
      </c>
      <c r="AK498" s="87">
        <f t="shared" si="57"/>
        <v>0</v>
      </c>
      <c r="AL498" s="86">
        <v>61250667</v>
      </c>
      <c r="AM498" s="86">
        <f t="shared" si="58"/>
        <v>29389333</v>
      </c>
      <c r="AN498" s="63" t="s">
        <v>1155</v>
      </c>
      <c r="AO498" s="86">
        <f t="shared" si="59"/>
        <v>0</v>
      </c>
      <c r="AP498" s="63"/>
      <c r="AQ498" s="63"/>
      <c r="AR498" s="63"/>
      <c r="AS498" s="63"/>
      <c r="AT498" s="63"/>
      <c r="AU498" s="220"/>
      <c r="AV498" s="220"/>
      <c r="AW498" s="220"/>
    </row>
    <row r="499" spans="1:49" s="221" customFormat="1" ht="242.25" x14ac:dyDescent="0.25">
      <c r="A499" s="63">
        <v>85</v>
      </c>
      <c r="B499" s="63" t="str">
        <f t="shared" si="56"/>
        <v>3075-85</v>
      </c>
      <c r="C499" s="76" t="s">
        <v>1141</v>
      </c>
      <c r="D499" s="76" t="s">
        <v>1142</v>
      </c>
      <c r="E499" s="76" t="s">
        <v>1143</v>
      </c>
      <c r="F499" s="76" t="s">
        <v>1158</v>
      </c>
      <c r="G499" s="77" t="s">
        <v>1159</v>
      </c>
      <c r="H499" s="78" t="s">
        <v>1160</v>
      </c>
      <c r="I499" s="76" t="s">
        <v>1147</v>
      </c>
      <c r="J499" s="76" t="s">
        <v>1148</v>
      </c>
      <c r="K499" s="76">
        <v>801116</v>
      </c>
      <c r="L499" s="63" t="s">
        <v>1149</v>
      </c>
      <c r="M499" s="63" t="s">
        <v>58</v>
      </c>
      <c r="N499" s="63" t="s">
        <v>59</v>
      </c>
      <c r="O499" s="76" t="s">
        <v>1213</v>
      </c>
      <c r="P499" s="76" t="s">
        <v>1241</v>
      </c>
      <c r="Q499" s="83">
        <v>5665000</v>
      </c>
      <c r="R499" s="63">
        <v>1</v>
      </c>
      <c r="S499" s="80">
        <v>50985000</v>
      </c>
      <c r="T499" s="63" t="s">
        <v>888</v>
      </c>
      <c r="U499" s="63" t="s">
        <v>1163</v>
      </c>
      <c r="V499" s="81" t="s">
        <v>64</v>
      </c>
      <c r="W499" s="82">
        <v>9</v>
      </c>
      <c r="X499" s="63" t="s">
        <v>1410</v>
      </c>
      <c r="Y499" s="81">
        <v>43103</v>
      </c>
      <c r="Z499" s="83">
        <v>50985000</v>
      </c>
      <c r="AA499" s="84" t="s">
        <v>439</v>
      </c>
      <c r="AB499" s="85">
        <v>331</v>
      </c>
      <c r="AC499" s="81">
        <v>43110</v>
      </c>
      <c r="AD499" s="86">
        <v>50985000</v>
      </c>
      <c r="AE499" s="87">
        <f t="shared" si="60"/>
        <v>0</v>
      </c>
      <c r="AF499" s="85">
        <v>210</v>
      </c>
      <c r="AG499" s="81">
        <v>43118</v>
      </c>
      <c r="AH499" s="86">
        <v>50985000</v>
      </c>
      <c r="AI499" s="63" t="s">
        <v>1411</v>
      </c>
      <c r="AJ499" s="63">
        <v>170</v>
      </c>
      <c r="AK499" s="87">
        <f t="shared" si="57"/>
        <v>0</v>
      </c>
      <c r="AL499" s="86">
        <v>41921000</v>
      </c>
      <c r="AM499" s="86">
        <f t="shared" si="58"/>
        <v>9064000</v>
      </c>
      <c r="AN499" s="63" t="s">
        <v>1155</v>
      </c>
      <c r="AO499" s="86">
        <f t="shared" si="59"/>
        <v>0</v>
      </c>
      <c r="AP499" s="63"/>
      <c r="AQ499" s="63"/>
      <c r="AR499" s="63"/>
      <c r="AS499" s="63"/>
      <c r="AT499" s="63"/>
      <c r="AU499" s="220"/>
      <c r="AV499" s="220"/>
      <c r="AW499" s="220"/>
    </row>
    <row r="500" spans="1:49" s="221" customFormat="1" ht="313.5" x14ac:dyDescent="0.25">
      <c r="A500" s="63">
        <v>86</v>
      </c>
      <c r="B500" s="63" t="str">
        <f t="shared" si="56"/>
        <v>3075-86</v>
      </c>
      <c r="C500" s="76" t="s">
        <v>1141</v>
      </c>
      <c r="D500" s="76" t="s">
        <v>1142</v>
      </c>
      <c r="E500" s="76" t="s">
        <v>1143</v>
      </c>
      <c r="F500" s="76" t="s">
        <v>1158</v>
      </c>
      <c r="G500" s="77" t="s">
        <v>1159</v>
      </c>
      <c r="H500" s="78" t="s">
        <v>1160</v>
      </c>
      <c r="I500" s="76" t="s">
        <v>1147</v>
      </c>
      <c r="J500" s="76" t="s">
        <v>1148</v>
      </c>
      <c r="K500" s="76">
        <v>801116</v>
      </c>
      <c r="L500" s="63" t="s">
        <v>1149</v>
      </c>
      <c r="M500" s="63" t="s">
        <v>58</v>
      </c>
      <c r="N500" s="63" t="s">
        <v>59</v>
      </c>
      <c r="O500" s="76" t="s">
        <v>1213</v>
      </c>
      <c r="P500" s="76" t="s">
        <v>1412</v>
      </c>
      <c r="Q500" s="83">
        <v>5665000</v>
      </c>
      <c r="R500" s="63">
        <v>1</v>
      </c>
      <c r="S500" s="80">
        <v>56650000</v>
      </c>
      <c r="T500" s="63" t="s">
        <v>888</v>
      </c>
      <c r="U500" s="63" t="s">
        <v>1163</v>
      </c>
      <c r="V500" s="81" t="s">
        <v>64</v>
      </c>
      <c r="W500" s="82">
        <v>10</v>
      </c>
      <c r="X500" s="63" t="s">
        <v>1413</v>
      </c>
      <c r="Y500" s="81">
        <v>43103</v>
      </c>
      <c r="Z500" s="83">
        <v>56650000</v>
      </c>
      <c r="AA500" s="84" t="s">
        <v>439</v>
      </c>
      <c r="AB500" s="85">
        <v>353</v>
      </c>
      <c r="AC500" s="81">
        <v>43110</v>
      </c>
      <c r="AD500" s="86">
        <v>56650000</v>
      </c>
      <c r="AE500" s="87">
        <f t="shared" si="60"/>
        <v>0</v>
      </c>
      <c r="AF500" s="85">
        <v>396</v>
      </c>
      <c r="AG500" s="81">
        <v>43124</v>
      </c>
      <c r="AH500" s="86">
        <v>56650000</v>
      </c>
      <c r="AI500" s="63" t="s">
        <v>1414</v>
      </c>
      <c r="AJ500" s="63">
        <v>317</v>
      </c>
      <c r="AK500" s="87">
        <f t="shared" si="57"/>
        <v>0</v>
      </c>
      <c r="AL500" s="86">
        <v>40976833</v>
      </c>
      <c r="AM500" s="86">
        <f t="shared" si="58"/>
        <v>15673167</v>
      </c>
      <c r="AN500" s="63" t="s">
        <v>1155</v>
      </c>
      <c r="AO500" s="86">
        <f t="shared" si="59"/>
        <v>0</v>
      </c>
      <c r="AP500" s="63"/>
      <c r="AQ500" s="63"/>
      <c r="AR500" s="63"/>
      <c r="AS500" s="63"/>
      <c r="AT500" s="63"/>
      <c r="AU500" s="220"/>
      <c r="AV500" s="220"/>
      <c r="AW500" s="220"/>
    </row>
    <row r="501" spans="1:49" s="221" customFormat="1" ht="342" x14ac:dyDescent="0.25">
      <c r="A501" s="63">
        <v>87</v>
      </c>
      <c r="B501" s="63" t="str">
        <f t="shared" si="56"/>
        <v>3075-87</v>
      </c>
      <c r="C501" s="76" t="s">
        <v>1141</v>
      </c>
      <c r="D501" s="76" t="s">
        <v>1142</v>
      </c>
      <c r="E501" s="76" t="s">
        <v>1143</v>
      </c>
      <c r="F501" s="76" t="s">
        <v>1158</v>
      </c>
      <c r="G501" s="77" t="s">
        <v>1159</v>
      </c>
      <c r="H501" s="78" t="s">
        <v>1160</v>
      </c>
      <c r="I501" s="76" t="s">
        <v>1147</v>
      </c>
      <c r="J501" s="76" t="s">
        <v>1148</v>
      </c>
      <c r="K501" s="76">
        <v>801116</v>
      </c>
      <c r="L501" s="63" t="s">
        <v>1149</v>
      </c>
      <c r="M501" s="63" t="s">
        <v>58</v>
      </c>
      <c r="N501" s="63" t="s">
        <v>59</v>
      </c>
      <c r="O501" s="76" t="s">
        <v>1213</v>
      </c>
      <c r="P501" s="76" t="s">
        <v>1415</v>
      </c>
      <c r="Q501" s="83">
        <v>888375</v>
      </c>
      <c r="R501" s="63">
        <v>1</v>
      </c>
      <c r="S501" s="80">
        <f>10216313-444188</f>
        <v>9772125</v>
      </c>
      <c r="T501" s="63" t="s">
        <v>888</v>
      </c>
      <c r="U501" s="63" t="s">
        <v>1163</v>
      </c>
      <c r="V501" s="81" t="s">
        <v>64</v>
      </c>
      <c r="W501" s="82">
        <v>11.5</v>
      </c>
      <c r="X501" s="63" t="s">
        <v>1416</v>
      </c>
      <c r="Y501" s="81">
        <v>43109</v>
      </c>
      <c r="Z501" s="83">
        <f>10216313-444188</f>
        <v>9772125</v>
      </c>
      <c r="AA501" s="84" t="s">
        <v>439</v>
      </c>
      <c r="AB501" s="85">
        <v>472</v>
      </c>
      <c r="AC501" s="81">
        <v>43112</v>
      </c>
      <c r="AD501" s="86">
        <v>9772125</v>
      </c>
      <c r="AE501" s="87">
        <f t="shared" si="60"/>
        <v>0</v>
      </c>
      <c r="AF501" s="85">
        <v>294</v>
      </c>
      <c r="AG501" s="81">
        <v>43122</v>
      </c>
      <c r="AH501" s="86">
        <v>9772125</v>
      </c>
      <c r="AI501" s="63" t="s">
        <v>388</v>
      </c>
      <c r="AJ501" s="63">
        <v>261</v>
      </c>
      <c r="AK501" s="87">
        <f t="shared" si="57"/>
        <v>0</v>
      </c>
      <c r="AL501" s="86">
        <v>6485162</v>
      </c>
      <c r="AM501" s="86">
        <f t="shared" si="58"/>
        <v>3286963</v>
      </c>
      <c r="AN501" s="63" t="s">
        <v>1155</v>
      </c>
      <c r="AO501" s="86">
        <f t="shared" si="59"/>
        <v>0</v>
      </c>
      <c r="AP501" s="63"/>
      <c r="AQ501" s="63"/>
      <c r="AR501" s="63"/>
      <c r="AS501" s="63"/>
      <c r="AT501" s="63"/>
      <c r="AU501" s="220"/>
      <c r="AV501" s="220"/>
      <c r="AW501" s="220"/>
    </row>
    <row r="502" spans="1:49" s="221" customFormat="1" ht="270.75" x14ac:dyDescent="0.25">
      <c r="A502" s="63">
        <v>88</v>
      </c>
      <c r="B502" s="63" t="str">
        <f t="shared" si="56"/>
        <v>3075-88</v>
      </c>
      <c r="C502" s="76" t="s">
        <v>1141</v>
      </c>
      <c r="D502" s="76" t="s">
        <v>1142</v>
      </c>
      <c r="E502" s="76" t="s">
        <v>1143</v>
      </c>
      <c r="F502" s="76" t="s">
        <v>1158</v>
      </c>
      <c r="G502" s="77" t="s">
        <v>1159</v>
      </c>
      <c r="H502" s="78" t="s">
        <v>1160</v>
      </c>
      <c r="I502" s="76" t="s">
        <v>1147</v>
      </c>
      <c r="J502" s="76" t="s">
        <v>1148</v>
      </c>
      <c r="K502" s="76">
        <v>801116</v>
      </c>
      <c r="L502" s="63" t="s">
        <v>1149</v>
      </c>
      <c r="M502" s="63" t="s">
        <v>58</v>
      </c>
      <c r="N502" s="63" t="s">
        <v>59</v>
      </c>
      <c r="O502" s="76" t="s">
        <v>1213</v>
      </c>
      <c r="P502" s="76" t="s">
        <v>1417</v>
      </c>
      <c r="Q502" s="83">
        <v>1030000</v>
      </c>
      <c r="R502" s="63">
        <v>1</v>
      </c>
      <c r="S502" s="80">
        <f>11845000-515000</f>
        <v>11330000</v>
      </c>
      <c r="T502" s="63" t="s">
        <v>888</v>
      </c>
      <c r="U502" s="63" t="s">
        <v>1163</v>
      </c>
      <c r="V502" s="81" t="s">
        <v>64</v>
      </c>
      <c r="W502" s="82">
        <v>11.5</v>
      </c>
      <c r="X502" s="63" t="s">
        <v>1418</v>
      </c>
      <c r="Y502" s="81">
        <v>43110</v>
      </c>
      <c r="Z502" s="83">
        <f>11845000-515000</f>
        <v>11330000</v>
      </c>
      <c r="AA502" s="84" t="s">
        <v>439</v>
      </c>
      <c r="AB502" s="85">
        <v>471</v>
      </c>
      <c r="AC502" s="81">
        <v>43112</v>
      </c>
      <c r="AD502" s="86">
        <v>11330000</v>
      </c>
      <c r="AE502" s="87">
        <f t="shared" si="60"/>
        <v>0</v>
      </c>
      <c r="AF502" s="85">
        <v>373</v>
      </c>
      <c r="AG502" s="81">
        <v>43124</v>
      </c>
      <c r="AH502" s="86">
        <v>11330000</v>
      </c>
      <c r="AI502" s="63" t="s">
        <v>348</v>
      </c>
      <c r="AJ502" s="63">
        <v>304</v>
      </c>
      <c r="AK502" s="87">
        <f t="shared" si="57"/>
        <v>0</v>
      </c>
      <c r="AL502" s="86">
        <v>7450333</v>
      </c>
      <c r="AM502" s="86">
        <f t="shared" si="58"/>
        <v>3879667</v>
      </c>
      <c r="AN502" s="63" t="s">
        <v>1155</v>
      </c>
      <c r="AO502" s="86">
        <f t="shared" si="59"/>
        <v>0</v>
      </c>
      <c r="AP502" s="63"/>
      <c r="AQ502" s="63"/>
      <c r="AR502" s="63"/>
      <c r="AS502" s="63"/>
      <c r="AT502" s="63"/>
      <c r="AU502" s="220"/>
      <c r="AV502" s="220"/>
      <c r="AW502" s="220"/>
    </row>
    <row r="503" spans="1:49" s="221" customFormat="1" ht="285" x14ac:dyDescent="0.25">
      <c r="A503" s="63">
        <v>89</v>
      </c>
      <c r="B503" s="63" t="str">
        <f t="shared" si="56"/>
        <v>3075-89</v>
      </c>
      <c r="C503" s="76" t="s">
        <v>1141</v>
      </c>
      <c r="D503" s="76" t="s">
        <v>1142</v>
      </c>
      <c r="E503" s="76" t="s">
        <v>1143</v>
      </c>
      <c r="F503" s="76" t="s">
        <v>1158</v>
      </c>
      <c r="G503" s="77" t="s">
        <v>1159</v>
      </c>
      <c r="H503" s="78" t="s">
        <v>1160</v>
      </c>
      <c r="I503" s="76" t="s">
        <v>1147</v>
      </c>
      <c r="J503" s="76" t="s">
        <v>1148</v>
      </c>
      <c r="K503" s="76">
        <v>801116</v>
      </c>
      <c r="L503" s="63" t="s">
        <v>1149</v>
      </c>
      <c r="M503" s="63" t="s">
        <v>58</v>
      </c>
      <c r="N503" s="63" t="s">
        <v>59</v>
      </c>
      <c r="O503" s="76" t="s">
        <v>1213</v>
      </c>
      <c r="P503" s="76" t="s">
        <v>1419</v>
      </c>
      <c r="Q503" s="97">
        <v>1259175</v>
      </c>
      <c r="R503" s="63">
        <v>1</v>
      </c>
      <c r="S503" s="80">
        <f>14480513-25488-604100</f>
        <v>13850925</v>
      </c>
      <c r="T503" s="63" t="s">
        <v>888</v>
      </c>
      <c r="U503" s="63" t="s">
        <v>1163</v>
      </c>
      <c r="V503" s="81" t="s">
        <v>64</v>
      </c>
      <c r="W503" s="82">
        <v>11.5</v>
      </c>
      <c r="X503" s="63" t="s">
        <v>1420</v>
      </c>
      <c r="Y503" s="81">
        <v>43110</v>
      </c>
      <c r="Z503" s="83">
        <f>14480513-25488-604100</f>
        <v>13850925</v>
      </c>
      <c r="AA503" s="84" t="s">
        <v>439</v>
      </c>
      <c r="AB503" s="85">
        <v>447</v>
      </c>
      <c r="AC503" s="81">
        <v>43111</v>
      </c>
      <c r="AD503" s="86">
        <v>13850925</v>
      </c>
      <c r="AE503" s="87">
        <f t="shared" si="60"/>
        <v>0</v>
      </c>
      <c r="AF503" s="85">
        <v>176</v>
      </c>
      <c r="AG503" s="81">
        <v>43118</v>
      </c>
      <c r="AH503" s="86">
        <v>13850925</v>
      </c>
      <c r="AI503" s="63" t="s">
        <v>344</v>
      </c>
      <c r="AJ503" s="63">
        <v>160</v>
      </c>
      <c r="AK503" s="87">
        <f t="shared" si="57"/>
        <v>0</v>
      </c>
      <c r="AL503" s="86">
        <v>9359867</v>
      </c>
      <c r="AM503" s="86">
        <f t="shared" si="58"/>
        <v>4491058</v>
      </c>
      <c r="AN503" s="63" t="s">
        <v>1155</v>
      </c>
      <c r="AO503" s="86">
        <f t="shared" si="59"/>
        <v>0</v>
      </c>
      <c r="AP503" s="63"/>
      <c r="AQ503" s="63"/>
      <c r="AR503" s="63"/>
      <c r="AS503" s="63"/>
      <c r="AT503" s="63"/>
      <c r="AU503" s="220"/>
      <c r="AV503" s="220"/>
      <c r="AW503" s="220"/>
    </row>
    <row r="504" spans="1:49" s="221" customFormat="1" ht="213.75" x14ac:dyDescent="0.25">
      <c r="A504" s="63">
        <v>90</v>
      </c>
      <c r="B504" s="63" t="str">
        <f t="shared" si="56"/>
        <v>3075-90</v>
      </c>
      <c r="C504" s="76" t="s">
        <v>1141</v>
      </c>
      <c r="D504" s="76" t="s">
        <v>1142</v>
      </c>
      <c r="E504" s="76" t="s">
        <v>1143</v>
      </c>
      <c r="F504" s="76" t="s">
        <v>1158</v>
      </c>
      <c r="G504" s="77" t="s">
        <v>1159</v>
      </c>
      <c r="H504" s="78" t="s">
        <v>1160</v>
      </c>
      <c r="I504" s="76" t="s">
        <v>1147</v>
      </c>
      <c r="J504" s="76" t="s">
        <v>1148</v>
      </c>
      <c r="K504" s="76">
        <v>801116</v>
      </c>
      <c r="L504" s="63" t="s">
        <v>1149</v>
      </c>
      <c r="M504" s="63" t="s">
        <v>58</v>
      </c>
      <c r="N504" s="63" t="s">
        <v>59</v>
      </c>
      <c r="O504" s="76" t="s">
        <v>1213</v>
      </c>
      <c r="P504" s="76" t="s">
        <v>1421</v>
      </c>
      <c r="Q504" s="83">
        <v>1751000</v>
      </c>
      <c r="R504" s="63">
        <v>1</v>
      </c>
      <c r="S504" s="80">
        <v>19261000</v>
      </c>
      <c r="T504" s="63" t="s">
        <v>928</v>
      </c>
      <c r="U504" s="63" t="s">
        <v>1163</v>
      </c>
      <c r="V504" s="81" t="s">
        <v>64</v>
      </c>
      <c r="W504" s="82">
        <v>11.257999999999999</v>
      </c>
      <c r="X504" s="63" t="s">
        <v>1422</v>
      </c>
      <c r="Y504" s="81">
        <v>43109</v>
      </c>
      <c r="Z504" s="83">
        <v>19261000</v>
      </c>
      <c r="AA504" s="84" t="s">
        <v>439</v>
      </c>
      <c r="AB504" s="85">
        <v>457</v>
      </c>
      <c r="AC504" s="81">
        <v>43111</v>
      </c>
      <c r="AD504" s="86">
        <v>19261000</v>
      </c>
      <c r="AE504" s="87">
        <f t="shared" si="60"/>
        <v>0</v>
      </c>
      <c r="AF504" s="85">
        <v>209</v>
      </c>
      <c r="AG504" s="81">
        <v>43118</v>
      </c>
      <c r="AH504" s="86">
        <v>19261000</v>
      </c>
      <c r="AI504" s="63" t="s">
        <v>1423</v>
      </c>
      <c r="AJ504" s="63">
        <v>169</v>
      </c>
      <c r="AK504" s="87">
        <f t="shared" si="57"/>
        <v>0</v>
      </c>
      <c r="AL504" s="86">
        <v>12957400</v>
      </c>
      <c r="AM504" s="86">
        <f t="shared" si="58"/>
        <v>6303600</v>
      </c>
      <c r="AN504" s="63" t="s">
        <v>1155</v>
      </c>
      <c r="AO504" s="86">
        <f t="shared" si="59"/>
        <v>0</v>
      </c>
      <c r="AP504" s="63"/>
      <c r="AQ504" s="63"/>
      <c r="AR504" s="63"/>
      <c r="AS504" s="63"/>
      <c r="AT504" s="63"/>
      <c r="AU504" s="220"/>
      <c r="AV504" s="220"/>
      <c r="AW504" s="220"/>
    </row>
    <row r="505" spans="1:49" s="221" customFormat="1" ht="342" x14ac:dyDescent="0.25">
      <c r="A505" s="63">
        <v>91</v>
      </c>
      <c r="B505" s="63" t="str">
        <f t="shared" si="56"/>
        <v>3075-91</v>
      </c>
      <c r="C505" s="76" t="s">
        <v>1141</v>
      </c>
      <c r="D505" s="76" t="s">
        <v>1142</v>
      </c>
      <c r="E505" s="76" t="s">
        <v>1424</v>
      </c>
      <c r="F505" s="76" t="s">
        <v>1175</v>
      </c>
      <c r="G505" s="77" t="s">
        <v>1176</v>
      </c>
      <c r="H505" s="78" t="s">
        <v>1425</v>
      </c>
      <c r="I505" s="76" t="s">
        <v>1147</v>
      </c>
      <c r="J505" s="76" t="s">
        <v>1148</v>
      </c>
      <c r="K505" s="76" t="s">
        <v>439</v>
      </c>
      <c r="L505" s="63" t="s">
        <v>1149</v>
      </c>
      <c r="M505" s="63" t="s">
        <v>58</v>
      </c>
      <c r="N505" s="63" t="s">
        <v>59</v>
      </c>
      <c r="O505" s="76" t="s">
        <v>1213</v>
      </c>
      <c r="P505" s="63" t="s">
        <v>1426</v>
      </c>
      <c r="Q505" s="83">
        <v>57510750</v>
      </c>
      <c r="R505" s="98">
        <v>1.2463756775907113E-3</v>
      </c>
      <c r="S505" s="80">
        <v>71680</v>
      </c>
      <c r="T505" s="63"/>
      <c r="U505" s="63" t="s">
        <v>1171</v>
      </c>
      <c r="V505" s="81" t="s">
        <v>830</v>
      </c>
      <c r="W505" s="82" t="s">
        <v>439</v>
      </c>
      <c r="X505" s="99"/>
      <c r="Y505" s="81"/>
      <c r="Z505" s="83"/>
      <c r="AA505" s="84"/>
      <c r="AB505" s="85"/>
      <c r="AC505" s="81"/>
      <c r="AD505" s="86"/>
      <c r="AE505" s="87">
        <f t="shared" si="60"/>
        <v>71680</v>
      </c>
      <c r="AF505" s="85"/>
      <c r="AG505" s="81"/>
      <c r="AH505" s="86"/>
      <c r="AI505" s="63"/>
      <c r="AJ505" s="63"/>
      <c r="AK505" s="87">
        <f t="shared" si="57"/>
        <v>0</v>
      </c>
      <c r="AL505" s="86"/>
      <c r="AM505" s="86">
        <f t="shared" si="58"/>
        <v>0</v>
      </c>
      <c r="AN505" s="63" t="s">
        <v>1155</v>
      </c>
      <c r="AO505" s="86">
        <f t="shared" si="59"/>
        <v>71680</v>
      </c>
      <c r="AP505" s="63"/>
      <c r="AQ505" s="63"/>
      <c r="AR505" s="63"/>
      <c r="AS505" s="63"/>
      <c r="AT505" s="63"/>
      <c r="AU505" s="220"/>
      <c r="AV505" s="220"/>
      <c r="AW505" s="220"/>
    </row>
    <row r="506" spans="1:49" s="221" customFormat="1" ht="370.5" x14ac:dyDescent="0.25">
      <c r="A506" s="63">
        <v>92</v>
      </c>
      <c r="B506" s="63" t="str">
        <f t="shared" si="56"/>
        <v>3075-92</v>
      </c>
      <c r="C506" s="76" t="s">
        <v>1141</v>
      </c>
      <c r="D506" s="76" t="s">
        <v>1142</v>
      </c>
      <c r="E506" s="76" t="s">
        <v>1424</v>
      </c>
      <c r="F506" s="76" t="s">
        <v>1175</v>
      </c>
      <c r="G506" s="77" t="s">
        <v>1176</v>
      </c>
      <c r="H506" s="78" t="s">
        <v>1425</v>
      </c>
      <c r="I506" s="76" t="s">
        <v>1147</v>
      </c>
      <c r="J506" s="76" t="s">
        <v>1148</v>
      </c>
      <c r="K506" s="76"/>
      <c r="L506" s="63" t="s">
        <v>1149</v>
      </c>
      <c r="M506" s="63" t="s">
        <v>58</v>
      </c>
      <c r="N506" s="63" t="s">
        <v>59</v>
      </c>
      <c r="O506" s="76" t="s">
        <v>1213</v>
      </c>
      <c r="P506" s="63" t="s">
        <v>1427</v>
      </c>
      <c r="Q506" s="83">
        <v>54686940</v>
      </c>
      <c r="R506" s="98">
        <v>1</v>
      </c>
      <c r="S506" s="80">
        <f>74378010-54686940+34995870</f>
        <v>54686940</v>
      </c>
      <c r="T506" s="63" t="s">
        <v>1171</v>
      </c>
      <c r="U506" s="63" t="s">
        <v>1171</v>
      </c>
      <c r="V506" s="81" t="s">
        <v>1208</v>
      </c>
      <c r="W506" s="82" t="s">
        <v>439</v>
      </c>
      <c r="X506" s="99" t="s">
        <v>1428</v>
      </c>
      <c r="Y506" s="81">
        <v>43237</v>
      </c>
      <c r="Z506" s="83">
        <v>54686940</v>
      </c>
      <c r="AA506" s="84" t="s">
        <v>1429</v>
      </c>
      <c r="AB506" s="85">
        <v>839</v>
      </c>
      <c r="AC506" s="81">
        <v>43238</v>
      </c>
      <c r="AD506" s="86">
        <v>54686940</v>
      </c>
      <c r="AE506" s="87">
        <f t="shared" si="60"/>
        <v>0</v>
      </c>
      <c r="AF506" s="85">
        <v>2171</v>
      </c>
      <c r="AG506" s="81">
        <v>43277</v>
      </c>
      <c r="AH506" s="86">
        <v>54686940</v>
      </c>
      <c r="AI506" s="63" t="s">
        <v>1430</v>
      </c>
      <c r="AJ506" s="63">
        <v>2492</v>
      </c>
      <c r="AK506" s="87">
        <f t="shared" si="57"/>
        <v>0</v>
      </c>
      <c r="AL506" s="86">
        <v>54686940</v>
      </c>
      <c r="AM506" s="86">
        <f t="shared" si="58"/>
        <v>0</v>
      </c>
      <c r="AN506" s="63" t="s">
        <v>1155</v>
      </c>
      <c r="AO506" s="86">
        <f t="shared" si="59"/>
        <v>0</v>
      </c>
      <c r="AP506" s="63"/>
      <c r="AQ506" s="81">
        <v>43236</v>
      </c>
      <c r="AR506" s="63" t="s">
        <v>1156</v>
      </c>
      <c r="AS506" s="81">
        <v>43237</v>
      </c>
      <c r="AT506" s="63" t="s">
        <v>1427</v>
      </c>
      <c r="AU506" s="220"/>
      <c r="AV506" s="220"/>
      <c r="AW506" s="220"/>
    </row>
    <row r="507" spans="1:49" s="221" customFormat="1" ht="370.5" x14ac:dyDescent="0.25">
      <c r="A507" s="63">
        <v>93</v>
      </c>
      <c r="B507" s="63" t="str">
        <f t="shared" si="56"/>
        <v>3075-93</v>
      </c>
      <c r="C507" s="76" t="s">
        <v>1141</v>
      </c>
      <c r="D507" s="76" t="s">
        <v>1142</v>
      </c>
      <c r="E507" s="76" t="s">
        <v>1424</v>
      </c>
      <c r="F507" s="76" t="s">
        <v>1175</v>
      </c>
      <c r="G507" s="77" t="s">
        <v>1176</v>
      </c>
      <c r="H507" s="78" t="s">
        <v>1425</v>
      </c>
      <c r="I507" s="76" t="s">
        <v>1147</v>
      </c>
      <c r="J507" s="76" t="s">
        <v>1148</v>
      </c>
      <c r="K507" s="76"/>
      <c r="L507" s="63" t="s">
        <v>1149</v>
      </c>
      <c r="M507" s="63" t="s">
        <v>58</v>
      </c>
      <c r="N507" s="63" t="s">
        <v>59</v>
      </c>
      <c r="O507" s="76" t="s">
        <v>1213</v>
      </c>
      <c r="P507" s="63" t="s">
        <v>1431</v>
      </c>
      <c r="Q507" s="83">
        <v>54686940</v>
      </c>
      <c r="R507" s="98">
        <v>1</v>
      </c>
      <c r="S507" s="80">
        <f>155939786-54686940-11570036-34995870</f>
        <v>54686940</v>
      </c>
      <c r="T507" s="63" t="s">
        <v>1171</v>
      </c>
      <c r="U507" s="63" t="s">
        <v>1171</v>
      </c>
      <c r="V507" s="81" t="s">
        <v>1208</v>
      </c>
      <c r="W507" s="82" t="s">
        <v>439</v>
      </c>
      <c r="X507" s="79" t="s">
        <v>1432</v>
      </c>
      <c r="Y507" s="81">
        <v>43237</v>
      </c>
      <c r="Z507" s="83">
        <v>54686940</v>
      </c>
      <c r="AA507" s="84" t="s">
        <v>439</v>
      </c>
      <c r="AB507" s="85">
        <v>832</v>
      </c>
      <c r="AC507" s="81">
        <v>43238</v>
      </c>
      <c r="AD507" s="86">
        <v>54686940</v>
      </c>
      <c r="AE507" s="87">
        <f t="shared" si="60"/>
        <v>0</v>
      </c>
      <c r="AF507" s="85">
        <v>2041</v>
      </c>
      <c r="AG507" s="81">
        <v>43271</v>
      </c>
      <c r="AH507" s="86">
        <v>54686940</v>
      </c>
      <c r="AI507" s="63" t="s">
        <v>1433</v>
      </c>
      <c r="AJ507" s="63">
        <v>2297</v>
      </c>
      <c r="AK507" s="87">
        <f t="shared" si="57"/>
        <v>0</v>
      </c>
      <c r="AL507" s="86">
        <v>54686940</v>
      </c>
      <c r="AM507" s="86">
        <f t="shared" si="58"/>
        <v>0</v>
      </c>
      <c r="AN507" s="63" t="s">
        <v>1155</v>
      </c>
      <c r="AO507" s="86">
        <f t="shared" si="59"/>
        <v>0</v>
      </c>
      <c r="AP507" s="63"/>
      <c r="AQ507" s="81">
        <v>43236</v>
      </c>
      <c r="AR507" s="63" t="s">
        <v>1156</v>
      </c>
      <c r="AS507" s="81">
        <v>43237</v>
      </c>
      <c r="AT507" s="63" t="s">
        <v>1431</v>
      </c>
      <c r="AU507" s="220"/>
      <c r="AV507" s="220"/>
      <c r="AW507" s="220"/>
    </row>
    <row r="508" spans="1:49" s="221" customFormat="1" ht="370.5" x14ac:dyDescent="0.25">
      <c r="A508" s="63">
        <v>94</v>
      </c>
      <c r="B508" s="63" t="str">
        <f t="shared" si="56"/>
        <v>3075-94</v>
      </c>
      <c r="C508" s="76" t="s">
        <v>1141</v>
      </c>
      <c r="D508" s="76" t="s">
        <v>1142</v>
      </c>
      <c r="E508" s="76" t="s">
        <v>1424</v>
      </c>
      <c r="F508" s="76" t="s">
        <v>1175</v>
      </c>
      <c r="G508" s="77" t="s">
        <v>1176</v>
      </c>
      <c r="H508" s="78" t="s">
        <v>1425</v>
      </c>
      <c r="I508" s="76" t="s">
        <v>1147</v>
      </c>
      <c r="J508" s="76" t="s">
        <v>1148</v>
      </c>
      <c r="K508" s="76"/>
      <c r="L508" s="63" t="s">
        <v>1149</v>
      </c>
      <c r="M508" s="63" t="s">
        <v>58</v>
      </c>
      <c r="N508" s="63" t="s">
        <v>59</v>
      </c>
      <c r="O508" s="76" t="s">
        <v>1213</v>
      </c>
      <c r="P508" s="63" t="s">
        <v>1434</v>
      </c>
      <c r="Q508" s="83">
        <v>54686940</v>
      </c>
      <c r="R508" s="98">
        <v>1</v>
      </c>
      <c r="S508" s="80">
        <f>75068369-31951465+11570036</f>
        <v>54686940</v>
      </c>
      <c r="T508" s="63" t="s">
        <v>1171</v>
      </c>
      <c r="U508" s="63" t="s">
        <v>1171</v>
      </c>
      <c r="V508" s="81" t="s">
        <v>1208</v>
      </c>
      <c r="W508" s="82" t="s">
        <v>439</v>
      </c>
      <c r="X508" s="100" t="s">
        <v>1435</v>
      </c>
      <c r="Y508" s="81">
        <v>43237</v>
      </c>
      <c r="Z508" s="83">
        <v>54686940</v>
      </c>
      <c r="AA508" s="84" t="s">
        <v>1436</v>
      </c>
      <c r="AB508" s="85">
        <v>833</v>
      </c>
      <c r="AC508" s="81">
        <v>43238</v>
      </c>
      <c r="AD508" s="86">
        <v>54686940</v>
      </c>
      <c r="AE508" s="87">
        <f t="shared" si="60"/>
        <v>0</v>
      </c>
      <c r="AF508" s="85">
        <v>2035</v>
      </c>
      <c r="AG508" s="81">
        <v>43270</v>
      </c>
      <c r="AH508" s="86">
        <v>54686940</v>
      </c>
      <c r="AI508" s="63" t="s">
        <v>1437</v>
      </c>
      <c r="AJ508" s="63">
        <v>2298</v>
      </c>
      <c r="AK508" s="87">
        <f t="shared" si="57"/>
        <v>0</v>
      </c>
      <c r="AL508" s="86">
        <v>54686940</v>
      </c>
      <c r="AM508" s="86">
        <f t="shared" si="58"/>
        <v>0</v>
      </c>
      <c r="AN508" s="63" t="s">
        <v>1155</v>
      </c>
      <c r="AO508" s="86">
        <f t="shared" si="59"/>
        <v>0</v>
      </c>
      <c r="AP508" s="63"/>
      <c r="AQ508" s="81">
        <v>43236</v>
      </c>
      <c r="AR508" s="63" t="s">
        <v>1156</v>
      </c>
      <c r="AS508" s="81">
        <v>43237</v>
      </c>
      <c r="AT508" s="63" t="s">
        <v>1434</v>
      </c>
      <c r="AU508" s="220"/>
      <c r="AV508" s="220"/>
      <c r="AW508" s="220"/>
    </row>
    <row r="509" spans="1:49" s="221" customFormat="1" ht="370.5" x14ac:dyDescent="0.25">
      <c r="A509" s="63">
        <v>95</v>
      </c>
      <c r="B509" s="63" t="str">
        <f t="shared" si="56"/>
        <v>3075-95</v>
      </c>
      <c r="C509" s="76" t="s">
        <v>1141</v>
      </c>
      <c r="D509" s="76" t="s">
        <v>1142</v>
      </c>
      <c r="E509" s="76" t="s">
        <v>1424</v>
      </c>
      <c r="F509" s="76" t="s">
        <v>1175</v>
      </c>
      <c r="G509" s="77" t="s">
        <v>1176</v>
      </c>
      <c r="H509" s="78" t="s">
        <v>1425</v>
      </c>
      <c r="I509" s="76" t="s">
        <v>1147</v>
      </c>
      <c r="J509" s="76" t="s">
        <v>1148</v>
      </c>
      <c r="K509" s="76"/>
      <c r="L509" s="63" t="s">
        <v>1149</v>
      </c>
      <c r="M509" s="63" t="s">
        <v>58</v>
      </c>
      <c r="N509" s="63" t="s">
        <v>59</v>
      </c>
      <c r="O509" s="76" t="s">
        <v>1213</v>
      </c>
      <c r="P509" s="63" t="s">
        <v>1438</v>
      </c>
      <c r="Q509" s="83">
        <v>54686940</v>
      </c>
      <c r="R509" s="98">
        <v>1</v>
      </c>
      <c r="S509" s="80">
        <f>12689435+31951465+10046040</f>
        <v>54686940</v>
      </c>
      <c r="T509" s="63" t="s">
        <v>1171</v>
      </c>
      <c r="U509" s="63" t="s">
        <v>1171</v>
      </c>
      <c r="V509" s="81" t="s">
        <v>1208</v>
      </c>
      <c r="W509" s="82" t="s">
        <v>439</v>
      </c>
      <c r="X509" s="79" t="s">
        <v>1439</v>
      </c>
      <c r="Y509" s="81">
        <v>43245</v>
      </c>
      <c r="Z509" s="83">
        <v>54686940</v>
      </c>
      <c r="AA509" s="84" t="s">
        <v>1440</v>
      </c>
      <c r="AB509" s="85">
        <v>856</v>
      </c>
      <c r="AC509" s="81">
        <v>43250</v>
      </c>
      <c r="AD509" s="86">
        <v>54686940</v>
      </c>
      <c r="AE509" s="87">
        <f t="shared" si="60"/>
        <v>0</v>
      </c>
      <c r="AF509" s="85">
        <v>2401</v>
      </c>
      <c r="AG509" s="81">
        <v>43280</v>
      </c>
      <c r="AH509" s="86">
        <v>54686940</v>
      </c>
      <c r="AI509" s="63" t="s">
        <v>1441</v>
      </c>
      <c r="AJ509" s="63">
        <v>2774</v>
      </c>
      <c r="AK509" s="87">
        <f t="shared" si="57"/>
        <v>0</v>
      </c>
      <c r="AL509" s="86">
        <v>54686940</v>
      </c>
      <c r="AM509" s="86">
        <f t="shared" si="58"/>
        <v>0</v>
      </c>
      <c r="AN509" s="63" t="s">
        <v>1155</v>
      </c>
      <c r="AO509" s="86">
        <f t="shared" si="59"/>
        <v>0</v>
      </c>
      <c r="AP509" s="63" t="s">
        <v>1442</v>
      </c>
      <c r="AQ509" s="81">
        <v>43245</v>
      </c>
      <c r="AR509" s="63" t="s">
        <v>1156</v>
      </c>
      <c r="AS509" s="81">
        <v>43245</v>
      </c>
      <c r="AT509" s="63" t="s">
        <v>1438</v>
      </c>
      <c r="AU509" s="220"/>
      <c r="AV509" s="220"/>
      <c r="AW509" s="220"/>
    </row>
    <row r="510" spans="1:49" s="221" customFormat="1" ht="409.5" x14ac:dyDescent="0.25">
      <c r="A510" s="63">
        <v>96</v>
      </c>
      <c r="B510" s="63" t="str">
        <f t="shared" si="56"/>
        <v>3075-96</v>
      </c>
      <c r="C510" s="76" t="s">
        <v>1141</v>
      </c>
      <c r="D510" s="76" t="s">
        <v>1142</v>
      </c>
      <c r="E510" s="76" t="s">
        <v>1424</v>
      </c>
      <c r="F510" s="76" t="s">
        <v>1158</v>
      </c>
      <c r="G510" s="77" t="s">
        <v>1159</v>
      </c>
      <c r="H510" s="101" t="s">
        <v>1160</v>
      </c>
      <c r="I510" s="76" t="s">
        <v>1147</v>
      </c>
      <c r="J510" s="76" t="s">
        <v>1148</v>
      </c>
      <c r="K510" s="76">
        <v>801116</v>
      </c>
      <c r="L510" s="63" t="s">
        <v>1149</v>
      </c>
      <c r="M510" s="63" t="s">
        <v>58</v>
      </c>
      <c r="N510" s="63" t="s">
        <v>59</v>
      </c>
      <c r="O510" s="76" t="s">
        <v>1213</v>
      </c>
      <c r="P510" s="76" t="s">
        <v>1443</v>
      </c>
      <c r="Q510" s="83">
        <v>4120000</v>
      </c>
      <c r="R510" s="98">
        <v>1</v>
      </c>
      <c r="S510" s="80">
        <v>24720000</v>
      </c>
      <c r="T510" s="63" t="s">
        <v>888</v>
      </c>
      <c r="U510" s="63" t="s">
        <v>1163</v>
      </c>
      <c r="V510" s="81" t="s">
        <v>64</v>
      </c>
      <c r="W510" s="82">
        <v>6</v>
      </c>
      <c r="X510" s="63" t="s">
        <v>1444</v>
      </c>
      <c r="Y510" s="81">
        <v>43104</v>
      </c>
      <c r="Z510" s="83">
        <v>24720000</v>
      </c>
      <c r="AA510" s="84" t="s">
        <v>439</v>
      </c>
      <c r="AB510" s="85">
        <v>460</v>
      </c>
      <c r="AC510" s="81">
        <v>43111</v>
      </c>
      <c r="AD510" s="86">
        <v>24720000</v>
      </c>
      <c r="AE510" s="86">
        <f t="shared" si="60"/>
        <v>0</v>
      </c>
      <c r="AF510" s="85">
        <v>401</v>
      </c>
      <c r="AG510" s="81">
        <v>43124</v>
      </c>
      <c r="AH510" s="86">
        <v>24720000</v>
      </c>
      <c r="AI510" s="63" t="s">
        <v>1445</v>
      </c>
      <c r="AJ510" s="63">
        <v>322</v>
      </c>
      <c r="AK510" s="87">
        <f t="shared" si="57"/>
        <v>0</v>
      </c>
      <c r="AL510" s="86">
        <v>24720000</v>
      </c>
      <c r="AM510" s="86">
        <f t="shared" si="58"/>
        <v>0</v>
      </c>
      <c r="AN510" s="63" t="s">
        <v>1155</v>
      </c>
      <c r="AO510" s="86">
        <f t="shared" si="59"/>
        <v>0</v>
      </c>
      <c r="AP510" s="63"/>
      <c r="AQ510" s="63"/>
      <c r="AR510" s="63"/>
      <c r="AS510" s="63"/>
      <c r="AT510" s="63"/>
      <c r="AU510" s="220"/>
      <c r="AV510" s="220"/>
      <c r="AW510" s="220"/>
    </row>
    <row r="511" spans="1:49" s="221" customFormat="1" ht="409.5" x14ac:dyDescent="0.25">
      <c r="A511" s="63">
        <v>97</v>
      </c>
      <c r="B511" s="63" t="str">
        <f t="shared" si="56"/>
        <v>3075-97</v>
      </c>
      <c r="C511" s="76" t="s">
        <v>1141</v>
      </c>
      <c r="D511" s="76" t="s">
        <v>1142</v>
      </c>
      <c r="E511" s="76" t="s">
        <v>1424</v>
      </c>
      <c r="F511" s="76" t="s">
        <v>1158</v>
      </c>
      <c r="G511" s="77" t="s">
        <v>1159</v>
      </c>
      <c r="H511" s="101" t="s">
        <v>1160</v>
      </c>
      <c r="I511" s="76" t="s">
        <v>1147</v>
      </c>
      <c r="J511" s="76" t="s">
        <v>1148</v>
      </c>
      <c r="K511" s="76">
        <v>801116</v>
      </c>
      <c r="L511" s="63" t="s">
        <v>1149</v>
      </c>
      <c r="M511" s="63" t="s">
        <v>58</v>
      </c>
      <c r="N511" s="63" t="s">
        <v>59</v>
      </c>
      <c r="O511" s="76" t="s">
        <v>1213</v>
      </c>
      <c r="P511" s="63" t="s">
        <v>1446</v>
      </c>
      <c r="Q511" s="83">
        <v>3553500</v>
      </c>
      <c r="R511" s="98">
        <v>1</v>
      </c>
      <c r="S511" s="80">
        <v>21321000</v>
      </c>
      <c r="T511" s="63" t="s">
        <v>888</v>
      </c>
      <c r="U511" s="63" t="s">
        <v>1163</v>
      </c>
      <c r="V511" s="81" t="s">
        <v>64</v>
      </c>
      <c r="W511" s="82">
        <v>6</v>
      </c>
      <c r="X511" s="63" t="s">
        <v>1447</v>
      </c>
      <c r="Y511" s="81">
        <v>43104</v>
      </c>
      <c r="Z511" s="83">
        <v>21321000</v>
      </c>
      <c r="AA511" s="84" t="s">
        <v>439</v>
      </c>
      <c r="AB511" s="85">
        <v>413</v>
      </c>
      <c r="AC511" s="81">
        <v>43111</v>
      </c>
      <c r="AD511" s="86">
        <v>21321000</v>
      </c>
      <c r="AE511" s="86">
        <f t="shared" si="60"/>
        <v>0</v>
      </c>
      <c r="AF511" s="85">
        <v>426</v>
      </c>
      <c r="AG511" s="81">
        <v>43124</v>
      </c>
      <c r="AH511" s="86">
        <v>21321000</v>
      </c>
      <c r="AI511" s="63" t="s">
        <v>1448</v>
      </c>
      <c r="AJ511" s="63">
        <v>361</v>
      </c>
      <c r="AK511" s="87">
        <f t="shared" si="57"/>
        <v>0</v>
      </c>
      <c r="AL511" s="86">
        <v>21321000</v>
      </c>
      <c r="AM511" s="86">
        <f t="shared" si="58"/>
        <v>0</v>
      </c>
      <c r="AN511" s="63" t="s">
        <v>1155</v>
      </c>
      <c r="AO511" s="86">
        <f t="shared" si="59"/>
        <v>0</v>
      </c>
      <c r="AP511" s="63"/>
      <c r="AQ511" s="63"/>
      <c r="AR511" s="63"/>
      <c r="AS511" s="63"/>
      <c r="AT511" s="63"/>
      <c r="AU511" s="220"/>
      <c r="AV511" s="220"/>
      <c r="AW511" s="220"/>
    </row>
    <row r="512" spans="1:49" s="221" customFormat="1" ht="409.5" x14ac:dyDescent="0.25">
      <c r="A512" s="63">
        <v>98</v>
      </c>
      <c r="B512" s="63" t="str">
        <f t="shared" si="56"/>
        <v>3075-98</v>
      </c>
      <c r="C512" s="76" t="s">
        <v>1141</v>
      </c>
      <c r="D512" s="76" t="s">
        <v>1142</v>
      </c>
      <c r="E512" s="76" t="s">
        <v>1424</v>
      </c>
      <c r="F512" s="76" t="s">
        <v>1158</v>
      </c>
      <c r="G512" s="77" t="s">
        <v>1159</v>
      </c>
      <c r="H512" s="101" t="s">
        <v>1160</v>
      </c>
      <c r="I512" s="76" t="s">
        <v>1147</v>
      </c>
      <c r="J512" s="76" t="s">
        <v>1148</v>
      </c>
      <c r="K512" s="76">
        <v>801116</v>
      </c>
      <c r="L512" s="63" t="s">
        <v>1149</v>
      </c>
      <c r="M512" s="63" t="s">
        <v>58</v>
      </c>
      <c r="N512" s="63" t="s">
        <v>59</v>
      </c>
      <c r="O512" s="76" t="s">
        <v>1213</v>
      </c>
      <c r="P512" s="63" t="s">
        <v>1449</v>
      </c>
      <c r="Q512" s="83">
        <v>3399000</v>
      </c>
      <c r="R512" s="63">
        <v>3</v>
      </c>
      <c r="S512" s="80">
        <f>23640000-6180000-2160000</f>
        <v>15300000</v>
      </c>
      <c r="T512" s="63" t="s">
        <v>1163</v>
      </c>
      <c r="U512" s="63" t="s">
        <v>1163</v>
      </c>
      <c r="V512" s="81" t="s">
        <v>411</v>
      </c>
      <c r="W512" s="82">
        <v>7</v>
      </c>
      <c r="X512" s="63" t="s">
        <v>1450</v>
      </c>
      <c r="Y512" s="81">
        <v>43161</v>
      </c>
      <c r="Z512" s="83">
        <v>15300000</v>
      </c>
      <c r="AA512" s="84" t="s">
        <v>439</v>
      </c>
      <c r="AB512" s="85">
        <v>677</v>
      </c>
      <c r="AC512" s="81">
        <v>43164</v>
      </c>
      <c r="AD512" s="86">
        <v>15300000</v>
      </c>
      <c r="AE512" s="86">
        <f t="shared" si="60"/>
        <v>0</v>
      </c>
      <c r="AF512" s="85">
        <v>1754</v>
      </c>
      <c r="AG512" s="81">
        <v>43200</v>
      </c>
      <c r="AH512" s="86">
        <v>15300000</v>
      </c>
      <c r="AI512" s="63" t="s">
        <v>1451</v>
      </c>
      <c r="AJ512" s="63">
        <v>548</v>
      </c>
      <c r="AK512" s="87">
        <f t="shared" si="57"/>
        <v>0</v>
      </c>
      <c r="AL512" s="86">
        <v>15300000</v>
      </c>
      <c r="AM512" s="86">
        <f t="shared" si="58"/>
        <v>0</v>
      </c>
      <c r="AN512" s="63" t="s">
        <v>1155</v>
      </c>
      <c r="AO512" s="86">
        <f t="shared" si="59"/>
        <v>0</v>
      </c>
      <c r="AP512" s="63" t="s">
        <v>1452</v>
      </c>
      <c r="AQ512" s="81">
        <v>43160</v>
      </c>
      <c r="AR512" s="63" t="s">
        <v>1156</v>
      </c>
      <c r="AS512" s="81">
        <v>43161</v>
      </c>
      <c r="AT512" s="63" t="s">
        <v>1453</v>
      </c>
      <c r="AU512" s="220"/>
      <c r="AV512" s="220"/>
      <c r="AW512" s="220"/>
    </row>
    <row r="513" spans="1:49" s="221" customFormat="1" ht="342" x14ac:dyDescent="0.25">
      <c r="A513" s="63">
        <v>99</v>
      </c>
      <c r="B513" s="63" t="str">
        <f t="shared" si="56"/>
        <v>3075-99</v>
      </c>
      <c r="C513" s="76" t="s">
        <v>1141</v>
      </c>
      <c r="D513" s="76" t="s">
        <v>1142</v>
      </c>
      <c r="E513" s="76" t="s">
        <v>1424</v>
      </c>
      <c r="F513" s="76" t="s">
        <v>1158</v>
      </c>
      <c r="G513" s="77" t="s">
        <v>1159</v>
      </c>
      <c r="H513" s="101" t="s">
        <v>1160</v>
      </c>
      <c r="I513" s="76" t="s">
        <v>1147</v>
      </c>
      <c r="J513" s="76" t="s">
        <v>1148</v>
      </c>
      <c r="K513" s="76">
        <v>93141506</v>
      </c>
      <c r="L513" s="63" t="s">
        <v>1149</v>
      </c>
      <c r="M513" s="63" t="s">
        <v>58</v>
      </c>
      <c r="N513" s="63" t="s">
        <v>59</v>
      </c>
      <c r="O513" s="76" t="s">
        <v>1213</v>
      </c>
      <c r="P513" s="63" t="s">
        <v>1287</v>
      </c>
      <c r="Q513" s="83">
        <v>5253000</v>
      </c>
      <c r="R513" s="98">
        <v>1</v>
      </c>
      <c r="S513" s="80">
        <f>21321000-309000</f>
        <v>21012000</v>
      </c>
      <c r="T513" s="63" t="s">
        <v>888</v>
      </c>
      <c r="U513" s="63" t="s">
        <v>1163</v>
      </c>
      <c r="V513" s="81" t="s">
        <v>431</v>
      </c>
      <c r="W513" s="82">
        <v>4</v>
      </c>
      <c r="X513" s="63" t="s">
        <v>1454</v>
      </c>
      <c r="Y513" s="81">
        <v>43321</v>
      </c>
      <c r="Z513" s="83">
        <v>21012000</v>
      </c>
      <c r="AA513" s="84" t="s">
        <v>439</v>
      </c>
      <c r="AB513" s="85">
        <v>1042</v>
      </c>
      <c r="AC513" s="81">
        <v>43322</v>
      </c>
      <c r="AD513" s="86">
        <v>21012000</v>
      </c>
      <c r="AE513" s="86">
        <f t="shared" si="60"/>
        <v>0</v>
      </c>
      <c r="AF513" s="85">
        <v>2722</v>
      </c>
      <c r="AG513" s="81">
        <v>43335</v>
      </c>
      <c r="AH513" s="86">
        <v>21012000</v>
      </c>
      <c r="AI513" s="63" t="s">
        <v>1455</v>
      </c>
      <c r="AJ513" s="63">
        <v>508</v>
      </c>
      <c r="AK513" s="87">
        <f t="shared" si="57"/>
        <v>0</v>
      </c>
      <c r="AL513" s="86">
        <v>1400800</v>
      </c>
      <c r="AM513" s="86">
        <f t="shared" si="58"/>
        <v>19611200</v>
      </c>
      <c r="AN513" s="63" t="s">
        <v>1155</v>
      </c>
      <c r="AO513" s="86">
        <f t="shared" si="59"/>
        <v>0</v>
      </c>
      <c r="AP513" s="63"/>
      <c r="AQ513" s="81">
        <v>43320</v>
      </c>
      <c r="AR513" s="63" t="s">
        <v>1156</v>
      </c>
      <c r="AS513" s="81">
        <v>43321</v>
      </c>
      <c r="AT513" s="63" t="s">
        <v>1453</v>
      </c>
      <c r="AU513" s="220"/>
      <c r="AV513" s="220"/>
      <c r="AW513" s="220"/>
    </row>
    <row r="514" spans="1:49" s="221" customFormat="1" ht="342" x14ac:dyDescent="0.25">
      <c r="A514" s="63">
        <v>100</v>
      </c>
      <c r="B514" s="63" t="str">
        <f t="shared" si="56"/>
        <v>3075-100</v>
      </c>
      <c r="C514" s="76" t="s">
        <v>1141</v>
      </c>
      <c r="D514" s="76" t="s">
        <v>1142</v>
      </c>
      <c r="E514" s="76" t="s">
        <v>1424</v>
      </c>
      <c r="F514" s="76" t="s">
        <v>1158</v>
      </c>
      <c r="G514" s="77" t="s">
        <v>1159</v>
      </c>
      <c r="H514" s="101" t="s">
        <v>1160</v>
      </c>
      <c r="I514" s="76" t="s">
        <v>1147</v>
      </c>
      <c r="J514" s="76" t="s">
        <v>1148</v>
      </c>
      <c r="K514" s="76">
        <v>801116</v>
      </c>
      <c r="L514" s="63" t="s">
        <v>1149</v>
      </c>
      <c r="M514" s="63" t="s">
        <v>58</v>
      </c>
      <c r="N514" s="63" t="s">
        <v>59</v>
      </c>
      <c r="O514" s="76" t="s">
        <v>1213</v>
      </c>
      <c r="P514" s="63" t="s">
        <v>1276</v>
      </c>
      <c r="Q514" s="83">
        <v>4120000</v>
      </c>
      <c r="R514" s="98">
        <v>1</v>
      </c>
      <c r="S514" s="80">
        <f>24720000-4758600</f>
        <v>19961400</v>
      </c>
      <c r="T514" s="63" t="s">
        <v>928</v>
      </c>
      <c r="U514" s="63" t="s">
        <v>1163</v>
      </c>
      <c r="V514" s="81" t="s">
        <v>64</v>
      </c>
      <c r="W514" s="82">
        <v>6</v>
      </c>
      <c r="X514" s="63" t="s">
        <v>1456</v>
      </c>
      <c r="Y514" s="81">
        <v>43119</v>
      </c>
      <c r="Z514" s="83">
        <v>19961400</v>
      </c>
      <c r="AA514" s="84" t="s">
        <v>439</v>
      </c>
      <c r="AB514" s="85">
        <v>554</v>
      </c>
      <c r="AC514" s="81">
        <v>43122</v>
      </c>
      <c r="AD514" s="86">
        <v>19961400</v>
      </c>
      <c r="AE514" s="86">
        <f t="shared" si="60"/>
        <v>0</v>
      </c>
      <c r="AF514" s="85">
        <v>473</v>
      </c>
      <c r="AG514" s="81">
        <v>43126</v>
      </c>
      <c r="AH514" s="86">
        <v>19961400</v>
      </c>
      <c r="AI514" s="63" t="s">
        <v>1457</v>
      </c>
      <c r="AJ514" s="63">
        <v>399</v>
      </c>
      <c r="AK514" s="87">
        <f t="shared" si="57"/>
        <v>0</v>
      </c>
      <c r="AL514" s="86">
        <v>19961400</v>
      </c>
      <c r="AM514" s="86">
        <f t="shared" si="58"/>
        <v>0</v>
      </c>
      <c r="AN514" s="63" t="s">
        <v>1155</v>
      </c>
      <c r="AO514" s="86">
        <f t="shared" si="59"/>
        <v>0</v>
      </c>
      <c r="AP514" s="63"/>
      <c r="AQ514" s="63"/>
      <c r="AR514" s="63"/>
      <c r="AS514" s="63"/>
      <c r="AT514" s="63"/>
      <c r="AU514" s="220"/>
      <c r="AV514" s="220"/>
      <c r="AW514" s="220"/>
    </row>
    <row r="515" spans="1:49" s="221" customFormat="1" ht="409.5" x14ac:dyDescent="0.25">
      <c r="A515" s="63">
        <v>101</v>
      </c>
      <c r="B515" s="63" t="str">
        <f t="shared" si="56"/>
        <v>3075-101</v>
      </c>
      <c r="C515" s="76" t="s">
        <v>1141</v>
      </c>
      <c r="D515" s="76" t="s">
        <v>1142</v>
      </c>
      <c r="E515" s="76" t="s">
        <v>1424</v>
      </c>
      <c r="F515" s="76" t="s">
        <v>1158</v>
      </c>
      <c r="G515" s="77" t="s">
        <v>1159</v>
      </c>
      <c r="H515" s="101" t="s">
        <v>1160</v>
      </c>
      <c r="I515" s="76" t="s">
        <v>1147</v>
      </c>
      <c r="J515" s="76" t="s">
        <v>1148</v>
      </c>
      <c r="K515" s="76">
        <v>801116</v>
      </c>
      <c r="L515" s="63" t="s">
        <v>1149</v>
      </c>
      <c r="M515" s="63" t="s">
        <v>58</v>
      </c>
      <c r="N515" s="63" t="s">
        <v>59</v>
      </c>
      <c r="O515" s="76" t="s">
        <v>1213</v>
      </c>
      <c r="P515" s="63" t="s">
        <v>1458</v>
      </c>
      <c r="Q515" s="83">
        <v>4532000</v>
      </c>
      <c r="R515" s="98">
        <v>1</v>
      </c>
      <c r="S515" s="80">
        <v>27192000</v>
      </c>
      <c r="T515" s="63" t="s">
        <v>888</v>
      </c>
      <c r="U515" s="63" t="s">
        <v>1163</v>
      </c>
      <c r="V515" s="81" t="s">
        <v>64</v>
      </c>
      <c r="W515" s="82">
        <v>6</v>
      </c>
      <c r="X515" s="63" t="s">
        <v>1459</v>
      </c>
      <c r="Y515" s="81">
        <v>43104</v>
      </c>
      <c r="Z515" s="83">
        <v>27192000</v>
      </c>
      <c r="AA515" s="84" t="s">
        <v>439</v>
      </c>
      <c r="AB515" s="85">
        <v>417</v>
      </c>
      <c r="AC515" s="81">
        <v>43111</v>
      </c>
      <c r="AD515" s="86">
        <v>27192000</v>
      </c>
      <c r="AE515" s="86">
        <f t="shared" si="60"/>
        <v>0</v>
      </c>
      <c r="AF515" s="85">
        <v>353</v>
      </c>
      <c r="AG515" s="81">
        <v>43123</v>
      </c>
      <c r="AH515" s="86">
        <v>27192000</v>
      </c>
      <c r="AI515" s="63" t="s">
        <v>1460</v>
      </c>
      <c r="AJ515" s="63">
        <v>351</v>
      </c>
      <c r="AK515" s="87">
        <f t="shared" si="57"/>
        <v>0</v>
      </c>
      <c r="AL515" s="86">
        <v>27192000</v>
      </c>
      <c r="AM515" s="86">
        <f t="shared" si="58"/>
        <v>0</v>
      </c>
      <c r="AN515" s="63" t="s">
        <v>1155</v>
      </c>
      <c r="AO515" s="86">
        <f t="shared" si="59"/>
        <v>0</v>
      </c>
      <c r="AP515" s="63"/>
      <c r="AQ515" s="63"/>
      <c r="AR515" s="63"/>
      <c r="AS515" s="63"/>
      <c r="AT515" s="63"/>
      <c r="AU515" s="220"/>
      <c r="AV515" s="220"/>
      <c r="AW515" s="220"/>
    </row>
    <row r="516" spans="1:49" s="221" customFormat="1" ht="409.5" x14ac:dyDescent="0.25">
      <c r="A516" s="63">
        <v>102</v>
      </c>
      <c r="B516" s="63" t="str">
        <f t="shared" si="56"/>
        <v>3075-102</v>
      </c>
      <c r="C516" s="76" t="s">
        <v>1141</v>
      </c>
      <c r="D516" s="76" t="s">
        <v>1142</v>
      </c>
      <c r="E516" s="76" t="s">
        <v>1424</v>
      </c>
      <c r="F516" s="76" t="s">
        <v>1158</v>
      </c>
      <c r="G516" s="77" t="s">
        <v>1159</v>
      </c>
      <c r="H516" s="101" t="s">
        <v>1160</v>
      </c>
      <c r="I516" s="76" t="s">
        <v>1147</v>
      </c>
      <c r="J516" s="76" t="s">
        <v>1148</v>
      </c>
      <c r="K516" s="76">
        <v>801116</v>
      </c>
      <c r="L516" s="63" t="s">
        <v>1149</v>
      </c>
      <c r="M516" s="63" t="s">
        <v>58</v>
      </c>
      <c r="N516" s="63" t="s">
        <v>59</v>
      </c>
      <c r="O516" s="76" t="s">
        <v>1213</v>
      </c>
      <c r="P516" s="63" t="s">
        <v>1458</v>
      </c>
      <c r="Q516" s="83">
        <v>5036700</v>
      </c>
      <c r="R516" s="98">
        <v>1</v>
      </c>
      <c r="S516" s="80">
        <v>30220200</v>
      </c>
      <c r="T516" s="63" t="s">
        <v>888</v>
      </c>
      <c r="U516" s="63" t="s">
        <v>1163</v>
      </c>
      <c r="V516" s="81" t="s">
        <v>64</v>
      </c>
      <c r="W516" s="82">
        <v>6</v>
      </c>
      <c r="X516" s="63" t="s">
        <v>1461</v>
      </c>
      <c r="Y516" s="81">
        <v>43104</v>
      </c>
      <c r="Z516" s="83">
        <v>30220200</v>
      </c>
      <c r="AA516" s="84" t="s">
        <v>439</v>
      </c>
      <c r="AB516" s="85">
        <v>376</v>
      </c>
      <c r="AC516" s="81">
        <v>43110</v>
      </c>
      <c r="AD516" s="86">
        <v>30220200</v>
      </c>
      <c r="AE516" s="86">
        <f t="shared" si="60"/>
        <v>0</v>
      </c>
      <c r="AF516" s="85">
        <v>339</v>
      </c>
      <c r="AG516" s="81">
        <v>43123</v>
      </c>
      <c r="AH516" s="86">
        <v>30220200</v>
      </c>
      <c r="AI516" s="63" t="s">
        <v>1462</v>
      </c>
      <c r="AJ516" s="63">
        <v>344</v>
      </c>
      <c r="AK516" s="87">
        <f t="shared" si="57"/>
        <v>0</v>
      </c>
      <c r="AL516" s="86">
        <v>30220200</v>
      </c>
      <c r="AM516" s="86">
        <f t="shared" si="58"/>
        <v>0</v>
      </c>
      <c r="AN516" s="63" t="s">
        <v>1155</v>
      </c>
      <c r="AO516" s="86">
        <f t="shared" si="59"/>
        <v>0</v>
      </c>
      <c r="AP516" s="63"/>
      <c r="AQ516" s="63"/>
      <c r="AR516" s="63"/>
      <c r="AS516" s="63"/>
      <c r="AT516" s="63"/>
      <c r="AU516" s="220"/>
      <c r="AV516" s="220"/>
      <c r="AW516" s="220"/>
    </row>
    <row r="517" spans="1:49" s="221" customFormat="1" ht="409.5" x14ac:dyDescent="0.25">
      <c r="A517" s="63">
        <v>103</v>
      </c>
      <c r="B517" s="63" t="str">
        <f t="shared" si="56"/>
        <v>3075-103</v>
      </c>
      <c r="C517" s="76" t="s">
        <v>1141</v>
      </c>
      <c r="D517" s="76" t="s">
        <v>1142</v>
      </c>
      <c r="E517" s="76" t="s">
        <v>1424</v>
      </c>
      <c r="F517" s="76" t="s">
        <v>1158</v>
      </c>
      <c r="G517" s="77" t="s">
        <v>1159</v>
      </c>
      <c r="H517" s="101" t="s">
        <v>1160</v>
      </c>
      <c r="I517" s="76" t="s">
        <v>1147</v>
      </c>
      <c r="J517" s="76" t="s">
        <v>1148</v>
      </c>
      <c r="K517" s="76">
        <v>801116</v>
      </c>
      <c r="L517" s="63" t="s">
        <v>1149</v>
      </c>
      <c r="M517" s="63" t="s">
        <v>58</v>
      </c>
      <c r="N517" s="63" t="s">
        <v>59</v>
      </c>
      <c r="O517" s="76" t="s">
        <v>1213</v>
      </c>
      <c r="P517" s="63" t="s">
        <v>1458</v>
      </c>
      <c r="Q517" s="83">
        <v>5253000</v>
      </c>
      <c r="R517" s="98">
        <v>1</v>
      </c>
      <c r="S517" s="80">
        <v>31518000</v>
      </c>
      <c r="T517" s="63" t="s">
        <v>888</v>
      </c>
      <c r="U517" s="63" t="s">
        <v>1163</v>
      </c>
      <c r="V517" s="81" t="s">
        <v>64</v>
      </c>
      <c r="W517" s="82">
        <v>6</v>
      </c>
      <c r="X517" s="63" t="s">
        <v>1463</v>
      </c>
      <c r="Y517" s="81">
        <v>43104</v>
      </c>
      <c r="Z517" s="83">
        <v>31518000</v>
      </c>
      <c r="AA517" s="84" t="s">
        <v>439</v>
      </c>
      <c r="AB517" s="85">
        <v>375</v>
      </c>
      <c r="AC517" s="81">
        <v>43110</v>
      </c>
      <c r="AD517" s="86">
        <v>31518000</v>
      </c>
      <c r="AE517" s="86">
        <f t="shared" si="60"/>
        <v>0</v>
      </c>
      <c r="AF517" s="85">
        <v>414</v>
      </c>
      <c r="AG517" s="81">
        <v>43124</v>
      </c>
      <c r="AH517" s="86">
        <v>31518000</v>
      </c>
      <c r="AI517" s="63" t="s">
        <v>1464</v>
      </c>
      <c r="AJ517" s="63">
        <v>335</v>
      </c>
      <c r="AK517" s="87">
        <f t="shared" si="57"/>
        <v>0</v>
      </c>
      <c r="AL517" s="86">
        <v>31518000</v>
      </c>
      <c r="AM517" s="86">
        <f t="shared" si="58"/>
        <v>0</v>
      </c>
      <c r="AN517" s="63" t="s">
        <v>1155</v>
      </c>
      <c r="AO517" s="86">
        <f t="shared" si="59"/>
        <v>0</v>
      </c>
      <c r="AP517" s="63"/>
      <c r="AQ517" s="63"/>
      <c r="AR517" s="63"/>
      <c r="AS517" s="63"/>
      <c r="AT517" s="63"/>
      <c r="AU517" s="220"/>
      <c r="AV517" s="220"/>
      <c r="AW517" s="220"/>
    </row>
    <row r="518" spans="1:49" s="221" customFormat="1" ht="384.75" x14ac:dyDescent="0.25">
      <c r="A518" s="63">
        <v>104</v>
      </c>
      <c r="B518" s="63" t="str">
        <f t="shared" si="56"/>
        <v>3075-104</v>
      </c>
      <c r="C518" s="76" t="s">
        <v>1141</v>
      </c>
      <c r="D518" s="76" t="s">
        <v>1142</v>
      </c>
      <c r="E518" s="76" t="s">
        <v>1424</v>
      </c>
      <c r="F518" s="76" t="s">
        <v>1158</v>
      </c>
      <c r="G518" s="77" t="s">
        <v>1159</v>
      </c>
      <c r="H518" s="101" t="s">
        <v>1160</v>
      </c>
      <c r="I518" s="76" t="s">
        <v>1147</v>
      </c>
      <c r="J518" s="76" t="s">
        <v>1148</v>
      </c>
      <c r="K518" s="76">
        <v>801116</v>
      </c>
      <c r="L518" s="63" t="s">
        <v>1149</v>
      </c>
      <c r="M518" s="63" t="s">
        <v>58</v>
      </c>
      <c r="N518" s="63" t="s">
        <v>59</v>
      </c>
      <c r="O518" s="76" t="s">
        <v>1213</v>
      </c>
      <c r="P518" s="63" t="s">
        <v>1465</v>
      </c>
      <c r="Q518" s="83">
        <v>3326900</v>
      </c>
      <c r="R518" s="98">
        <v>1</v>
      </c>
      <c r="S518" s="80">
        <v>19961400</v>
      </c>
      <c r="T518" s="63" t="s">
        <v>928</v>
      </c>
      <c r="U518" s="63" t="s">
        <v>1163</v>
      </c>
      <c r="V518" s="81" t="s">
        <v>64</v>
      </c>
      <c r="W518" s="82">
        <v>6</v>
      </c>
      <c r="X518" s="63" t="s">
        <v>1466</v>
      </c>
      <c r="Y518" s="81">
        <v>43104</v>
      </c>
      <c r="Z518" s="83">
        <v>19961400</v>
      </c>
      <c r="AA518" s="84" t="s">
        <v>439</v>
      </c>
      <c r="AB518" s="85">
        <v>437</v>
      </c>
      <c r="AC518" s="81">
        <v>43111</v>
      </c>
      <c r="AD518" s="86">
        <v>19961400</v>
      </c>
      <c r="AE518" s="86">
        <f t="shared" si="60"/>
        <v>0</v>
      </c>
      <c r="AF518" s="85">
        <v>449</v>
      </c>
      <c r="AG518" s="81">
        <v>43125</v>
      </c>
      <c r="AH518" s="86">
        <v>19961400</v>
      </c>
      <c r="AI518" s="63" t="s">
        <v>1467</v>
      </c>
      <c r="AJ518" s="63">
        <v>385</v>
      </c>
      <c r="AK518" s="87">
        <f t="shared" si="57"/>
        <v>0</v>
      </c>
      <c r="AL518" s="86">
        <v>19961400</v>
      </c>
      <c r="AM518" s="86">
        <f t="shared" si="58"/>
        <v>0</v>
      </c>
      <c r="AN518" s="63" t="s">
        <v>1155</v>
      </c>
      <c r="AO518" s="86">
        <f t="shared" si="59"/>
        <v>0</v>
      </c>
      <c r="AP518" s="63"/>
      <c r="AQ518" s="63"/>
      <c r="AR518" s="63"/>
      <c r="AS518" s="63"/>
      <c r="AT518" s="63"/>
      <c r="AU518" s="220"/>
      <c r="AV518" s="220"/>
      <c r="AW518" s="220"/>
    </row>
    <row r="519" spans="1:49" s="221" customFormat="1" ht="409.5" x14ac:dyDescent="0.25">
      <c r="A519" s="63">
        <v>105</v>
      </c>
      <c r="B519" s="63" t="str">
        <f t="shared" si="56"/>
        <v>3075-105</v>
      </c>
      <c r="C519" s="76" t="s">
        <v>1141</v>
      </c>
      <c r="D519" s="76" t="s">
        <v>1142</v>
      </c>
      <c r="E519" s="76" t="s">
        <v>1424</v>
      </c>
      <c r="F519" s="76" t="s">
        <v>1158</v>
      </c>
      <c r="G519" s="77" t="s">
        <v>1159</v>
      </c>
      <c r="H519" s="101" t="s">
        <v>1160</v>
      </c>
      <c r="I519" s="76" t="s">
        <v>1147</v>
      </c>
      <c r="J519" s="76" t="s">
        <v>1148</v>
      </c>
      <c r="K519" s="76">
        <v>801116</v>
      </c>
      <c r="L519" s="63" t="s">
        <v>1149</v>
      </c>
      <c r="M519" s="63" t="s">
        <v>58</v>
      </c>
      <c r="N519" s="63" t="s">
        <v>59</v>
      </c>
      <c r="O519" s="76" t="s">
        <v>1213</v>
      </c>
      <c r="P519" s="63" t="s">
        <v>1458</v>
      </c>
      <c r="Q519" s="83">
        <v>7210000</v>
      </c>
      <c r="R519" s="98">
        <v>1</v>
      </c>
      <c r="S519" s="80">
        <v>43260000</v>
      </c>
      <c r="T519" s="63" t="s">
        <v>888</v>
      </c>
      <c r="U519" s="63" t="s">
        <v>1163</v>
      </c>
      <c r="V519" s="81" t="s">
        <v>64</v>
      </c>
      <c r="W519" s="82">
        <v>6</v>
      </c>
      <c r="X519" s="63" t="s">
        <v>1468</v>
      </c>
      <c r="Y519" s="81">
        <v>43104</v>
      </c>
      <c r="Z519" s="83">
        <v>43260000</v>
      </c>
      <c r="AA519" s="84" t="s">
        <v>439</v>
      </c>
      <c r="AB519" s="85">
        <v>467</v>
      </c>
      <c r="AC519" s="81">
        <v>43112</v>
      </c>
      <c r="AD519" s="86">
        <v>43260000</v>
      </c>
      <c r="AE519" s="86">
        <f t="shared" si="60"/>
        <v>0</v>
      </c>
      <c r="AF519" s="85">
        <v>425</v>
      </c>
      <c r="AG519" s="81">
        <v>43124</v>
      </c>
      <c r="AH519" s="86">
        <v>43260000</v>
      </c>
      <c r="AI519" s="63" t="s">
        <v>1469</v>
      </c>
      <c r="AJ519" s="63">
        <v>367</v>
      </c>
      <c r="AK519" s="87">
        <f t="shared" si="57"/>
        <v>0</v>
      </c>
      <c r="AL519" s="86">
        <v>43260000</v>
      </c>
      <c r="AM519" s="86">
        <f t="shared" si="58"/>
        <v>0</v>
      </c>
      <c r="AN519" s="63" t="s">
        <v>1155</v>
      </c>
      <c r="AO519" s="86">
        <f t="shared" si="59"/>
        <v>0</v>
      </c>
      <c r="AP519" s="63"/>
      <c r="AQ519" s="63"/>
      <c r="AR519" s="63"/>
      <c r="AS519" s="63"/>
      <c r="AT519" s="63"/>
      <c r="AU519" s="220"/>
      <c r="AV519" s="220"/>
      <c r="AW519" s="220"/>
    </row>
    <row r="520" spans="1:49" s="221" customFormat="1" ht="409.5" x14ac:dyDescent="0.25">
      <c r="A520" s="63">
        <v>106</v>
      </c>
      <c r="B520" s="63" t="str">
        <f t="shared" si="56"/>
        <v>3075-106</v>
      </c>
      <c r="C520" s="76" t="s">
        <v>1141</v>
      </c>
      <c r="D520" s="76" t="s">
        <v>1142</v>
      </c>
      <c r="E520" s="76" t="s">
        <v>1424</v>
      </c>
      <c r="F520" s="76" t="s">
        <v>1158</v>
      </c>
      <c r="G520" s="77" t="s">
        <v>1159</v>
      </c>
      <c r="H520" s="101" t="s">
        <v>1160</v>
      </c>
      <c r="I520" s="76" t="s">
        <v>1147</v>
      </c>
      <c r="J520" s="76" t="s">
        <v>1148</v>
      </c>
      <c r="K520" s="76">
        <v>801116</v>
      </c>
      <c r="L520" s="63" t="s">
        <v>1149</v>
      </c>
      <c r="M520" s="63" t="s">
        <v>58</v>
      </c>
      <c r="N520" s="63" t="s">
        <v>59</v>
      </c>
      <c r="O520" s="76" t="s">
        <v>1213</v>
      </c>
      <c r="P520" s="63" t="s">
        <v>1458</v>
      </c>
      <c r="Q520" s="83">
        <v>6180000</v>
      </c>
      <c r="R520" s="98">
        <v>1</v>
      </c>
      <c r="S520" s="80">
        <v>37080000</v>
      </c>
      <c r="T520" s="63" t="s">
        <v>888</v>
      </c>
      <c r="U520" s="63" t="s">
        <v>1163</v>
      </c>
      <c r="V520" s="81" t="s">
        <v>64</v>
      </c>
      <c r="W520" s="82">
        <v>6</v>
      </c>
      <c r="X520" s="63" t="s">
        <v>1470</v>
      </c>
      <c r="Y520" s="81">
        <v>43105</v>
      </c>
      <c r="Z520" s="83">
        <v>37080000</v>
      </c>
      <c r="AA520" s="84" t="s">
        <v>439</v>
      </c>
      <c r="AB520" s="85">
        <v>456</v>
      </c>
      <c r="AC520" s="81">
        <v>43111</v>
      </c>
      <c r="AD520" s="86">
        <v>37080000</v>
      </c>
      <c r="AE520" s="86">
        <f t="shared" si="60"/>
        <v>0</v>
      </c>
      <c r="AF520" s="85">
        <v>335</v>
      </c>
      <c r="AG520" s="81">
        <v>43123</v>
      </c>
      <c r="AH520" s="86">
        <v>37080000</v>
      </c>
      <c r="AI520" s="63" t="s">
        <v>1471</v>
      </c>
      <c r="AJ520" s="63">
        <v>340</v>
      </c>
      <c r="AK520" s="87">
        <f t="shared" si="57"/>
        <v>0</v>
      </c>
      <c r="AL520" s="86">
        <v>37080000</v>
      </c>
      <c r="AM520" s="86">
        <f t="shared" si="58"/>
        <v>0</v>
      </c>
      <c r="AN520" s="63" t="s">
        <v>1155</v>
      </c>
      <c r="AO520" s="86">
        <f t="shared" si="59"/>
        <v>0</v>
      </c>
      <c r="AP520" s="63"/>
      <c r="AQ520" s="63"/>
      <c r="AR520" s="63"/>
      <c r="AS520" s="63"/>
      <c r="AT520" s="63"/>
      <c r="AU520" s="220"/>
      <c r="AV520" s="220"/>
      <c r="AW520" s="220"/>
    </row>
    <row r="521" spans="1:49" s="221" customFormat="1" ht="409.5" x14ac:dyDescent="0.25">
      <c r="A521" s="63">
        <v>107</v>
      </c>
      <c r="B521" s="63" t="str">
        <f t="shared" si="56"/>
        <v>3075-107</v>
      </c>
      <c r="C521" s="76" t="s">
        <v>1141</v>
      </c>
      <c r="D521" s="76" t="s">
        <v>1142</v>
      </c>
      <c r="E521" s="76" t="s">
        <v>1424</v>
      </c>
      <c r="F521" s="76" t="s">
        <v>1158</v>
      </c>
      <c r="G521" s="77" t="s">
        <v>1159</v>
      </c>
      <c r="H521" s="101" t="s">
        <v>1160</v>
      </c>
      <c r="I521" s="76" t="s">
        <v>1147</v>
      </c>
      <c r="J521" s="76" t="s">
        <v>1148</v>
      </c>
      <c r="K521" s="76">
        <v>801116</v>
      </c>
      <c r="L521" s="63" t="s">
        <v>1149</v>
      </c>
      <c r="M521" s="63" t="s">
        <v>58</v>
      </c>
      <c r="N521" s="63" t="s">
        <v>59</v>
      </c>
      <c r="O521" s="76" t="s">
        <v>1213</v>
      </c>
      <c r="P521" s="63" t="s">
        <v>1472</v>
      </c>
      <c r="Q521" s="83">
        <v>1545000</v>
      </c>
      <c r="R521" s="98">
        <v>1</v>
      </c>
      <c r="S521" s="80">
        <v>9270000</v>
      </c>
      <c r="T521" s="63" t="s">
        <v>928</v>
      </c>
      <c r="U521" s="63" t="s">
        <v>1163</v>
      </c>
      <c r="V521" s="81" t="s">
        <v>64</v>
      </c>
      <c r="W521" s="82">
        <v>6</v>
      </c>
      <c r="X521" s="63" t="s">
        <v>1473</v>
      </c>
      <c r="Y521" s="81">
        <v>43104</v>
      </c>
      <c r="Z521" s="83">
        <v>9270000</v>
      </c>
      <c r="AA521" s="84" t="s">
        <v>439</v>
      </c>
      <c r="AB521" s="85">
        <v>439</v>
      </c>
      <c r="AC521" s="81">
        <v>43111</v>
      </c>
      <c r="AD521" s="86">
        <v>9270000</v>
      </c>
      <c r="AE521" s="86">
        <f t="shared" si="60"/>
        <v>0</v>
      </c>
      <c r="AF521" s="85">
        <v>290</v>
      </c>
      <c r="AG521" s="81">
        <v>43122</v>
      </c>
      <c r="AH521" s="86">
        <v>9270000</v>
      </c>
      <c r="AI521" s="63" t="s">
        <v>1474</v>
      </c>
      <c r="AJ521" s="63">
        <v>259</v>
      </c>
      <c r="AK521" s="87">
        <f t="shared" si="57"/>
        <v>0</v>
      </c>
      <c r="AL521" s="86">
        <v>9270000</v>
      </c>
      <c r="AM521" s="86">
        <f t="shared" si="58"/>
        <v>0</v>
      </c>
      <c r="AN521" s="63" t="s">
        <v>1155</v>
      </c>
      <c r="AO521" s="86">
        <f t="shared" si="59"/>
        <v>0</v>
      </c>
      <c r="AP521" s="63"/>
      <c r="AQ521" s="63"/>
      <c r="AR521" s="63"/>
      <c r="AS521" s="63"/>
      <c r="AT521" s="63"/>
      <c r="AU521" s="220"/>
      <c r="AV521" s="220"/>
      <c r="AW521" s="220"/>
    </row>
    <row r="522" spans="1:49" s="221" customFormat="1" ht="342" x14ac:dyDescent="0.25">
      <c r="A522" s="63">
        <v>108</v>
      </c>
      <c r="B522" s="63" t="str">
        <f t="shared" si="56"/>
        <v>3075-108</v>
      </c>
      <c r="C522" s="76" t="s">
        <v>1141</v>
      </c>
      <c r="D522" s="76" t="s">
        <v>1142</v>
      </c>
      <c r="E522" s="76" t="s">
        <v>1424</v>
      </c>
      <c r="F522" s="76" t="s">
        <v>1158</v>
      </c>
      <c r="G522" s="77" t="s">
        <v>1159</v>
      </c>
      <c r="H522" s="101" t="s">
        <v>1160</v>
      </c>
      <c r="I522" s="76" t="s">
        <v>1147</v>
      </c>
      <c r="J522" s="76" t="s">
        <v>1148</v>
      </c>
      <c r="K522" s="76">
        <v>80111600</v>
      </c>
      <c r="L522" s="63" t="s">
        <v>1149</v>
      </c>
      <c r="M522" s="63" t="s">
        <v>58</v>
      </c>
      <c r="N522" s="63" t="s">
        <v>59</v>
      </c>
      <c r="O522" s="76" t="s">
        <v>1213</v>
      </c>
      <c r="P522" s="63" t="s">
        <v>1475</v>
      </c>
      <c r="Q522" s="83">
        <v>7210000</v>
      </c>
      <c r="R522" s="98">
        <v>1</v>
      </c>
      <c r="S522" s="80">
        <f>10506000-10046040-26400-18600+4573200+17385000+6466840</f>
        <v>28840000</v>
      </c>
      <c r="T522" s="63" t="s">
        <v>888</v>
      </c>
      <c r="U522" s="63" t="s">
        <v>1163</v>
      </c>
      <c r="V522" s="81" t="s">
        <v>431</v>
      </c>
      <c r="W522" s="82">
        <v>4</v>
      </c>
      <c r="X522" s="63" t="s">
        <v>1476</v>
      </c>
      <c r="Y522" s="81">
        <v>43327</v>
      </c>
      <c r="Z522" s="83">
        <v>28840000</v>
      </c>
      <c r="AA522" s="84" t="s">
        <v>1477</v>
      </c>
      <c r="AB522" s="85">
        <v>1067</v>
      </c>
      <c r="AC522" s="81">
        <v>43327</v>
      </c>
      <c r="AD522" s="86">
        <v>28840000</v>
      </c>
      <c r="AE522" s="86">
        <f t="shared" si="60"/>
        <v>0</v>
      </c>
      <c r="AF522" s="85">
        <v>2713</v>
      </c>
      <c r="AG522" s="81">
        <v>43334</v>
      </c>
      <c r="AH522" s="86">
        <v>28840000</v>
      </c>
      <c r="AI522" s="63" t="s">
        <v>1478</v>
      </c>
      <c r="AJ522" s="63">
        <v>527</v>
      </c>
      <c r="AK522" s="87">
        <f t="shared" si="57"/>
        <v>0</v>
      </c>
      <c r="AL522" s="86">
        <v>2163000</v>
      </c>
      <c r="AM522" s="86">
        <f t="shared" si="58"/>
        <v>26677000</v>
      </c>
      <c r="AN522" s="63" t="s">
        <v>1155</v>
      </c>
      <c r="AO522" s="86">
        <f t="shared" si="59"/>
        <v>0</v>
      </c>
      <c r="AP522" s="63"/>
      <c r="AQ522" s="63"/>
      <c r="AR522" s="63"/>
      <c r="AS522" s="63"/>
      <c r="AT522" s="63"/>
      <c r="AU522" s="220"/>
      <c r="AV522" s="220"/>
      <c r="AW522" s="220"/>
    </row>
    <row r="523" spans="1:49" s="221" customFormat="1" ht="342" x14ac:dyDescent="0.25">
      <c r="A523" s="63">
        <v>109</v>
      </c>
      <c r="B523" s="63" t="str">
        <f t="shared" si="56"/>
        <v>3075-109</v>
      </c>
      <c r="C523" s="76" t="s">
        <v>1141</v>
      </c>
      <c r="D523" s="76" t="s">
        <v>1142</v>
      </c>
      <c r="E523" s="76" t="s">
        <v>1424</v>
      </c>
      <c r="F523" s="76" t="s">
        <v>1158</v>
      </c>
      <c r="G523" s="77" t="s">
        <v>1159</v>
      </c>
      <c r="H523" s="101" t="s">
        <v>1160</v>
      </c>
      <c r="I523" s="76" t="s">
        <v>1147</v>
      </c>
      <c r="J523" s="76" t="s">
        <v>1148</v>
      </c>
      <c r="K523" s="76">
        <v>93141506</v>
      </c>
      <c r="L523" s="63" t="s">
        <v>1149</v>
      </c>
      <c r="M523" s="63" t="s">
        <v>58</v>
      </c>
      <c r="N523" s="63" t="s">
        <v>59</v>
      </c>
      <c r="O523" s="76" t="s">
        <v>1213</v>
      </c>
      <c r="P523" s="63" t="s">
        <v>1287</v>
      </c>
      <c r="Q523" s="83">
        <v>5253000</v>
      </c>
      <c r="R523" s="98">
        <v>1</v>
      </c>
      <c r="S523" s="80">
        <f>19961400+18600+1032000</f>
        <v>21012000</v>
      </c>
      <c r="T523" s="63" t="s">
        <v>888</v>
      </c>
      <c r="U523" s="63" t="s">
        <v>1163</v>
      </c>
      <c r="V523" s="81" t="s">
        <v>431</v>
      </c>
      <c r="W523" s="82">
        <v>4</v>
      </c>
      <c r="X523" s="63" t="s">
        <v>1479</v>
      </c>
      <c r="Y523" s="81">
        <v>43321</v>
      </c>
      <c r="Z523" s="83">
        <v>21012000</v>
      </c>
      <c r="AA523" s="84" t="s">
        <v>439</v>
      </c>
      <c r="AB523" s="85">
        <v>1048</v>
      </c>
      <c r="AC523" s="81">
        <v>43322</v>
      </c>
      <c r="AD523" s="86">
        <v>21012000</v>
      </c>
      <c r="AE523" s="86">
        <f t="shared" si="60"/>
        <v>0</v>
      </c>
      <c r="AF523" s="85">
        <v>2708</v>
      </c>
      <c r="AG523" s="81">
        <v>43334</v>
      </c>
      <c r="AH523" s="86">
        <v>21012000</v>
      </c>
      <c r="AI523" s="63" t="s">
        <v>1480</v>
      </c>
      <c r="AJ523" s="63">
        <v>516</v>
      </c>
      <c r="AK523" s="87">
        <f t="shared" si="57"/>
        <v>0</v>
      </c>
      <c r="AL523" s="86">
        <v>1575900</v>
      </c>
      <c r="AM523" s="86">
        <f t="shared" si="58"/>
        <v>19436100</v>
      </c>
      <c r="AN523" s="63" t="s">
        <v>1155</v>
      </c>
      <c r="AO523" s="86">
        <f t="shared" si="59"/>
        <v>0</v>
      </c>
      <c r="AP523" s="63" t="s">
        <v>1481</v>
      </c>
      <c r="AQ523" s="81">
        <v>43320</v>
      </c>
      <c r="AR523" s="63" t="s">
        <v>1156</v>
      </c>
      <c r="AS523" s="81">
        <v>43321</v>
      </c>
      <c r="AT523" s="63" t="s">
        <v>1453</v>
      </c>
      <c r="AU523" s="220"/>
      <c r="AV523" s="220"/>
      <c r="AW523" s="220"/>
    </row>
    <row r="524" spans="1:49" s="221" customFormat="1" ht="409.5" x14ac:dyDescent="0.25">
      <c r="A524" s="63">
        <v>110</v>
      </c>
      <c r="B524" s="63" t="str">
        <f t="shared" si="56"/>
        <v>3075-110</v>
      </c>
      <c r="C524" s="76" t="s">
        <v>1141</v>
      </c>
      <c r="D524" s="76" t="s">
        <v>1142</v>
      </c>
      <c r="E524" s="76" t="s">
        <v>1424</v>
      </c>
      <c r="F524" s="76" t="s">
        <v>1158</v>
      </c>
      <c r="G524" s="77" t="s">
        <v>1159</v>
      </c>
      <c r="H524" s="101" t="s">
        <v>1160</v>
      </c>
      <c r="I524" s="76" t="s">
        <v>1147</v>
      </c>
      <c r="J524" s="76" t="s">
        <v>1148</v>
      </c>
      <c r="K524" s="76">
        <v>801116</v>
      </c>
      <c r="L524" s="63" t="s">
        <v>1149</v>
      </c>
      <c r="M524" s="63" t="s">
        <v>58</v>
      </c>
      <c r="N524" s="63" t="s">
        <v>59</v>
      </c>
      <c r="O524" s="76" t="s">
        <v>1213</v>
      </c>
      <c r="P524" s="63" t="s">
        <v>1482</v>
      </c>
      <c r="Q524" s="83">
        <v>3399000</v>
      </c>
      <c r="R524" s="98">
        <v>5</v>
      </c>
      <c r="S524" s="80">
        <f>8232000-1032000</f>
        <v>7200000</v>
      </c>
      <c r="T524" s="63" t="s">
        <v>928</v>
      </c>
      <c r="U524" s="63" t="s">
        <v>1163</v>
      </c>
      <c r="V524" s="81" t="s">
        <v>724</v>
      </c>
      <c r="W524" s="82">
        <v>6</v>
      </c>
      <c r="X524" s="63" t="s">
        <v>1483</v>
      </c>
      <c r="Y524" s="81">
        <v>43167</v>
      </c>
      <c r="Z524" s="83">
        <v>7200000</v>
      </c>
      <c r="AA524" s="84" t="s">
        <v>439</v>
      </c>
      <c r="AB524" s="85">
        <v>711</v>
      </c>
      <c r="AC524" s="81">
        <v>43168</v>
      </c>
      <c r="AD524" s="86">
        <v>7200000</v>
      </c>
      <c r="AE524" s="86">
        <f t="shared" si="60"/>
        <v>0</v>
      </c>
      <c r="AF524" s="85">
        <v>1639</v>
      </c>
      <c r="AG524" s="81">
        <v>43182</v>
      </c>
      <c r="AH524" s="86">
        <v>7200000</v>
      </c>
      <c r="AI524" s="63" t="s">
        <v>1484</v>
      </c>
      <c r="AJ524" s="63">
        <v>569</v>
      </c>
      <c r="AK524" s="87">
        <f t="shared" si="57"/>
        <v>0</v>
      </c>
      <c r="AL524" s="86">
        <v>5200000</v>
      </c>
      <c r="AM524" s="86">
        <f t="shared" si="58"/>
        <v>2000000</v>
      </c>
      <c r="AN524" s="63" t="s">
        <v>1155</v>
      </c>
      <c r="AO524" s="86">
        <f t="shared" si="59"/>
        <v>0</v>
      </c>
      <c r="AP524" s="63" t="s">
        <v>1485</v>
      </c>
      <c r="AQ524" s="81">
        <v>43167</v>
      </c>
      <c r="AR524" s="63" t="s">
        <v>1156</v>
      </c>
      <c r="AS524" s="81">
        <v>43167</v>
      </c>
      <c r="AT524" s="63" t="s">
        <v>1453</v>
      </c>
      <c r="AU524" s="220"/>
      <c r="AV524" s="220"/>
      <c r="AW524" s="220"/>
    </row>
    <row r="525" spans="1:49" s="221" customFormat="1" ht="342" x14ac:dyDescent="0.25">
      <c r="A525" s="63">
        <v>111</v>
      </c>
      <c r="B525" s="63" t="str">
        <f t="shared" si="56"/>
        <v>3075-111</v>
      </c>
      <c r="C525" s="76" t="s">
        <v>1141</v>
      </c>
      <c r="D525" s="76" t="s">
        <v>1142</v>
      </c>
      <c r="E525" s="76" t="s">
        <v>1424</v>
      </c>
      <c r="F525" s="76" t="s">
        <v>1158</v>
      </c>
      <c r="G525" s="77" t="s">
        <v>1159</v>
      </c>
      <c r="H525" s="101" t="s">
        <v>1160</v>
      </c>
      <c r="I525" s="76" t="s">
        <v>1147</v>
      </c>
      <c r="J525" s="76" t="s">
        <v>1148</v>
      </c>
      <c r="K525" s="76">
        <v>93141506</v>
      </c>
      <c r="L525" s="63" t="s">
        <v>1149</v>
      </c>
      <c r="M525" s="63" t="s">
        <v>58</v>
      </c>
      <c r="N525" s="63" t="s">
        <v>59</v>
      </c>
      <c r="O525" s="76" t="s">
        <v>1213</v>
      </c>
      <c r="P525" s="63" t="s">
        <v>1287</v>
      </c>
      <c r="Q525" s="83">
        <v>7210000</v>
      </c>
      <c r="R525" s="98">
        <v>1</v>
      </c>
      <c r="S525" s="80">
        <f>28428000+309000+26400+76600</f>
        <v>28840000</v>
      </c>
      <c r="T525" s="63" t="s">
        <v>888</v>
      </c>
      <c r="U525" s="63" t="s">
        <v>1163</v>
      </c>
      <c r="V525" s="81" t="s">
        <v>431</v>
      </c>
      <c r="W525" s="82">
        <v>4</v>
      </c>
      <c r="X525" s="63" t="s">
        <v>1486</v>
      </c>
      <c r="Y525" s="81">
        <v>43321</v>
      </c>
      <c r="Z525" s="83">
        <v>28840000</v>
      </c>
      <c r="AA525" s="84" t="s">
        <v>1487</v>
      </c>
      <c r="AB525" s="85">
        <v>1052</v>
      </c>
      <c r="AC525" s="81">
        <v>43322</v>
      </c>
      <c r="AD525" s="86">
        <v>28840000</v>
      </c>
      <c r="AE525" s="86">
        <f t="shared" si="60"/>
        <v>0</v>
      </c>
      <c r="AF525" s="85">
        <v>2709</v>
      </c>
      <c r="AG525" s="81">
        <v>43334</v>
      </c>
      <c r="AH525" s="86">
        <v>28840000</v>
      </c>
      <c r="AI525" s="63" t="s">
        <v>1488</v>
      </c>
      <c r="AJ525" s="63">
        <v>513</v>
      </c>
      <c r="AK525" s="87">
        <f t="shared" si="57"/>
        <v>0</v>
      </c>
      <c r="AL525" s="86">
        <v>2163000</v>
      </c>
      <c r="AM525" s="86">
        <f t="shared" si="58"/>
        <v>26677000</v>
      </c>
      <c r="AN525" s="63" t="s">
        <v>1155</v>
      </c>
      <c r="AO525" s="86">
        <f t="shared" si="59"/>
        <v>0</v>
      </c>
      <c r="AP525" s="63"/>
      <c r="AQ525" s="81">
        <v>43320</v>
      </c>
      <c r="AR525" s="63" t="s">
        <v>1156</v>
      </c>
      <c r="AS525" s="81">
        <v>43321</v>
      </c>
      <c r="AT525" s="63" t="s">
        <v>1453</v>
      </c>
      <c r="AU525" s="220"/>
      <c r="AV525" s="220"/>
      <c r="AW525" s="220"/>
    </row>
    <row r="526" spans="1:49" s="221" customFormat="1" ht="342" x14ac:dyDescent="0.25">
      <c r="A526" s="63">
        <v>112</v>
      </c>
      <c r="B526" s="63" t="str">
        <f t="shared" si="56"/>
        <v>3075-112</v>
      </c>
      <c r="C526" s="76" t="s">
        <v>1141</v>
      </c>
      <c r="D526" s="76" t="s">
        <v>1142</v>
      </c>
      <c r="E526" s="76" t="s">
        <v>1424</v>
      </c>
      <c r="F526" s="76" t="s">
        <v>1158</v>
      </c>
      <c r="G526" s="77" t="s">
        <v>1159</v>
      </c>
      <c r="H526" s="101" t="s">
        <v>1160</v>
      </c>
      <c r="I526" s="76" t="s">
        <v>1147</v>
      </c>
      <c r="J526" s="76" t="s">
        <v>1148</v>
      </c>
      <c r="K526" s="76">
        <v>81101500</v>
      </c>
      <c r="L526" s="63" t="s">
        <v>1149</v>
      </c>
      <c r="M526" s="63" t="s">
        <v>58</v>
      </c>
      <c r="N526" s="63" t="s">
        <v>59</v>
      </c>
      <c r="O526" s="76" t="s">
        <v>1213</v>
      </c>
      <c r="P526" s="63" t="s">
        <v>1241</v>
      </c>
      <c r="Q526" s="83">
        <v>5036700</v>
      </c>
      <c r="R526" s="98">
        <v>1</v>
      </c>
      <c r="S526" s="80">
        <f>24720000-4573200</f>
        <v>20146800</v>
      </c>
      <c r="T526" s="63" t="s">
        <v>888</v>
      </c>
      <c r="U526" s="63" t="s">
        <v>1163</v>
      </c>
      <c r="V526" s="81" t="s">
        <v>431</v>
      </c>
      <c r="W526" s="82">
        <v>4</v>
      </c>
      <c r="X526" s="63" t="s">
        <v>1489</v>
      </c>
      <c r="Y526" s="81">
        <v>43321</v>
      </c>
      <c r="Z526" s="83">
        <v>20146800</v>
      </c>
      <c r="AA526" s="84"/>
      <c r="AB526" s="85">
        <v>1050</v>
      </c>
      <c r="AC526" s="81">
        <v>43322</v>
      </c>
      <c r="AD526" s="86">
        <v>20146800</v>
      </c>
      <c r="AE526" s="86">
        <f t="shared" si="60"/>
        <v>0</v>
      </c>
      <c r="AF526" s="85">
        <v>2712</v>
      </c>
      <c r="AG526" s="81">
        <v>43334</v>
      </c>
      <c r="AH526" s="86">
        <v>20146800</v>
      </c>
      <c r="AI526" s="63" t="s">
        <v>1490</v>
      </c>
      <c r="AJ526" s="63">
        <v>517</v>
      </c>
      <c r="AK526" s="87">
        <f t="shared" si="57"/>
        <v>0</v>
      </c>
      <c r="AL526" s="86">
        <v>1511010</v>
      </c>
      <c r="AM526" s="86">
        <f t="shared" si="58"/>
        <v>18635790</v>
      </c>
      <c r="AN526" s="63" t="s">
        <v>1155</v>
      </c>
      <c r="AO526" s="86">
        <f t="shared" si="59"/>
        <v>0</v>
      </c>
      <c r="AP526" s="63"/>
      <c r="AQ526" s="81">
        <v>43320</v>
      </c>
      <c r="AR526" s="63" t="s">
        <v>1156</v>
      </c>
      <c r="AS526" s="81">
        <v>43321</v>
      </c>
      <c r="AT526" s="63" t="s">
        <v>1453</v>
      </c>
      <c r="AU526" s="220"/>
      <c r="AV526" s="220"/>
      <c r="AW526" s="220"/>
    </row>
    <row r="527" spans="1:49" s="221" customFormat="1" ht="409.5" x14ac:dyDescent="0.25">
      <c r="A527" s="63">
        <v>113</v>
      </c>
      <c r="B527" s="63" t="str">
        <f t="shared" si="56"/>
        <v>3075-113</v>
      </c>
      <c r="C527" s="76" t="s">
        <v>1141</v>
      </c>
      <c r="D527" s="76" t="s">
        <v>1142</v>
      </c>
      <c r="E527" s="76" t="s">
        <v>1424</v>
      </c>
      <c r="F527" s="76" t="s">
        <v>1158</v>
      </c>
      <c r="G527" s="77" t="s">
        <v>1159</v>
      </c>
      <c r="H527" s="101" t="s">
        <v>1160</v>
      </c>
      <c r="I527" s="76" t="s">
        <v>1147</v>
      </c>
      <c r="J527" s="76" t="s">
        <v>1148</v>
      </c>
      <c r="K527" s="76">
        <v>801116</v>
      </c>
      <c r="L527" s="63" t="s">
        <v>1149</v>
      </c>
      <c r="M527" s="63" t="s">
        <v>58</v>
      </c>
      <c r="N527" s="63" t="s">
        <v>59</v>
      </c>
      <c r="O527" s="76" t="s">
        <v>1213</v>
      </c>
      <c r="P527" s="63" t="s">
        <v>1491</v>
      </c>
      <c r="Q527" s="83">
        <v>4532000</v>
      </c>
      <c r="R527" s="98">
        <v>1</v>
      </c>
      <c r="S527" s="80">
        <v>49852000</v>
      </c>
      <c r="T527" s="63" t="s">
        <v>888</v>
      </c>
      <c r="U527" s="63" t="s">
        <v>1163</v>
      </c>
      <c r="V527" s="81" t="s">
        <v>64</v>
      </c>
      <c r="W527" s="82">
        <v>11</v>
      </c>
      <c r="X527" s="63" t="s">
        <v>1492</v>
      </c>
      <c r="Y527" s="81">
        <v>43104</v>
      </c>
      <c r="Z527" s="83">
        <v>49852000</v>
      </c>
      <c r="AA527" s="84" t="s">
        <v>439</v>
      </c>
      <c r="AB527" s="85">
        <v>459</v>
      </c>
      <c r="AC527" s="81">
        <v>43111</v>
      </c>
      <c r="AD527" s="86">
        <v>49852000</v>
      </c>
      <c r="AE527" s="86">
        <f t="shared" si="60"/>
        <v>0</v>
      </c>
      <c r="AF527" s="85">
        <v>208</v>
      </c>
      <c r="AG527" s="81">
        <v>43118</v>
      </c>
      <c r="AH527" s="86">
        <v>49852000</v>
      </c>
      <c r="AI527" s="63" t="s">
        <v>1493</v>
      </c>
      <c r="AJ527" s="63">
        <v>171</v>
      </c>
      <c r="AK527" s="87">
        <f t="shared" si="57"/>
        <v>0</v>
      </c>
      <c r="AL527" s="86">
        <v>33536800</v>
      </c>
      <c r="AM527" s="86">
        <f t="shared" si="58"/>
        <v>16315200</v>
      </c>
      <c r="AN527" s="63" t="s">
        <v>1155</v>
      </c>
      <c r="AO527" s="86">
        <f t="shared" si="59"/>
        <v>0</v>
      </c>
      <c r="AP527" s="63"/>
      <c r="AQ527" s="63"/>
      <c r="AR527" s="63"/>
      <c r="AS527" s="63"/>
      <c r="AT527" s="63"/>
      <c r="AU527" s="220"/>
      <c r="AV527" s="220"/>
      <c r="AW527" s="220"/>
    </row>
    <row r="528" spans="1:49" s="221" customFormat="1" ht="342" x14ac:dyDescent="0.25">
      <c r="A528" s="63">
        <v>114</v>
      </c>
      <c r="B528" s="63" t="str">
        <f t="shared" si="56"/>
        <v>3075-114</v>
      </c>
      <c r="C528" s="76" t="s">
        <v>1141</v>
      </c>
      <c r="D528" s="76" t="s">
        <v>1142</v>
      </c>
      <c r="E528" s="76" t="s">
        <v>1424</v>
      </c>
      <c r="F528" s="76" t="s">
        <v>1158</v>
      </c>
      <c r="G528" s="77" t="s">
        <v>1159</v>
      </c>
      <c r="H528" s="101" t="s">
        <v>1160</v>
      </c>
      <c r="I528" s="76" t="s">
        <v>1147</v>
      </c>
      <c r="J528" s="76" t="s">
        <v>1148</v>
      </c>
      <c r="K528" s="76">
        <v>81101500</v>
      </c>
      <c r="L528" s="63" t="s">
        <v>1149</v>
      </c>
      <c r="M528" s="63" t="s">
        <v>58</v>
      </c>
      <c r="N528" s="63" t="s">
        <v>59</v>
      </c>
      <c r="O528" s="76" t="s">
        <v>1213</v>
      </c>
      <c r="P528" s="63" t="s">
        <v>1241</v>
      </c>
      <c r="Q528" s="83">
        <v>3553500</v>
      </c>
      <c r="R528" s="98">
        <v>1</v>
      </c>
      <c r="S528" s="80">
        <f>52611000-21012000-17385000</f>
        <v>14214000</v>
      </c>
      <c r="T528" s="63" t="s">
        <v>888</v>
      </c>
      <c r="U528" s="63" t="s">
        <v>1163</v>
      </c>
      <c r="V528" s="81" t="s">
        <v>431</v>
      </c>
      <c r="W528" s="82">
        <v>4</v>
      </c>
      <c r="X528" s="63" t="s">
        <v>1494</v>
      </c>
      <c r="Y528" s="81">
        <v>43321</v>
      </c>
      <c r="Z528" s="83">
        <v>14214000</v>
      </c>
      <c r="AA528" s="84"/>
      <c r="AB528" s="85">
        <v>1043</v>
      </c>
      <c r="AC528" s="81">
        <v>43322</v>
      </c>
      <c r="AD528" s="86">
        <v>14214000</v>
      </c>
      <c r="AE528" s="86">
        <f t="shared" si="60"/>
        <v>0</v>
      </c>
      <c r="AF528" s="85">
        <v>2727</v>
      </c>
      <c r="AG528" s="81">
        <v>43335</v>
      </c>
      <c r="AH528" s="86">
        <v>14214000</v>
      </c>
      <c r="AI528" s="63" t="s">
        <v>1495</v>
      </c>
      <c r="AJ528" s="63">
        <v>522</v>
      </c>
      <c r="AK528" s="87">
        <f t="shared" si="57"/>
        <v>0</v>
      </c>
      <c r="AL528" s="86">
        <v>947600</v>
      </c>
      <c r="AM528" s="86">
        <f t="shared" si="58"/>
        <v>13266400</v>
      </c>
      <c r="AN528" s="63" t="s">
        <v>1155</v>
      </c>
      <c r="AO528" s="86">
        <f t="shared" si="59"/>
        <v>0</v>
      </c>
      <c r="AP528" s="63"/>
      <c r="AQ528" s="81">
        <v>43320</v>
      </c>
      <c r="AR528" s="63" t="s">
        <v>1156</v>
      </c>
      <c r="AS528" s="81">
        <v>43321</v>
      </c>
      <c r="AT528" s="63" t="s">
        <v>1453</v>
      </c>
      <c r="AU528" s="220"/>
      <c r="AV528" s="220"/>
      <c r="AW528" s="220"/>
    </row>
    <row r="529" spans="1:49" s="221" customFormat="1" ht="342" x14ac:dyDescent="0.25">
      <c r="A529" s="63">
        <v>115</v>
      </c>
      <c r="B529" s="63" t="str">
        <f t="shared" si="56"/>
        <v>3075-115</v>
      </c>
      <c r="C529" s="76" t="s">
        <v>1141</v>
      </c>
      <c r="D529" s="76" t="s">
        <v>1142</v>
      </c>
      <c r="E529" s="76" t="s">
        <v>1424</v>
      </c>
      <c r="F529" s="76" t="s">
        <v>1158</v>
      </c>
      <c r="G529" s="77" t="s">
        <v>1159</v>
      </c>
      <c r="H529" s="101" t="s">
        <v>1160</v>
      </c>
      <c r="I529" s="76" t="s">
        <v>1147</v>
      </c>
      <c r="J529" s="76" t="s">
        <v>1148</v>
      </c>
      <c r="K529" s="76">
        <v>80111600</v>
      </c>
      <c r="L529" s="63" t="s">
        <v>1149</v>
      </c>
      <c r="M529" s="63" t="s">
        <v>58</v>
      </c>
      <c r="N529" s="63" t="s">
        <v>59</v>
      </c>
      <c r="O529" s="76" t="s">
        <v>1213</v>
      </c>
      <c r="P529" s="63" t="s">
        <v>1496</v>
      </c>
      <c r="Q529" s="83">
        <v>4120000</v>
      </c>
      <c r="R529" s="98">
        <v>1</v>
      </c>
      <c r="S529" s="80">
        <f>33990000-6755240</f>
        <v>27234760</v>
      </c>
      <c r="T529" s="63" t="s">
        <v>888</v>
      </c>
      <c r="U529" s="63" t="s">
        <v>1163</v>
      </c>
      <c r="V529" s="81" t="s">
        <v>431</v>
      </c>
      <c r="W529" s="82">
        <v>4</v>
      </c>
      <c r="X529" s="63" t="s">
        <v>1497</v>
      </c>
      <c r="Y529" s="81">
        <v>43321</v>
      </c>
      <c r="Z529" s="83">
        <v>16480000</v>
      </c>
      <c r="AA529" s="84"/>
      <c r="AB529" s="85">
        <v>1044</v>
      </c>
      <c r="AC529" s="81">
        <v>43322</v>
      </c>
      <c r="AD529" s="86">
        <v>16480000</v>
      </c>
      <c r="AE529" s="86">
        <f t="shared" si="60"/>
        <v>10754760</v>
      </c>
      <c r="AF529" s="85">
        <v>2724</v>
      </c>
      <c r="AG529" s="81">
        <v>43335</v>
      </c>
      <c r="AH529" s="86">
        <v>16480000</v>
      </c>
      <c r="AI529" s="63" t="s">
        <v>1498</v>
      </c>
      <c r="AJ529" s="63">
        <v>528</v>
      </c>
      <c r="AK529" s="87">
        <f t="shared" si="57"/>
        <v>0</v>
      </c>
      <c r="AL529" s="86">
        <v>1098667</v>
      </c>
      <c r="AM529" s="86">
        <f t="shared" si="58"/>
        <v>15381333</v>
      </c>
      <c r="AN529" s="63" t="s">
        <v>1155</v>
      </c>
      <c r="AO529" s="86">
        <f t="shared" si="59"/>
        <v>10754760</v>
      </c>
      <c r="AP529" s="63"/>
      <c r="AQ529" s="81">
        <v>43320</v>
      </c>
      <c r="AR529" s="63" t="s">
        <v>1156</v>
      </c>
      <c r="AS529" s="81">
        <v>43321</v>
      </c>
      <c r="AT529" s="63" t="s">
        <v>1453</v>
      </c>
      <c r="AU529" s="220"/>
      <c r="AV529" s="220"/>
      <c r="AW529" s="220"/>
    </row>
    <row r="530" spans="1:49" s="221" customFormat="1" ht="409.5" x14ac:dyDescent="0.25">
      <c r="A530" s="63">
        <v>116</v>
      </c>
      <c r="B530" s="63" t="str">
        <f t="shared" si="56"/>
        <v>3075-116</v>
      </c>
      <c r="C530" s="76" t="s">
        <v>1141</v>
      </c>
      <c r="D530" s="76" t="s">
        <v>1142</v>
      </c>
      <c r="E530" s="76" t="s">
        <v>1424</v>
      </c>
      <c r="F530" s="76" t="s">
        <v>1158</v>
      </c>
      <c r="G530" s="77" t="s">
        <v>1159</v>
      </c>
      <c r="H530" s="101" t="s">
        <v>1160</v>
      </c>
      <c r="I530" s="76" t="s">
        <v>1147</v>
      </c>
      <c r="J530" s="76" t="s">
        <v>1148</v>
      </c>
      <c r="K530" s="76">
        <v>801116</v>
      </c>
      <c r="L530" s="63" t="s">
        <v>1149</v>
      </c>
      <c r="M530" s="63" t="s">
        <v>58</v>
      </c>
      <c r="N530" s="63" t="s">
        <v>59</v>
      </c>
      <c r="O530" s="76" t="s">
        <v>1213</v>
      </c>
      <c r="P530" s="63" t="s">
        <v>1499</v>
      </c>
      <c r="Q530" s="83">
        <v>2472000</v>
      </c>
      <c r="R530" s="98">
        <v>1</v>
      </c>
      <c r="S530" s="80">
        <f>14832000-76600-85400</f>
        <v>14670000</v>
      </c>
      <c r="T530" s="63" t="s">
        <v>888</v>
      </c>
      <c r="U530" s="63" t="s">
        <v>1163</v>
      </c>
      <c r="V530" s="81" t="s">
        <v>724</v>
      </c>
      <c r="W530" s="82">
        <v>6</v>
      </c>
      <c r="X530" s="63" t="s">
        <v>1500</v>
      </c>
      <c r="Y530" s="81">
        <v>43167</v>
      </c>
      <c r="Z530" s="83">
        <v>14670000</v>
      </c>
      <c r="AA530" s="84" t="s">
        <v>439</v>
      </c>
      <c r="AB530" s="85">
        <v>707</v>
      </c>
      <c r="AC530" s="81">
        <v>43168</v>
      </c>
      <c r="AD530" s="86">
        <v>14670000</v>
      </c>
      <c r="AE530" s="86">
        <f t="shared" si="60"/>
        <v>0</v>
      </c>
      <c r="AF530" s="85">
        <v>1574</v>
      </c>
      <c r="AG530" s="81">
        <v>43173</v>
      </c>
      <c r="AH530" s="86">
        <v>14670000</v>
      </c>
      <c r="AI530" s="63" t="s">
        <v>1501</v>
      </c>
      <c r="AJ530" s="63">
        <v>539</v>
      </c>
      <c r="AK530" s="87">
        <f t="shared" si="57"/>
        <v>0</v>
      </c>
      <c r="AL530" s="86">
        <v>14670000</v>
      </c>
      <c r="AM530" s="86">
        <f t="shared" si="58"/>
        <v>0</v>
      </c>
      <c r="AN530" s="63" t="s">
        <v>1155</v>
      </c>
      <c r="AO530" s="86">
        <f t="shared" si="59"/>
        <v>0</v>
      </c>
      <c r="AP530" s="63" t="s">
        <v>1502</v>
      </c>
      <c r="AQ530" s="63"/>
      <c r="AR530" s="63"/>
      <c r="AS530" s="63"/>
      <c r="AT530" s="63"/>
      <c r="AU530" s="220"/>
      <c r="AV530" s="220"/>
      <c r="AW530" s="220"/>
    </row>
    <row r="531" spans="1:49" s="221" customFormat="1" ht="342" x14ac:dyDescent="0.25">
      <c r="A531" s="63">
        <v>117</v>
      </c>
      <c r="B531" s="63" t="str">
        <f t="shared" si="56"/>
        <v>3075-117</v>
      </c>
      <c r="C531" s="76" t="s">
        <v>1141</v>
      </c>
      <c r="D531" s="76" t="s">
        <v>1142</v>
      </c>
      <c r="E531" s="76" t="s">
        <v>1424</v>
      </c>
      <c r="F531" s="76" t="s">
        <v>1158</v>
      </c>
      <c r="G531" s="77" t="s">
        <v>1159</v>
      </c>
      <c r="H531" s="101" t="s">
        <v>1160</v>
      </c>
      <c r="I531" s="76" t="s">
        <v>1147</v>
      </c>
      <c r="J531" s="76" t="s">
        <v>1148</v>
      </c>
      <c r="K531" s="76">
        <v>93141506</v>
      </c>
      <c r="L531" s="63" t="s">
        <v>1149</v>
      </c>
      <c r="M531" s="63" t="s">
        <v>58</v>
      </c>
      <c r="N531" s="63" t="s">
        <v>59</v>
      </c>
      <c r="O531" s="76" t="s">
        <v>1213</v>
      </c>
      <c r="P531" s="63" t="s">
        <v>1287</v>
      </c>
      <c r="Q531" s="83">
        <v>3553500</v>
      </c>
      <c r="R531" s="98">
        <v>1</v>
      </c>
      <c r="S531" s="80">
        <f>42642000-(14214000*2)</f>
        <v>14214000</v>
      </c>
      <c r="T531" s="63" t="s">
        <v>888</v>
      </c>
      <c r="U531" s="63" t="s">
        <v>1163</v>
      </c>
      <c r="V531" s="81" t="s">
        <v>431</v>
      </c>
      <c r="W531" s="82">
        <v>4</v>
      </c>
      <c r="X531" s="63" t="s">
        <v>1503</v>
      </c>
      <c r="Y531" s="81">
        <v>43321</v>
      </c>
      <c r="Z531" s="83">
        <v>14214000</v>
      </c>
      <c r="AA531" s="84" t="s">
        <v>439</v>
      </c>
      <c r="AB531" s="85">
        <v>1045</v>
      </c>
      <c r="AC531" s="81">
        <v>43322</v>
      </c>
      <c r="AD531" s="86">
        <v>14214000</v>
      </c>
      <c r="AE531" s="86">
        <f t="shared" si="60"/>
        <v>0</v>
      </c>
      <c r="AF531" s="85">
        <v>2711</v>
      </c>
      <c r="AG531" s="81">
        <v>43334</v>
      </c>
      <c r="AH531" s="86">
        <v>14214000</v>
      </c>
      <c r="AI531" s="63" t="s">
        <v>1504</v>
      </c>
      <c r="AJ531" s="63">
        <v>512</v>
      </c>
      <c r="AK531" s="87">
        <f t="shared" si="57"/>
        <v>0</v>
      </c>
      <c r="AL531" s="86">
        <v>1066050</v>
      </c>
      <c r="AM531" s="86">
        <f t="shared" si="58"/>
        <v>13147950</v>
      </c>
      <c r="AN531" s="63" t="s">
        <v>1155</v>
      </c>
      <c r="AO531" s="86">
        <f t="shared" si="59"/>
        <v>0</v>
      </c>
      <c r="AP531" s="63"/>
      <c r="AQ531" s="81">
        <v>43320</v>
      </c>
      <c r="AR531" s="63" t="s">
        <v>1156</v>
      </c>
      <c r="AS531" s="81">
        <v>43321</v>
      </c>
      <c r="AT531" s="63" t="s">
        <v>1453</v>
      </c>
      <c r="AU531" s="220"/>
      <c r="AV531" s="220"/>
      <c r="AW531" s="220"/>
    </row>
    <row r="532" spans="1:49" s="221" customFormat="1" ht="342" x14ac:dyDescent="0.25">
      <c r="A532" s="63">
        <v>118</v>
      </c>
      <c r="B532" s="63" t="str">
        <f t="shared" si="56"/>
        <v>3075-118</v>
      </c>
      <c r="C532" s="76" t="s">
        <v>1141</v>
      </c>
      <c r="D532" s="76" t="s">
        <v>1142</v>
      </c>
      <c r="E532" s="76" t="s">
        <v>1424</v>
      </c>
      <c r="F532" s="76" t="s">
        <v>1158</v>
      </c>
      <c r="G532" s="77" t="s">
        <v>1159</v>
      </c>
      <c r="H532" s="101" t="s">
        <v>1160</v>
      </c>
      <c r="I532" s="76" t="s">
        <v>1147</v>
      </c>
      <c r="J532" s="76" t="s">
        <v>1148</v>
      </c>
      <c r="K532" s="76">
        <v>93151501</v>
      </c>
      <c r="L532" s="63" t="s">
        <v>1149</v>
      </c>
      <c r="M532" s="63" t="s">
        <v>58</v>
      </c>
      <c r="N532" s="63" t="s">
        <v>59</v>
      </c>
      <c r="O532" s="76" t="s">
        <v>1213</v>
      </c>
      <c r="P532" s="63" t="s">
        <v>1505</v>
      </c>
      <c r="Q532" s="83">
        <v>3553500</v>
      </c>
      <c r="R532" s="98">
        <v>1</v>
      </c>
      <c r="S532" s="80">
        <f>24720000-10506000</f>
        <v>14214000</v>
      </c>
      <c r="T532" s="63" t="s">
        <v>888</v>
      </c>
      <c r="U532" s="63" t="s">
        <v>1163</v>
      </c>
      <c r="V532" s="81" t="s">
        <v>431</v>
      </c>
      <c r="W532" s="82">
        <v>4</v>
      </c>
      <c r="X532" s="63" t="s">
        <v>1506</v>
      </c>
      <c r="Y532" s="81">
        <v>43321</v>
      </c>
      <c r="Z532" s="83">
        <v>14214000</v>
      </c>
      <c r="AA532" s="84" t="s">
        <v>439</v>
      </c>
      <c r="AB532" s="85">
        <v>1035</v>
      </c>
      <c r="AC532" s="81">
        <v>43322</v>
      </c>
      <c r="AD532" s="86">
        <v>14214000</v>
      </c>
      <c r="AE532" s="86">
        <f t="shared" si="60"/>
        <v>0</v>
      </c>
      <c r="AF532" s="85">
        <v>2716</v>
      </c>
      <c r="AG532" s="81">
        <v>43334</v>
      </c>
      <c r="AH532" s="86">
        <v>14214000</v>
      </c>
      <c r="AI532" s="63" t="s">
        <v>1448</v>
      </c>
      <c r="AJ532" s="63">
        <v>510</v>
      </c>
      <c r="AK532" s="87">
        <f t="shared" si="57"/>
        <v>0</v>
      </c>
      <c r="AL532" s="86">
        <v>473800</v>
      </c>
      <c r="AM532" s="86">
        <f t="shared" si="58"/>
        <v>13740200</v>
      </c>
      <c r="AN532" s="63" t="s">
        <v>1155</v>
      </c>
      <c r="AO532" s="86">
        <f t="shared" si="59"/>
        <v>0</v>
      </c>
      <c r="AP532" s="63"/>
      <c r="AQ532" s="81">
        <v>43320</v>
      </c>
      <c r="AR532" s="63" t="s">
        <v>1156</v>
      </c>
      <c r="AS532" s="81">
        <v>43321</v>
      </c>
      <c r="AT532" s="63" t="s">
        <v>1453</v>
      </c>
      <c r="AU532" s="220"/>
      <c r="AV532" s="220"/>
      <c r="AW532" s="220"/>
    </row>
    <row r="533" spans="1:49" s="221" customFormat="1" ht="342" x14ac:dyDescent="0.25">
      <c r="A533" s="63">
        <v>119</v>
      </c>
      <c r="B533" s="63" t="str">
        <f t="shared" si="56"/>
        <v>3075-119</v>
      </c>
      <c r="C533" s="76" t="s">
        <v>1141</v>
      </c>
      <c r="D533" s="76" t="s">
        <v>1142</v>
      </c>
      <c r="E533" s="76" t="s">
        <v>1424</v>
      </c>
      <c r="F533" s="76" t="s">
        <v>1158</v>
      </c>
      <c r="G533" s="77" t="s">
        <v>1159</v>
      </c>
      <c r="H533" s="101" t="s">
        <v>1160</v>
      </c>
      <c r="I533" s="76" t="s">
        <v>1147</v>
      </c>
      <c r="J533" s="76" t="s">
        <v>1148</v>
      </c>
      <c r="K533" s="76">
        <v>93141506</v>
      </c>
      <c r="L533" s="63" t="s">
        <v>1149</v>
      </c>
      <c r="M533" s="63" t="s">
        <v>58</v>
      </c>
      <c r="N533" s="63" t="s">
        <v>59</v>
      </c>
      <c r="O533" s="76" t="s">
        <v>1213</v>
      </c>
      <c r="P533" s="63" t="s">
        <v>1507</v>
      </c>
      <c r="Q533" s="83">
        <v>5036700</v>
      </c>
      <c r="R533" s="98">
        <v>2</v>
      </c>
      <c r="S533" s="80">
        <v>30220200</v>
      </c>
      <c r="T533" s="63" t="s">
        <v>928</v>
      </c>
      <c r="U533" s="63" t="s">
        <v>1163</v>
      </c>
      <c r="V533" s="81" t="s">
        <v>431</v>
      </c>
      <c r="W533" s="82">
        <v>4</v>
      </c>
      <c r="X533" s="63" t="s">
        <v>1508</v>
      </c>
      <c r="Y533" s="81">
        <v>43329</v>
      </c>
      <c r="Z533" s="83">
        <v>13307600</v>
      </c>
      <c r="AA533" s="84" t="s">
        <v>439</v>
      </c>
      <c r="AB533" s="85">
        <v>1088</v>
      </c>
      <c r="AC533" s="81">
        <v>43333</v>
      </c>
      <c r="AD533" s="86">
        <v>13307600</v>
      </c>
      <c r="AE533" s="86">
        <f t="shared" si="60"/>
        <v>16912600</v>
      </c>
      <c r="AF533" s="85">
        <v>2769</v>
      </c>
      <c r="AG533" s="81">
        <v>43343</v>
      </c>
      <c r="AH533" s="86">
        <v>13307600</v>
      </c>
      <c r="AI533" s="63" t="s">
        <v>1509</v>
      </c>
      <c r="AJ533" s="63">
        <v>544</v>
      </c>
      <c r="AK533" s="87">
        <f t="shared" si="57"/>
        <v>0</v>
      </c>
      <c r="AL533" s="86">
        <v>0</v>
      </c>
      <c r="AM533" s="86">
        <f t="shared" si="58"/>
        <v>13307600</v>
      </c>
      <c r="AN533" s="63" t="s">
        <v>1155</v>
      </c>
      <c r="AO533" s="86">
        <f t="shared" si="59"/>
        <v>16912600</v>
      </c>
      <c r="AP533" s="63"/>
      <c r="AQ533" s="81">
        <v>43329</v>
      </c>
      <c r="AR533" s="63" t="s">
        <v>1156</v>
      </c>
      <c r="AS533" s="81">
        <v>43329</v>
      </c>
      <c r="AT533" s="63" t="s">
        <v>1453</v>
      </c>
      <c r="AU533" s="220"/>
      <c r="AV533" s="220"/>
      <c r="AW533" s="220"/>
    </row>
    <row r="534" spans="1:49" s="221" customFormat="1" ht="409.5" x14ac:dyDescent="0.25">
      <c r="A534" s="63">
        <v>120</v>
      </c>
      <c r="B534" s="63" t="str">
        <f t="shared" si="56"/>
        <v>3075-120</v>
      </c>
      <c r="C534" s="76" t="s">
        <v>1141</v>
      </c>
      <c r="D534" s="76" t="s">
        <v>1142</v>
      </c>
      <c r="E534" s="76" t="s">
        <v>1424</v>
      </c>
      <c r="F534" s="76" t="s">
        <v>1158</v>
      </c>
      <c r="G534" s="77" t="s">
        <v>1159</v>
      </c>
      <c r="H534" s="101" t="s">
        <v>1160</v>
      </c>
      <c r="I534" s="76" t="s">
        <v>1147</v>
      </c>
      <c r="J534" s="76" t="s">
        <v>1148</v>
      </c>
      <c r="K534" s="76">
        <v>801116</v>
      </c>
      <c r="L534" s="63" t="s">
        <v>1149</v>
      </c>
      <c r="M534" s="63" t="s">
        <v>58</v>
      </c>
      <c r="N534" s="63" t="s">
        <v>59</v>
      </c>
      <c r="O534" s="76" t="s">
        <v>1213</v>
      </c>
      <c r="P534" s="63" t="s">
        <v>1510</v>
      </c>
      <c r="Q534" s="83">
        <v>5253000</v>
      </c>
      <c r="R534" s="98">
        <v>3</v>
      </c>
      <c r="S534" s="80">
        <f>63036000-(21012000*2)-1050600</f>
        <v>19961400</v>
      </c>
      <c r="T534" s="63" t="s">
        <v>928</v>
      </c>
      <c r="U534" s="63" t="s">
        <v>1163</v>
      </c>
      <c r="V534" s="81" t="s">
        <v>64</v>
      </c>
      <c r="W534" s="82">
        <v>6</v>
      </c>
      <c r="X534" s="63" t="s">
        <v>1511</v>
      </c>
      <c r="Y534" s="81">
        <v>43119</v>
      </c>
      <c r="Z534" s="83">
        <v>19961400</v>
      </c>
      <c r="AA534" s="84" t="s">
        <v>439</v>
      </c>
      <c r="AB534" s="85">
        <v>543</v>
      </c>
      <c r="AC534" s="81">
        <v>43119</v>
      </c>
      <c r="AD534" s="86">
        <v>19961400</v>
      </c>
      <c r="AE534" s="86">
        <f t="shared" si="60"/>
        <v>0</v>
      </c>
      <c r="AF534" s="85">
        <v>485</v>
      </c>
      <c r="AG534" s="81">
        <v>43126</v>
      </c>
      <c r="AH534" s="86">
        <v>19961400</v>
      </c>
      <c r="AI534" s="63" t="s">
        <v>1512</v>
      </c>
      <c r="AJ534" s="63">
        <v>407</v>
      </c>
      <c r="AK534" s="87">
        <f t="shared" si="57"/>
        <v>0</v>
      </c>
      <c r="AL534" s="86">
        <v>19739607</v>
      </c>
      <c r="AM534" s="86">
        <f t="shared" si="58"/>
        <v>221793</v>
      </c>
      <c r="AN534" s="63" t="s">
        <v>1155</v>
      </c>
      <c r="AO534" s="86">
        <f t="shared" si="59"/>
        <v>0</v>
      </c>
      <c r="AP534" s="63"/>
      <c r="AQ534" s="63"/>
      <c r="AR534" s="63"/>
      <c r="AS534" s="63"/>
      <c r="AT534" s="63"/>
      <c r="AU534" s="220"/>
      <c r="AV534" s="220"/>
      <c r="AW534" s="220"/>
    </row>
    <row r="535" spans="1:49" s="221" customFormat="1" ht="409.5" x14ac:dyDescent="0.25">
      <c r="A535" s="63">
        <v>121</v>
      </c>
      <c r="B535" s="63" t="str">
        <f t="shared" si="56"/>
        <v>3075-121</v>
      </c>
      <c r="C535" s="76" t="s">
        <v>1141</v>
      </c>
      <c r="D535" s="76" t="s">
        <v>1142</v>
      </c>
      <c r="E535" s="76" t="s">
        <v>1424</v>
      </c>
      <c r="F535" s="76" t="s">
        <v>1158</v>
      </c>
      <c r="G535" s="77" t="s">
        <v>1159</v>
      </c>
      <c r="H535" s="101" t="s">
        <v>1160</v>
      </c>
      <c r="I535" s="76" t="s">
        <v>1147</v>
      </c>
      <c r="J535" s="76" t="s">
        <v>1148</v>
      </c>
      <c r="K535" s="76">
        <v>801116</v>
      </c>
      <c r="L535" s="63" t="s">
        <v>1149</v>
      </c>
      <c r="M535" s="63" t="s">
        <v>58</v>
      </c>
      <c r="N535" s="63" t="s">
        <v>59</v>
      </c>
      <c r="O535" s="76" t="s">
        <v>1213</v>
      </c>
      <c r="P535" s="63" t="s">
        <v>1513</v>
      </c>
      <c r="Q535" s="83">
        <v>7210000</v>
      </c>
      <c r="R535" s="98">
        <v>1</v>
      </c>
      <c r="S535" s="80">
        <v>43260000</v>
      </c>
      <c r="T535" s="63" t="s">
        <v>888</v>
      </c>
      <c r="U535" s="63" t="s">
        <v>1163</v>
      </c>
      <c r="V535" s="81" t="s">
        <v>64</v>
      </c>
      <c r="W535" s="82">
        <v>6</v>
      </c>
      <c r="X535" s="63" t="s">
        <v>1514</v>
      </c>
      <c r="Y535" s="81">
        <v>43104</v>
      </c>
      <c r="Z535" s="83">
        <v>43260000</v>
      </c>
      <c r="AA535" s="84" t="s">
        <v>439</v>
      </c>
      <c r="AB535" s="85">
        <v>468</v>
      </c>
      <c r="AC535" s="81">
        <v>43112</v>
      </c>
      <c r="AD535" s="86">
        <v>43260000</v>
      </c>
      <c r="AE535" s="86">
        <f t="shared" si="60"/>
        <v>0</v>
      </c>
      <c r="AF535" s="85">
        <v>278</v>
      </c>
      <c r="AG535" s="81">
        <v>43122</v>
      </c>
      <c r="AH535" s="86">
        <v>43260000</v>
      </c>
      <c r="AI535" s="63" t="s">
        <v>1515</v>
      </c>
      <c r="AJ535" s="63">
        <v>248</v>
      </c>
      <c r="AK535" s="87">
        <f t="shared" si="57"/>
        <v>0</v>
      </c>
      <c r="AL535" s="86">
        <v>43260000</v>
      </c>
      <c r="AM535" s="86">
        <f t="shared" si="58"/>
        <v>0</v>
      </c>
      <c r="AN535" s="63" t="s">
        <v>1155</v>
      </c>
      <c r="AO535" s="86">
        <f t="shared" si="59"/>
        <v>0</v>
      </c>
      <c r="AP535" s="63"/>
      <c r="AQ535" s="63"/>
      <c r="AR535" s="63"/>
      <c r="AS535" s="63"/>
      <c r="AT535" s="63"/>
      <c r="AU535" s="220"/>
      <c r="AV535" s="220"/>
      <c r="AW535" s="220"/>
    </row>
    <row r="536" spans="1:49" s="221" customFormat="1" ht="409.5" x14ac:dyDescent="0.25">
      <c r="A536" s="63">
        <v>122</v>
      </c>
      <c r="B536" s="63" t="str">
        <f t="shared" si="56"/>
        <v>3075-122</v>
      </c>
      <c r="C536" s="76" t="s">
        <v>1141</v>
      </c>
      <c r="D536" s="76" t="s">
        <v>1142</v>
      </c>
      <c r="E536" s="76" t="s">
        <v>1424</v>
      </c>
      <c r="F536" s="76" t="s">
        <v>1158</v>
      </c>
      <c r="G536" s="77" t="s">
        <v>1159</v>
      </c>
      <c r="H536" s="101" t="s">
        <v>1160</v>
      </c>
      <c r="I536" s="76" t="s">
        <v>1147</v>
      </c>
      <c r="J536" s="76" t="s">
        <v>1148</v>
      </c>
      <c r="K536" s="76">
        <v>801116</v>
      </c>
      <c r="L536" s="63" t="s">
        <v>1149</v>
      </c>
      <c r="M536" s="63" t="s">
        <v>58</v>
      </c>
      <c r="N536" s="63" t="s">
        <v>59</v>
      </c>
      <c r="O536" s="76" t="s">
        <v>1213</v>
      </c>
      <c r="P536" s="63" t="s">
        <v>1516</v>
      </c>
      <c r="Q536" s="83">
        <v>7210000</v>
      </c>
      <c r="R536" s="98">
        <v>1</v>
      </c>
      <c r="S536" s="80">
        <v>43260000</v>
      </c>
      <c r="T536" s="63" t="s">
        <v>888</v>
      </c>
      <c r="U536" s="63" t="s">
        <v>1163</v>
      </c>
      <c r="V536" s="81" t="s">
        <v>64</v>
      </c>
      <c r="W536" s="82">
        <v>6</v>
      </c>
      <c r="X536" s="63" t="s">
        <v>1517</v>
      </c>
      <c r="Y536" s="81">
        <v>43104</v>
      </c>
      <c r="Z536" s="83">
        <v>43260000</v>
      </c>
      <c r="AA536" s="84" t="s">
        <v>439</v>
      </c>
      <c r="AB536" s="85">
        <v>464</v>
      </c>
      <c r="AC536" s="81">
        <v>43112</v>
      </c>
      <c r="AD536" s="86">
        <v>43260000</v>
      </c>
      <c r="AE536" s="86">
        <f t="shared" si="60"/>
        <v>0</v>
      </c>
      <c r="AF536" s="85">
        <v>403</v>
      </c>
      <c r="AG536" s="81">
        <v>43124</v>
      </c>
      <c r="AH536" s="86">
        <v>43260000</v>
      </c>
      <c r="AI536" s="63" t="s">
        <v>1518</v>
      </c>
      <c r="AJ536" s="63">
        <v>332</v>
      </c>
      <c r="AK536" s="87">
        <f t="shared" si="57"/>
        <v>0</v>
      </c>
      <c r="AL536" s="86">
        <v>43260000</v>
      </c>
      <c r="AM536" s="86">
        <f t="shared" si="58"/>
        <v>0</v>
      </c>
      <c r="AN536" s="63" t="s">
        <v>1155</v>
      </c>
      <c r="AO536" s="86">
        <f t="shared" si="59"/>
        <v>0</v>
      </c>
      <c r="AP536" s="63"/>
      <c r="AQ536" s="63"/>
      <c r="AR536" s="63"/>
      <c r="AS536" s="63"/>
      <c r="AT536" s="63"/>
      <c r="AU536" s="220"/>
      <c r="AV536" s="220"/>
      <c r="AW536" s="220"/>
    </row>
    <row r="537" spans="1:49" s="221" customFormat="1" ht="409.5" x14ac:dyDescent="0.25">
      <c r="A537" s="63">
        <v>123</v>
      </c>
      <c r="B537" s="63" t="str">
        <f t="shared" si="56"/>
        <v>3075-123</v>
      </c>
      <c r="C537" s="76" t="s">
        <v>1141</v>
      </c>
      <c r="D537" s="76" t="s">
        <v>1142</v>
      </c>
      <c r="E537" s="76" t="s">
        <v>1424</v>
      </c>
      <c r="F537" s="76" t="s">
        <v>1158</v>
      </c>
      <c r="G537" s="77" t="s">
        <v>1159</v>
      </c>
      <c r="H537" s="101" t="s">
        <v>1160</v>
      </c>
      <c r="I537" s="76" t="s">
        <v>1147</v>
      </c>
      <c r="J537" s="76" t="s">
        <v>1148</v>
      </c>
      <c r="K537" s="76">
        <v>801116</v>
      </c>
      <c r="L537" s="63" t="s">
        <v>1149</v>
      </c>
      <c r="M537" s="63" t="s">
        <v>58</v>
      </c>
      <c r="N537" s="63" t="s">
        <v>59</v>
      </c>
      <c r="O537" s="76" t="s">
        <v>1213</v>
      </c>
      <c r="P537" s="63" t="s">
        <v>1519</v>
      </c>
      <c r="Q537" s="83">
        <v>6180000</v>
      </c>
      <c r="R537" s="98">
        <v>1</v>
      </c>
      <c r="S537" s="80">
        <v>37080000</v>
      </c>
      <c r="T537" s="63" t="s">
        <v>888</v>
      </c>
      <c r="U537" s="63" t="s">
        <v>1163</v>
      </c>
      <c r="V537" s="81" t="s">
        <v>64</v>
      </c>
      <c r="W537" s="82">
        <v>6</v>
      </c>
      <c r="X537" s="63" t="s">
        <v>1520</v>
      </c>
      <c r="Y537" s="81">
        <v>43103</v>
      </c>
      <c r="Z537" s="83">
        <v>37080000</v>
      </c>
      <c r="AA537" s="84" t="s">
        <v>439</v>
      </c>
      <c r="AB537" s="85">
        <v>367</v>
      </c>
      <c r="AC537" s="81">
        <v>43110</v>
      </c>
      <c r="AD537" s="86">
        <v>37080000</v>
      </c>
      <c r="AE537" s="86">
        <f t="shared" si="60"/>
        <v>0</v>
      </c>
      <c r="AF537" s="85">
        <v>267</v>
      </c>
      <c r="AG537" s="81">
        <v>43119</v>
      </c>
      <c r="AH537" s="86">
        <v>37080000</v>
      </c>
      <c r="AI537" s="63" t="s">
        <v>1521</v>
      </c>
      <c r="AJ537" s="63">
        <v>237</v>
      </c>
      <c r="AK537" s="87">
        <f t="shared" si="57"/>
        <v>0</v>
      </c>
      <c r="AL537" s="86">
        <v>37080000</v>
      </c>
      <c r="AM537" s="86">
        <f t="shared" si="58"/>
        <v>0</v>
      </c>
      <c r="AN537" s="63" t="s">
        <v>1155</v>
      </c>
      <c r="AO537" s="86">
        <f t="shared" si="59"/>
        <v>0</v>
      </c>
      <c r="AP537" s="63"/>
      <c r="AQ537" s="63"/>
      <c r="AR537" s="63"/>
      <c r="AS537" s="63"/>
      <c r="AT537" s="63"/>
      <c r="AU537" s="220"/>
      <c r="AV537" s="220"/>
      <c r="AW537" s="220"/>
    </row>
    <row r="538" spans="1:49" s="221" customFormat="1" ht="228" x14ac:dyDescent="0.25">
      <c r="A538" s="63">
        <v>124</v>
      </c>
      <c r="B538" s="63" t="str">
        <f t="shared" si="56"/>
        <v>3075-124</v>
      </c>
      <c r="C538" s="76" t="s">
        <v>1141</v>
      </c>
      <c r="D538" s="76" t="s">
        <v>1142</v>
      </c>
      <c r="E538" s="76" t="s">
        <v>1143</v>
      </c>
      <c r="F538" s="76" t="s">
        <v>1158</v>
      </c>
      <c r="G538" s="77" t="s">
        <v>1159</v>
      </c>
      <c r="H538" s="101" t="s">
        <v>1160</v>
      </c>
      <c r="I538" s="76" t="s">
        <v>1147</v>
      </c>
      <c r="J538" s="76" t="s">
        <v>1148</v>
      </c>
      <c r="K538" s="76">
        <v>801116</v>
      </c>
      <c r="L538" s="63" t="s">
        <v>1149</v>
      </c>
      <c r="M538" s="63" t="s">
        <v>58</v>
      </c>
      <c r="N538" s="63" t="s">
        <v>59</v>
      </c>
      <c r="O538" s="76" t="s">
        <v>1213</v>
      </c>
      <c r="P538" s="76" t="s">
        <v>1522</v>
      </c>
      <c r="Q538" s="83">
        <v>2060000</v>
      </c>
      <c r="R538" s="98">
        <v>1</v>
      </c>
      <c r="S538" s="80">
        <v>23690000</v>
      </c>
      <c r="T538" s="63" t="s">
        <v>888</v>
      </c>
      <c r="U538" s="63" t="s">
        <v>1163</v>
      </c>
      <c r="V538" s="81" t="s">
        <v>64</v>
      </c>
      <c r="W538" s="82">
        <v>11.5</v>
      </c>
      <c r="X538" s="63" t="s">
        <v>1523</v>
      </c>
      <c r="Y538" s="81">
        <v>43109</v>
      </c>
      <c r="Z538" s="83">
        <v>23690000</v>
      </c>
      <c r="AA538" s="84" t="s">
        <v>439</v>
      </c>
      <c r="AB538" s="85">
        <v>432</v>
      </c>
      <c r="AC538" s="81">
        <v>43111</v>
      </c>
      <c r="AD538" s="86">
        <v>23690000</v>
      </c>
      <c r="AE538" s="87">
        <f t="shared" si="60"/>
        <v>0</v>
      </c>
      <c r="AF538" s="85">
        <v>42</v>
      </c>
      <c r="AG538" s="81">
        <v>43116</v>
      </c>
      <c r="AH538" s="86">
        <v>23690000</v>
      </c>
      <c r="AI538" s="63" t="s">
        <v>83</v>
      </c>
      <c r="AJ538" s="63">
        <v>36</v>
      </c>
      <c r="AK538" s="87">
        <f t="shared" si="57"/>
        <v>0</v>
      </c>
      <c r="AL538" s="86">
        <v>14420000</v>
      </c>
      <c r="AM538" s="86">
        <f t="shared" si="58"/>
        <v>9270000</v>
      </c>
      <c r="AN538" s="63" t="s">
        <v>1155</v>
      </c>
      <c r="AO538" s="86">
        <f t="shared" si="59"/>
        <v>0</v>
      </c>
      <c r="AP538" s="63"/>
      <c r="AQ538" s="63"/>
      <c r="AR538" s="63"/>
      <c r="AS538" s="63"/>
      <c r="AT538" s="63"/>
      <c r="AU538" s="220"/>
      <c r="AV538" s="220"/>
      <c r="AW538" s="220"/>
    </row>
    <row r="539" spans="1:49" s="221" customFormat="1" ht="213.75" x14ac:dyDescent="0.25">
      <c r="A539" s="63">
        <v>125</v>
      </c>
      <c r="B539" s="63" t="str">
        <f t="shared" si="56"/>
        <v>3075-125</v>
      </c>
      <c r="C539" s="76" t="s">
        <v>1141</v>
      </c>
      <c r="D539" s="76" t="s">
        <v>1142</v>
      </c>
      <c r="E539" s="76" t="s">
        <v>1143</v>
      </c>
      <c r="F539" s="76" t="s">
        <v>1158</v>
      </c>
      <c r="G539" s="77" t="s">
        <v>1159</v>
      </c>
      <c r="H539" s="78" t="s">
        <v>1160</v>
      </c>
      <c r="I539" s="76" t="s">
        <v>1147</v>
      </c>
      <c r="J539" s="76" t="s">
        <v>1148</v>
      </c>
      <c r="K539" s="76">
        <v>801116</v>
      </c>
      <c r="L539" s="63" t="s">
        <v>1149</v>
      </c>
      <c r="M539" s="63" t="s">
        <v>58</v>
      </c>
      <c r="N539" s="63" t="s">
        <v>59</v>
      </c>
      <c r="O539" s="76" t="s">
        <v>1213</v>
      </c>
      <c r="P539" s="76" t="s">
        <v>1287</v>
      </c>
      <c r="Q539" s="83">
        <v>3553500</v>
      </c>
      <c r="R539" s="63">
        <v>1</v>
      </c>
      <c r="S539" s="80">
        <v>31981500</v>
      </c>
      <c r="T539" s="63" t="s">
        <v>888</v>
      </c>
      <c r="U539" s="63" t="s">
        <v>1163</v>
      </c>
      <c r="V539" s="81" t="s">
        <v>64</v>
      </c>
      <c r="W539" s="82">
        <v>9</v>
      </c>
      <c r="X539" s="63" t="s">
        <v>1524</v>
      </c>
      <c r="Y539" s="81">
        <v>43102</v>
      </c>
      <c r="Z539" s="83">
        <v>31981500</v>
      </c>
      <c r="AA539" s="84" t="s">
        <v>1525</v>
      </c>
      <c r="AB539" s="85">
        <v>313</v>
      </c>
      <c r="AC539" s="81">
        <v>43110</v>
      </c>
      <c r="AD539" s="86">
        <v>31981500</v>
      </c>
      <c r="AE539" s="87">
        <f t="shared" si="60"/>
        <v>0</v>
      </c>
      <c r="AF539" s="85">
        <v>342</v>
      </c>
      <c r="AG539" s="81">
        <v>43123</v>
      </c>
      <c r="AH539" s="86">
        <v>31981500</v>
      </c>
      <c r="AI539" s="63" t="s">
        <v>1526</v>
      </c>
      <c r="AJ539" s="63">
        <v>346</v>
      </c>
      <c r="AK539" s="87">
        <f t="shared" si="57"/>
        <v>0</v>
      </c>
      <c r="AL539" s="86">
        <v>25466750</v>
      </c>
      <c r="AM539" s="86">
        <f t="shared" si="58"/>
        <v>6514750</v>
      </c>
      <c r="AN539" s="63" t="s">
        <v>1155</v>
      </c>
      <c r="AO539" s="86">
        <f t="shared" si="59"/>
        <v>0</v>
      </c>
      <c r="AP539" s="63"/>
      <c r="AQ539" s="63"/>
      <c r="AR539" s="63"/>
      <c r="AS539" s="63"/>
      <c r="AT539" s="63"/>
      <c r="AU539" s="220"/>
      <c r="AV539" s="220"/>
      <c r="AW539" s="220"/>
    </row>
    <row r="540" spans="1:49" s="221" customFormat="1" ht="213.75" x14ac:dyDescent="0.25">
      <c r="A540" s="63">
        <v>126</v>
      </c>
      <c r="B540" s="63" t="str">
        <f t="shared" si="56"/>
        <v>3075-126</v>
      </c>
      <c r="C540" s="76" t="s">
        <v>1141</v>
      </c>
      <c r="D540" s="76" t="s">
        <v>1142</v>
      </c>
      <c r="E540" s="76" t="s">
        <v>1143</v>
      </c>
      <c r="F540" s="76" t="s">
        <v>1158</v>
      </c>
      <c r="G540" s="77" t="s">
        <v>1159</v>
      </c>
      <c r="H540" s="78" t="s">
        <v>1160</v>
      </c>
      <c r="I540" s="76" t="s">
        <v>1147</v>
      </c>
      <c r="J540" s="76" t="s">
        <v>1148</v>
      </c>
      <c r="K540" s="76">
        <v>801116</v>
      </c>
      <c r="L540" s="63" t="s">
        <v>1149</v>
      </c>
      <c r="M540" s="63" t="s">
        <v>58</v>
      </c>
      <c r="N540" s="63" t="s">
        <v>59</v>
      </c>
      <c r="O540" s="76" t="s">
        <v>1213</v>
      </c>
      <c r="P540" s="76" t="s">
        <v>1287</v>
      </c>
      <c r="Q540" s="83">
        <v>4120000</v>
      </c>
      <c r="R540" s="63">
        <v>1</v>
      </c>
      <c r="S540" s="80">
        <v>37080000</v>
      </c>
      <c r="T540" s="63" t="s">
        <v>888</v>
      </c>
      <c r="U540" s="63" t="s">
        <v>1163</v>
      </c>
      <c r="V540" s="81" t="s">
        <v>64</v>
      </c>
      <c r="W540" s="82">
        <v>9</v>
      </c>
      <c r="X540" s="63" t="s">
        <v>1527</v>
      </c>
      <c r="Y540" s="81">
        <v>43102</v>
      </c>
      <c r="Z540" s="83">
        <v>37080000</v>
      </c>
      <c r="AA540" s="84" t="s">
        <v>1528</v>
      </c>
      <c r="AB540" s="85">
        <v>316</v>
      </c>
      <c r="AC540" s="81">
        <v>43110</v>
      </c>
      <c r="AD540" s="86">
        <v>37080000</v>
      </c>
      <c r="AE540" s="87">
        <f t="shared" si="60"/>
        <v>0</v>
      </c>
      <c r="AF540" s="85">
        <v>202</v>
      </c>
      <c r="AG540" s="81">
        <v>43118</v>
      </c>
      <c r="AH540" s="86">
        <v>37080000</v>
      </c>
      <c r="AI540" s="63" t="s">
        <v>1529</v>
      </c>
      <c r="AJ540" s="63">
        <v>191</v>
      </c>
      <c r="AK540" s="87">
        <f t="shared" si="57"/>
        <v>0</v>
      </c>
      <c r="AL540" s="86">
        <v>30488000</v>
      </c>
      <c r="AM540" s="86">
        <f t="shared" si="58"/>
        <v>6592000</v>
      </c>
      <c r="AN540" s="63" t="s">
        <v>1155</v>
      </c>
      <c r="AO540" s="86">
        <f t="shared" si="59"/>
        <v>0</v>
      </c>
      <c r="AP540" s="63"/>
      <c r="AQ540" s="63"/>
      <c r="AR540" s="63"/>
      <c r="AS540" s="63"/>
      <c r="AT540" s="63"/>
      <c r="AU540" s="220"/>
      <c r="AV540" s="220"/>
      <c r="AW540" s="220"/>
    </row>
    <row r="541" spans="1:49" s="221" customFormat="1" ht="313.5" x14ac:dyDescent="0.25">
      <c r="A541" s="63">
        <v>127</v>
      </c>
      <c r="B541" s="63" t="str">
        <f t="shared" si="56"/>
        <v>3075-127</v>
      </c>
      <c r="C541" s="76" t="s">
        <v>1141</v>
      </c>
      <c r="D541" s="76" t="s">
        <v>1142</v>
      </c>
      <c r="E541" s="76" t="s">
        <v>1143</v>
      </c>
      <c r="F541" s="76" t="s">
        <v>1158</v>
      </c>
      <c r="G541" s="77" t="s">
        <v>1159</v>
      </c>
      <c r="H541" s="78" t="s">
        <v>1160</v>
      </c>
      <c r="I541" s="76" t="s">
        <v>1147</v>
      </c>
      <c r="J541" s="76" t="s">
        <v>1148</v>
      </c>
      <c r="K541" s="76">
        <v>801116</v>
      </c>
      <c r="L541" s="63" t="s">
        <v>1149</v>
      </c>
      <c r="M541" s="63" t="s">
        <v>58</v>
      </c>
      <c r="N541" s="63" t="s">
        <v>59</v>
      </c>
      <c r="O541" s="76" t="s">
        <v>1213</v>
      </c>
      <c r="P541" s="76" t="s">
        <v>1367</v>
      </c>
      <c r="Q541" s="83">
        <v>3399000</v>
      </c>
      <c r="R541" s="63">
        <v>1</v>
      </c>
      <c r="S541" s="80">
        <v>27192000</v>
      </c>
      <c r="T541" s="63" t="s">
        <v>888</v>
      </c>
      <c r="U541" s="63" t="s">
        <v>1163</v>
      </c>
      <c r="V541" s="81" t="s">
        <v>64</v>
      </c>
      <c r="W541" s="82">
        <v>8</v>
      </c>
      <c r="X541" s="63" t="s">
        <v>1530</v>
      </c>
      <c r="Y541" s="81">
        <v>43102</v>
      </c>
      <c r="Z541" s="83">
        <v>27192000</v>
      </c>
      <c r="AA541" s="84" t="s">
        <v>1531</v>
      </c>
      <c r="AB541" s="85">
        <v>318</v>
      </c>
      <c r="AC541" s="81">
        <v>43110</v>
      </c>
      <c r="AD541" s="86">
        <v>27192000</v>
      </c>
      <c r="AE541" s="87">
        <f t="shared" si="60"/>
        <v>0</v>
      </c>
      <c r="AF541" s="85">
        <v>346</v>
      </c>
      <c r="AG541" s="81">
        <v>43123</v>
      </c>
      <c r="AH541" s="86">
        <v>27192000</v>
      </c>
      <c r="AI541" s="63" t="s">
        <v>1532</v>
      </c>
      <c r="AJ541" s="63">
        <v>294</v>
      </c>
      <c r="AK541" s="87">
        <f t="shared" si="57"/>
        <v>0</v>
      </c>
      <c r="AL541" s="86">
        <v>24586100</v>
      </c>
      <c r="AM541" s="86">
        <f t="shared" si="58"/>
        <v>2605900</v>
      </c>
      <c r="AN541" s="63" t="s">
        <v>1155</v>
      </c>
      <c r="AO541" s="86">
        <f t="shared" si="59"/>
        <v>0</v>
      </c>
      <c r="AP541" s="63"/>
      <c r="AQ541" s="63"/>
      <c r="AR541" s="63"/>
      <c r="AS541" s="63"/>
      <c r="AT541" s="63"/>
      <c r="AU541" s="220"/>
      <c r="AV541" s="220"/>
      <c r="AW541" s="220"/>
    </row>
    <row r="542" spans="1:49" s="221" customFormat="1" ht="242.25" x14ac:dyDescent="0.25">
      <c r="A542" s="63">
        <v>128</v>
      </c>
      <c r="B542" s="63" t="str">
        <f t="shared" si="56"/>
        <v>3075-128</v>
      </c>
      <c r="C542" s="76" t="s">
        <v>1141</v>
      </c>
      <c r="D542" s="76" t="s">
        <v>1142</v>
      </c>
      <c r="E542" s="76" t="s">
        <v>1143</v>
      </c>
      <c r="F542" s="76" t="s">
        <v>1158</v>
      </c>
      <c r="G542" s="77" t="s">
        <v>1159</v>
      </c>
      <c r="H542" s="78" t="s">
        <v>1160</v>
      </c>
      <c r="I542" s="76" t="s">
        <v>1147</v>
      </c>
      <c r="J542" s="76" t="s">
        <v>1148</v>
      </c>
      <c r="K542" s="76">
        <v>801116</v>
      </c>
      <c r="L542" s="63" t="s">
        <v>1149</v>
      </c>
      <c r="M542" s="63" t="s">
        <v>58</v>
      </c>
      <c r="N542" s="63" t="s">
        <v>59</v>
      </c>
      <c r="O542" s="76" t="s">
        <v>1213</v>
      </c>
      <c r="P542" s="76" t="s">
        <v>1241</v>
      </c>
      <c r="Q542" s="83">
        <v>4120000</v>
      </c>
      <c r="R542" s="63">
        <v>1</v>
      </c>
      <c r="S542" s="80">
        <v>37080000</v>
      </c>
      <c r="T542" s="63" t="s">
        <v>888</v>
      </c>
      <c r="U542" s="63" t="s">
        <v>1163</v>
      </c>
      <c r="V542" s="81" t="s">
        <v>64</v>
      </c>
      <c r="W542" s="82">
        <v>9</v>
      </c>
      <c r="X542" s="63" t="s">
        <v>1533</v>
      </c>
      <c r="Y542" s="81">
        <v>43102</v>
      </c>
      <c r="Z542" s="83">
        <v>37080000</v>
      </c>
      <c r="AA542" s="84" t="s">
        <v>1534</v>
      </c>
      <c r="AB542" s="85">
        <v>374</v>
      </c>
      <c r="AC542" s="81">
        <v>43110</v>
      </c>
      <c r="AD542" s="86">
        <v>37080000</v>
      </c>
      <c r="AE542" s="87">
        <f t="shared" si="60"/>
        <v>0</v>
      </c>
      <c r="AF542" s="85">
        <v>359</v>
      </c>
      <c r="AG542" s="81">
        <v>43123</v>
      </c>
      <c r="AH542" s="86">
        <v>37080000</v>
      </c>
      <c r="AI542" s="63" t="s">
        <v>1535</v>
      </c>
      <c r="AJ542" s="63">
        <v>300</v>
      </c>
      <c r="AK542" s="87">
        <f t="shared" si="57"/>
        <v>0</v>
      </c>
      <c r="AL542" s="86">
        <v>29114667</v>
      </c>
      <c r="AM542" s="86">
        <f t="shared" si="58"/>
        <v>7965333</v>
      </c>
      <c r="AN542" s="63" t="s">
        <v>1155</v>
      </c>
      <c r="AO542" s="86">
        <f t="shared" si="59"/>
        <v>0</v>
      </c>
      <c r="AP542" s="63"/>
      <c r="AQ542" s="63"/>
      <c r="AR542" s="63"/>
      <c r="AS542" s="63"/>
      <c r="AT542" s="63"/>
      <c r="AU542" s="220"/>
      <c r="AV542" s="220"/>
      <c r="AW542" s="220"/>
    </row>
    <row r="543" spans="1:49" s="221" customFormat="1" ht="242.25" x14ac:dyDescent="0.25">
      <c r="A543" s="63">
        <v>129</v>
      </c>
      <c r="B543" s="63" t="str">
        <f t="shared" ref="B543:B606" si="61">CONCATENATE("3075","-",A543)</f>
        <v>3075-129</v>
      </c>
      <c r="C543" s="76" t="s">
        <v>1141</v>
      </c>
      <c r="D543" s="76" t="s">
        <v>1142</v>
      </c>
      <c r="E543" s="76" t="s">
        <v>1143</v>
      </c>
      <c r="F543" s="76" t="s">
        <v>1158</v>
      </c>
      <c r="G543" s="77" t="s">
        <v>1159</v>
      </c>
      <c r="H543" s="78" t="s">
        <v>1160</v>
      </c>
      <c r="I543" s="76" t="s">
        <v>1147</v>
      </c>
      <c r="J543" s="76" t="s">
        <v>1148</v>
      </c>
      <c r="K543" s="76">
        <v>801116</v>
      </c>
      <c r="L543" s="63" t="s">
        <v>1149</v>
      </c>
      <c r="M543" s="63" t="s">
        <v>58</v>
      </c>
      <c r="N543" s="63" t="s">
        <v>59</v>
      </c>
      <c r="O543" s="76" t="s">
        <v>1213</v>
      </c>
      <c r="P543" s="76" t="s">
        <v>1219</v>
      </c>
      <c r="Q543" s="83">
        <v>1751000</v>
      </c>
      <c r="R543" s="63">
        <v>1</v>
      </c>
      <c r="S543" s="80">
        <v>19261000</v>
      </c>
      <c r="T543" s="63" t="s">
        <v>928</v>
      </c>
      <c r="U543" s="63" t="s">
        <v>1163</v>
      </c>
      <c r="V543" s="81" t="s">
        <v>64</v>
      </c>
      <c r="W543" s="82">
        <v>11</v>
      </c>
      <c r="X543" s="63" t="s">
        <v>1536</v>
      </c>
      <c r="Y543" s="81">
        <v>43102</v>
      </c>
      <c r="Z543" s="83">
        <v>19261000</v>
      </c>
      <c r="AA543" s="84" t="s">
        <v>1537</v>
      </c>
      <c r="AB543" s="85">
        <v>380</v>
      </c>
      <c r="AC543" s="81">
        <v>43110</v>
      </c>
      <c r="AD543" s="86">
        <v>19261000</v>
      </c>
      <c r="AE543" s="87">
        <f t="shared" si="60"/>
        <v>0</v>
      </c>
      <c r="AF543" s="85">
        <v>338</v>
      </c>
      <c r="AG543" s="81">
        <v>43123</v>
      </c>
      <c r="AH543" s="86">
        <v>19261000</v>
      </c>
      <c r="AI543" s="63" t="s">
        <v>1538</v>
      </c>
      <c r="AJ543" s="63">
        <v>343</v>
      </c>
      <c r="AK543" s="87">
        <f t="shared" ref="AK543:AK606" si="62">AD543-AH543</f>
        <v>0</v>
      </c>
      <c r="AL543" s="86">
        <v>12607200</v>
      </c>
      <c r="AM543" s="86">
        <f t="shared" ref="AM543:AM606" si="63">AH543-AL543</f>
        <v>6653800</v>
      </c>
      <c r="AN543" s="63" t="s">
        <v>1155</v>
      </c>
      <c r="AO543" s="86">
        <f t="shared" ref="AO543:AO606" si="64">S543-AH543</f>
        <v>0</v>
      </c>
      <c r="AP543" s="63"/>
      <c r="AQ543" s="63"/>
      <c r="AR543" s="63"/>
      <c r="AS543" s="63"/>
      <c r="AT543" s="63"/>
      <c r="AU543" s="220"/>
      <c r="AV543" s="220"/>
      <c r="AW543" s="220"/>
    </row>
    <row r="544" spans="1:49" s="221" customFormat="1" ht="313.5" x14ac:dyDescent="0.25">
      <c r="A544" s="63">
        <v>130</v>
      </c>
      <c r="B544" s="63" t="str">
        <f t="shared" si="61"/>
        <v>3075-130</v>
      </c>
      <c r="C544" s="76" t="s">
        <v>1141</v>
      </c>
      <c r="D544" s="76" t="s">
        <v>1142</v>
      </c>
      <c r="E544" s="76" t="s">
        <v>1143</v>
      </c>
      <c r="F544" s="76" t="s">
        <v>1158</v>
      </c>
      <c r="G544" s="77" t="s">
        <v>1159</v>
      </c>
      <c r="H544" s="78" t="s">
        <v>1160</v>
      </c>
      <c r="I544" s="76" t="s">
        <v>1147</v>
      </c>
      <c r="J544" s="76" t="s">
        <v>1148</v>
      </c>
      <c r="K544" s="76">
        <v>801116</v>
      </c>
      <c r="L544" s="63" t="s">
        <v>1149</v>
      </c>
      <c r="M544" s="63" t="s">
        <v>58</v>
      </c>
      <c r="N544" s="63" t="s">
        <v>59</v>
      </c>
      <c r="O544" s="76" t="s">
        <v>1213</v>
      </c>
      <c r="P544" s="76" t="s">
        <v>1539</v>
      </c>
      <c r="Q544" s="83">
        <v>8240000</v>
      </c>
      <c r="R544" s="63">
        <v>1</v>
      </c>
      <c r="S544" s="80">
        <v>82400000</v>
      </c>
      <c r="T544" s="63" t="s">
        <v>888</v>
      </c>
      <c r="U544" s="63" t="s">
        <v>1163</v>
      </c>
      <c r="V544" s="81" t="s">
        <v>64</v>
      </c>
      <c r="W544" s="82">
        <v>10</v>
      </c>
      <c r="X544" s="63" t="s">
        <v>1540</v>
      </c>
      <c r="Y544" s="81">
        <v>43102</v>
      </c>
      <c r="Z544" s="83">
        <v>82400000</v>
      </c>
      <c r="AA544" s="84" t="s">
        <v>1541</v>
      </c>
      <c r="AB544" s="85">
        <v>381</v>
      </c>
      <c r="AC544" s="81">
        <v>43110</v>
      </c>
      <c r="AD544" s="86">
        <v>82400000</v>
      </c>
      <c r="AE544" s="87">
        <f t="shared" si="60"/>
        <v>0</v>
      </c>
      <c r="AF544" s="85">
        <v>134</v>
      </c>
      <c r="AG544" s="81">
        <v>43117</v>
      </c>
      <c r="AH544" s="86">
        <v>82400000</v>
      </c>
      <c r="AI544" s="63" t="s">
        <v>1542</v>
      </c>
      <c r="AJ544" s="63">
        <v>143</v>
      </c>
      <c r="AK544" s="87">
        <f t="shared" si="62"/>
        <v>0</v>
      </c>
      <c r="AL544" s="86">
        <v>61250667</v>
      </c>
      <c r="AM544" s="86">
        <f t="shared" si="63"/>
        <v>21149333</v>
      </c>
      <c r="AN544" s="63" t="s">
        <v>1155</v>
      </c>
      <c r="AO544" s="86">
        <f t="shared" si="64"/>
        <v>0</v>
      </c>
      <c r="AP544" s="63"/>
      <c r="AQ544" s="63"/>
      <c r="AR544" s="63"/>
      <c r="AS544" s="63"/>
      <c r="AT544" s="63"/>
      <c r="AU544" s="220"/>
      <c r="AV544" s="220"/>
      <c r="AW544" s="220"/>
    </row>
    <row r="545" spans="1:49" s="221" customFormat="1" ht="242.25" x14ac:dyDescent="0.25">
      <c r="A545" s="63">
        <v>131</v>
      </c>
      <c r="B545" s="63" t="str">
        <f t="shared" si="61"/>
        <v>3075-131</v>
      </c>
      <c r="C545" s="76" t="s">
        <v>1141</v>
      </c>
      <c r="D545" s="76" t="s">
        <v>1142</v>
      </c>
      <c r="E545" s="76" t="s">
        <v>1143</v>
      </c>
      <c r="F545" s="76" t="s">
        <v>1158</v>
      </c>
      <c r="G545" s="77" t="s">
        <v>1159</v>
      </c>
      <c r="H545" s="78" t="s">
        <v>1160</v>
      </c>
      <c r="I545" s="76" t="s">
        <v>1147</v>
      </c>
      <c r="J545" s="76" t="s">
        <v>1148</v>
      </c>
      <c r="K545" s="76">
        <v>801116</v>
      </c>
      <c r="L545" s="63" t="s">
        <v>1149</v>
      </c>
      <c r="M545" s="63" t="s">
        <v>58</v>
      </c>
      <c r="N545" s="63" t="s">
        <v>59</v>
      </c>
      <c r="O545" s="76" t="s">
        <v>1213</v>
      </c>
      <c r="P545" s="94" t="s">
        <v>1219</v>
      </c>
      <c r="Q545" s="83">
        <v>1545000</v>
      </c>
      <c r="R545" s="63">
        <v>1</v>
      </c>
      <c r="S545" s="80">
        <v>9270000</v>
      </c>
      <c r="T545" s="63" t="s">
        <v>928</v>
      </c>
      <c r="U545" s="63" t="s">
        <v>1163</v>
      </c>
      <c r="V545" s="81" t="s">
        <v>64</v>
      </c>
      <c r="W545" s="82">
        <v>6</v>
      </c>
      <c r="X545" s="63" t="s">
        <v>1543</v>
      </c>
      <c r="Y545" s="81">
        <v>43102</v>
      </c>
      <c r="Z545" s="83">
        <v>9270000</v>
      </c>
      <c r="AA545" s="84" t="s">
        <v>1544</v>
      </c>
      <c r="AB545" s="85">
        <v>382</v>
      </c>
      <c r="AC545" s="81">
        <v>43110</v>
      </c>
      <c r="AD545" s="86">
        <v>9270000</v>
      </c>
      <c r="AE545" s="87">
        <f t="shared" si="60"/>
        <v>0</v>
      </c>
      <c r="AF545" s="85">
        <v>191</v>
      </c>
      <c r="AG545" s="81">
        <v>43118</v>
      </c>
      <c r="AH545" s="86">
        <v>9270000</v>
      </c>
      <c r="AI545" s="63" t="s">
        <v>1545</v>
      </c>
      <c r="AJ545" s="63">
        <v>166</v>
      </c>
      <c r="AK545" s="87">
        <f t="shared" si="62"/>
        <v>0</v>
      </c>
      <c r="AL545" s="86">
        <v>9270000</v>
      </c>
      <c r="AM545" s="86">
        <f t="shared" si="63"/>
        <v>0</v>
      </c>
      <c r="AN545" s="63" t="s">
        <v>1155</v>
      </c>
      <c r="AO545" s="86">
        <f t="shared" si="64"/>
        <v>0</v>
      </c>
      <c r="AP545" s="63"/>
      <c r="AQ545" s="63"/>
      <c r="AR545" s="63"/>
      <c r="AS545" s="63"/>
      <c r="AT545" s="63"/>
      <c r="AU545" s="220"/>
      <c r="AV545" s="220"/>
      <c r="AW545" s="220"/>
    </row>
    <row r="546" spans="1:49" s="221" customFormat="1" ht="299.25" x14ac:dyDescent="0.25">
      <c r="A546" s="63">
        <v>132</v>
      </c>
      <c r="B546" s="63" t="str">
        <f t="shared" si="61"/>
        <v>3075-132</v>
      </c>
      <c r="C546" s="76" t="s">
        <v>1141</v>
      </c>
      <c r="D546" s="76" t="s">
        <v>1142</v>
      </c>
      <c r="E546" s="76" t="s">
        <v>1143</v>
      </c>
      <c r="F546" s="76" t="s">
        <v>1158</v>
      </c>
      <c r="G546" s="77" t="s">
        <v>1159</v>
      </c>
      <c r="H546" s="78" t="s">
        <v>1160</v>
      </c>
      <c r="I546" s="76" t="s">
        <v>1147</v>
      </c>
      <c r="J546" s="76" t="s">
        <v>1148</v>
      </c>
      <c r="K546" s="76">
        <v>801116</v>
      </c>
      <c r="L546" s="63" t="s">
        <v>1149</v>
      </c>
      <c r="M546" s="63" t="s">
        <v>58</v>
      </c>
      <c r="N546" s="63" t="s">
        <v>59</v>
      </c>
      <c r="O546" s="76" t="s">
        <v>1213</v>
      </c>
      <c r="P546" s="76" t="s">
        <v>1546</v>
      </c>
      <c r="Q546" s="83">
        <v>4120000</v>
      </c>
      <c r="R546" s="63">
        <v>1</v>
      </c>
      <c r="S546" s="80">
        <v>45320000</v>
      </c>
      <c r="T546" s="63" t="s">
        <v>888</v>
      </c>
      <c r="U546" s="63" t="s">
        <v>1163</v>
      </c>
      <c r="V546" s="81" t="s">
        <v>64</v>
      </c>
      <c r="W546" s="82">
        <v>11</v>
      </c>
      <c r="X546" s="63" t="s">
        <v>1547</v>
      </c>
      <c r="Y546" s="81">
        <v>43102</v>
      </c>
      <c r="Z546" s="83">
        <v>45320000</v>
      </c>
      <c r="AA546" s="84" t="s">
        <v>1548</v>
      </c>
      <c r="AB546" s="85">
        <v>383</v>
      </c>
      <c r="AC546" s="81">
        <v>43110</v>
      </c>
      <c r="AD546" s="86">
        <v>45320000</v>
      </c>
      <c r="AE546" s="87">
        <f t="shared" si="60"/>
        <v>0</v>
      </c>
      <c r="AF546" s="85">
        <v>182</v>
      </c>
      <c r="AG546" s="81">
        <v>43118</v>
      </c>
      <c r="AH546" s="86">
        <v>45320000</v>
      </c>
      <c r="AI546" s="63" t="s">
        <v>1549</v>
      </c>
      <c r="AJ546" s="63">
        <v>108</v>
      </c>
      <c r="AK546" s="87">
        <f t="shared" si="62"/>
        <v>0</v>
      </c>
      <c r="AL546" s="86">
        <v>30625333</v>
      </c>
      <c r="AM546" s="86">
        <f t="shared" si="63"/>
        <v>14694667</v>
      </c>
      <c r="AN546" s="63" t="s">
        <v>1155</v>
      </c>
      <c r="AO546" s="86">
        <f t="shared" si="64"/>
        <v>0</v>
      </c>
      <c r="AP546" s="63"/>
      <c r="AQ546" s="63"/>
      <c r="AR546" s="63"/>
      <c r="AS546" s="63"/>
      <c r="AT546" s="63"/>
      <c r="AU546" s="220"/>
      <c r="AV546" s="220"/>
      <c r="AW546" s="220"/>
    </row>
    <row r="547" spans="1:49" s="221" customFormat="1" ht="199.5" x14ac:dyDescent="0.25">
      <c r="A547" s="63">
        <v>133</v>
      </c>
      <c r="B547" s="63" t="str">
        <f t="shared" si="61"/>
        <v>3075-133</v>
      </c>
      <c r="C547" s="76" t="s">
        <v>1141</v>
      </c>
      <c r="D547" s="76" t="s">
        <v>1142</v>
      </c>
      <c r="E547" s="76" t="s">
        <v>1143</v>
      </c>
      <c r="F547" s="76" t="s">
        <v>1158</v>
      </c>
      <c r="G547" s="77" t="s">
        <v>1159</v>
      </c>
      <c r="H547" s="78" t="s">
        <v>1160</v>
      </c>
      <c r="I547" s="76" t="s">
        <v>1147</v>
      </c>
      <c r="J547" s="76" t="s">
        <v>1148</v>
      </c>
      <c r="K547" s="76">
        <v>801116</v>
      </c>
      <c r="L547" s="63" t="s">
        <v>1149</v>
      </c>
      <c r="M547" s="63" t="s">
        <v>58</v>
      </c>
      <c r="N547" s="63" t="s">
        <v>59</v>
      </c>
      <c r="O547" s="76" t="s">
        <v>1213</v>
      </c>
      <c r="P547" s="76" t="s">
        <v>1550</v>
      </c>
      <c r="Q547" s="83">
        <v>4120000</v>
      </c>
      <c r="R547" s="63">
        <v>1</v>
      </c>
      <c r="S547" s="80">
        <v>37080000</v>
      </c>
      <c r="T547" s="63" t="s">
        <v>888</v>
      </c>
      <c r="U547" s="63" t="s">
        <v>1163</v>
      </c>
      <c r="V547" s="81" t="s">
        <v>64</v>
      </c>
      <c r="W547" s="82">
        <v>9</v>
      </c>
      <c r="X547" s="63" t="s">
        <v>1551</v>
      </c>
      <c r="Y547" s="81">
        <v>43102</v>
      </c>
      <c r="Z547" s="83">
        <v>37080000</v>
      </c>
      <c r="AA547" s="84" t="s">
        <v>1552</v>
      </c>
      <c r="AB547" s="85">
        <v>384</v>
      </c>
      <c r="AC547" s="81">
        <v>43110</v>
      </c>
      <c r="AD547" s="86">
        <v>37080000</v>
      </c>
      <c r="AE547" s="87">
        <f t="shared" si="60"/>
        <v>0</v>
      </c>
      <c r="AF547" s="85">
        <v>274</v>
      </c>
      <c r="AG547" s="81">
        <v>43122</v>
      </c>
      <c r="AH547" s="86">
        <v>37080000</v>
      </c>
      <c r="AI547" s="63" t="s">
        <v>1553</v>
      </c>
      <c r="AJ547" s="63">
        <v>244</v>
      </c>
      <c r="AK547" s="87">
        <f t="shared" si="62"/>
        <v>0</v>
      </c>
      <c r="AL547" s="86">
        <v>30076000</v>
      </c>
      <c r="AM547" s="86">
        <f t="shared" si="63"/>
        <v>7004000</v>
      </c>
      <c r="AN547" s="63" t="s">
        <v>1155</v>
      </c>
      <c r="AO547" s="86">
        <f t="shared" si="64"/>
        <v>0</v>
      </c>
      <c r="AP547" s="63"/>
      <c r="AQ547" s="63"/>
      <c r="AR547" s="63"/>
      <c r="AS547" s="63"/>
      <c r="AT547" s="63"/>
      <c r="AU547" s="220"/>
      <c r="AV547" s="220"/>
      <c r="AW547" s="220"/>
    </row>
    <row r="548" spans="1:49" s="221" customFormat="1" ht="213.75" x14ac:dyDescent="0.25">
      <c r="A548" s="63">
        <v>134</v>
      </c>
      <c r="B548" s="63" t="str">
        <f t="shared" si="61"/>
        <v>3075-134</v>
      </c>
      <c r="C548" s="76" t="s">
        <v>1141</v>
      </c>
      <c r="D548" s="76" t="s">
        <v>1142</v>
      </c>
      <c r="E548" s="76" t="s">
        <v>1143</v>
      </c>
      <c r="F548" s="76" t="s">
        <v>1158</v>
      </c>
      <c r="G548" s="77" t="s">
        <v>1159</v>
      </c>
      <c r="H548" s="78" t="s">
        <v>1160</v>
      </c>
      <c r="I548" s="76" t="s">
        <v>1147</v>
      </c>
      <c r="J548" s="76" t="s">
        <v>1148</v>
      </c>
      <c r="K548" s="76">
        <v>801116</v>
      </c>
      <c r="L548" s="63" t="s">
        <v>1149</v>
      </c>
      <c r="M548" s="63" t="s">
        <v>58</v>
      </c>
      <c r="N548" s="63" t="s">
        <v>59</v>
      </c>
      <c r="O548" s="76" t="s">
        <v>1213</v>
      </c>
      <c r="P548" s="76" t="s">
        <v>1554</v>
      </c>
      <c r="Q548" s="83">
        <v>4120000</v>
      </c>
      <c r="R548" s="63">
        <v>1</v>
      </c>
      <c r="S548" s="80">
        <v>41200000</v>
      </c>
      <c r="T548" s="63" t="s">
        <v>888</v>
      </c>
      <c r="U548" s="63" t="s">
        <v>1163</v>
      </c>
      <c r="V548" s="81" t="s">
        <v>64</v>
      </c>
      <c r="W548" s="82">
        <v>10</v>
      </c>
      <c r="X548" s="63" t="s">
        <v>1555</v>
      </c>
      <c r="Y548" s="81">
        <v>43102</v>
      </c>
      <c r="Z548" s="83">
        <v>41200000</v>
      </c>
      <c r="AA548" s="84" t="s">
        <v>1552</v>
      </c>
      <c r="AB548" s="85">
        <v>386</v>
      </c>
      <c r="AC548" s="81">
        <v>43110</v>
      </c>
      <c r="AD548" s="86">
        <v>41200000</v>
      </c>
      <c r="AE548" s="87">
        <f t="shared" si="60"/>
        <v>0</v>
      </c>
      <c r="AF548" s="85">
        <v>287</v>
      </c>
      <c r="AG548" s="81">
        <v>43122</v>
      </c>
      <c r="AH548" s="86">
        <v>41200000</v>
      </c>
      <c r="AI548" s="63" t="s">
        <v>1556</v>
      </c>
      <c r="AJ548" s="63">
        <v>251</v>
      </c>
      <c r="AK548" s="87">
        <f t="shared" si="62"/>
        <v>0</v>
      </c>
      <c r="AL548" s="86">
        <v>30076000</v>
      </c>
      <c r="AM548" s="86">
        <f t="shared" si="63"/>
        <v>11124000</v>
      </c>
      <c r="AN548" s="63" t="s">
        <v>1155</v>
      </c>
      <c r="AO548" s="86">
        <f t="shared" si="64"/>
        <v>0</v>
      </c>
      <c r="AP548" s="63"/>
      <c r="AQ548" s="63"/>
      <c r="AR548" s="63"/>
      <c r="AS548" s="63"/>
      <c r="AT548" s="63"/>
      <c r="AU548" s="220"/>
      <c r="AV548" s="220"/>
      <c r="AW548" s="220"/>
    </row>
    <row r="549" spans="1:49" s="221" customFormat="1" ht="242.25" x14ac:dyDescent="0.25">
      <c r="A549" s="63">
        <v>135</v>
      </c>
      <c r="B549" s="63" t="str">
        <f t="shared" si="61"/>
        <v>3075-135</v>
      </c>
      <c r="C549" s="76" t="s">
        <v>1141</v>
      </c>
      <c r="D549" s="76" t="s">
        <v>1142</v>
      </c>
      <c r="E549" s="76" t="s">
        <v>1143</v>
      </c>
      <c r="F549" s="76" t="s">
        <v>1158</v>
      </c>
      <c r="G549" s="77" t="s">
        <v>1159</v>
      </c>
      <c r="H549" s="78" t="s">
        <v>1160</v>
      </c>
      <c r="I549" s="76" t="s">
        <v>1147</v>
      </c>
      <c r="J549" s="76" t="s">
        <v>1148</v>
      </c>
      <c r="K549" s="76">
        <v>801116</v>
      </c>
      <c r="L549" s="63" t="s">
        <v>1149</v>
      </c>
      <c r="M549" s="63" t="s">
        <v>58</v>
      </c>
      <c r="N549" s="63" t="s">
        <v>59</v>
      </c>
      <c r="O549" s="76" t="s">
        <v>1213</v>
      </c>
      <c r="P549" s="76" t="s">
        <v>1219</v>
      </c>
      <c r="Q549" s="83">
        <v>1751000</v>
      </c>
      <c r="R549" s="63">
        <v>1</v>
      </c>
      <c r="S549" s="80">
        <v>19261000</v>
      </c>
      <c r="T549" s="63" t="s">
        <v>928</v>
      </c>
      <c r="U549" s="63" t="s">
        <v>1163</v>
      </c>
      <c r="V549" s="81" t="s">
        <v>64</v>
      </c>
      <c r="W549" s="82">
        <v>11</v>
      </c>
      <c r="X549" s="63" t="s">
        <v>1557</v>
      </c>
      <c r="Y549" s="81">
        <v>43102</v>
      </c>
      <c r="Z549" s="83">
        <v>19261000</v>
      </c>
      <c r="AA549" s="84" t="s">
        <v>1537</v>
      </c>
      <c r="AB549" s="85">
        <v>387</v>
      </c>
      <c r="AC549" s="81">
        <v>43110</v>
      </c>
      <c r="AD549" s="86">
        <v>19261000</v>
      </c>
      <c r="AE549" s="87">
        <f t="shared" si="60"/>
        <v>0</v>
      </c>
      <c r="AF549" s="85">
        <v>126</v>
      </c>
      <c r="AG549" s="81">
        <v>43117</v>
      </c>
      <c r="AH549" s="86">
        <v>19261000</v>
      </c>
      <c r="AI549" s="63" t="s">
        <v>1558</v>
      </c>
      <c r="AJ549" s="63">
        <v>118</v>
      </c>
      <c r="AK549" s="87">
        <f t="shared" si="62"/>
        <v>0</v>
      </c>
      <c r="AL549" s="86">
        <v>13015767</v>
      </c>
      <c r="AM549" s="86">
        <f t="shared" si="63"/>
        <v>6245233</v>
      </c>
      <c r="AN549" s="63" t="s">
        <v>1155</v>
      </c>
      <c r="AO549" s="86">
        <f t="shared" si="64"/>
        <v>0</v>
      </c>
      <c r="AP549" s="63"/>
      <c r="AQ549" s="63"/>
      <c r="AR549" s="63"/>
      <c r="AS549" s="63"/>
      <c r="AT549" s="63"/>
      <c r="AU549" s="220"/>
      <c r="AV549" s="220"/>
      <c r="AW549" s="220"/>
    </row>
    <row r="550" spans="1:49" s="221" customFormat="1" ht="242.25" x14ac:dyDescent="0.25">
      <c r="A550" s="63">
        <v>136</v>
      </c>
      <c r="B550" s="63" t="str">
        <f t="shared" si="61"/>
        <v>3075-136</v>
      </c>
      <c r="C550" s="76" t="s">
        <v>1141</v>
      </c>
      <c r="D550" s="76" t="s">
        <v>1142</v>
      </c>
      <c r="E550" s="76" t="s">
        <v>1143</v>
      </c>
      <c r="F550" s="76" t="s">
        <v>1158</v>
      </c>
      <c r="G550" s="77" t="s">
        <v>1159</v>
      </c>
      <c r="H550" s="78" t="s">
        <v>1160</v>
      </c>
      <c r="I550" s="76" t="s">
        <v>1147</v>
      </c>
      <c r="J550" s="76" t="s">
        <v>1148</v>
      </c>
      <c r="K550" s="76">
        <v>801116</v>
      </c>
      <c r="L550" s="63" t="s">
        <v>1149</v>
      </c>
      <c r="M550" s="63" t="s">
        <v>58</v>
      </c>
      <c r="N550" s="63" t="s">
        <v>59</v>
      </c>
      <c r="O550" s="76" t="s">
        <v>1213</v>
      </c>
      <c r="P550" s="76" t="s">
        <v>1241</v>
      </c>
      <c r="Q550" s="83">
        <v>4120000</v>
      </c>
      <c r="R550" s="63">
        <v>1</v>
      </c>
      <c r="S550" s="80">
        <v>45320000</v>
      </c>
      <c r="T550" s="63" t="s">
        <v>888</v>
      </c>
      <c r="U550" s="63" t="s">
        <v>1163</v>
      </c>
      <c r="V550" s="81" t="s">
        <v>64</v>
      </c>
      <c r="W550" s="82">
        <v>11</v>
      </c>
      <c r="X550" s="63" t="s">
        <v>1559</v>
      </c>
      <c r="Y550" s="81">
        <v>43102</v>
      </c>
      <c r="Z550" s="83">
        <v>45320000</v>
      </c>
      <c r="AA550" s="84" t="s">
        <v>1534</v>
      </c>
      <c r="AB550" s="85">
        <v>388</v>
      </c>
      <c r="AC550" s="81">
        <v>43110</v>
      </c>
      <c r="AD550" s="86">
        <v>45320000</v>
      </c>
      <c r="AE550" s="87">
        <f t="shared" si="60"/>
        <v>0</v>
      </c>
      <c r="AF550" s="85">
        <v>129</v>
      </c>
      <c r="AG550" s="81">
        <v>43117</v>
      </c>
      <c r="AH550" s="86">
        <v>45320000</v>
      </c>
      <c r="AI550" s="63" t="s">
        <v>1560</v>
      </c>
      <c r="AJ550" s="63">
        <v>120</v>
      </c>
      <c r="AK550" s="87">
        <f t="shared" si="62"/>
        <v>0</v>
      </c>
      <c r="AL550" s="86">
        <v>30625333</v>
      </c>
      <c r="AM550" s="86">
        <f t="shared" si="63"/>
        <v>14694667</v>
      </c>
      <c r="AN550" s="63" t="s">
        <v>1155</v>
      </c>
      <c r="AO550" s="86">
        <f t="shared" si="64"/>
        <v>0</v>
      </c>
      <c r="AP550" s="63"/>
      <c r="AQ550" s="63"/>
      <c r="AR550" s="63"/>
      <c r="AS550" s="63"/>
      <c r="AT550" s="63"/>
      <c r="AU550" s="220"/>
      <c r="AV550" s="220"/>
      <c r="AW550" s="220"/>
    </row>
    <row r="551" spans="1:49" s="221" customFormat="1" ht="242.25" x14ac:dyDescent="0.25">
      <c r="A551" s="63">
        <v>137</v>
      </c>
      <c r="B551" s="63" t="str">
        <f t="shared" si="61"/>
        <v>3075-137</v>
      </c>
      <c r="C551" s="76" t="s">
        <v>1141</v>
      </c>
      <c r="D551" s="76" t="s">
        <v>1142</v>
      </c>
      <c r="E551" s="76" t="s">
        <v>1143</v>
      </c>
      <c r="F551" s="76" t="s">
        <v>1158</v>
      </c>
      <c r="G551" s="77" t="s">
        <v>1159</v>
      </c>
      <c r="H551" s="78" t="s">
        <v>1160</v>
      </c>
      <c r="I551" s="76" t="s">
        <v>1147</v>
      </c>
      <c r="J551" s="76" t="s">
        <v>1148</v>
      </c>
      <c r="K551" s="76">
        <v>801116</v>
      </c>
      <c r="L551" s="63" t="s">
        <v>1149</v>
      </c>
      <c r="M551" s="63" t="s">
        <v>58</v>
      </c>
      <c r="N551" s="63" t="s">
        <v>59</v>
      </c>
      <c r="O551" s="76" t="s">
        <v>1213</v>
      </c>
      <c r="P551" s="94" t="s">
        <v>1219</v>
      </c>
      <c r="Q551" s="83">
        <v>1545000</v>
      </c>
      <c r="R551" s="63">
        <v>1</v>
      </c>
      <c r="S551" s="80">
        <v>16995000</v>
      </c>
      <c r="T551" s="63" t="s">
        <v>928</v>
      </c>
      <c r="U551" s="63" t="s">
        <v>1163</v>
      </c>
      <c r="V551" s="81" t="s">
        <v>64</v>
      </c>
      <c r="W551" s="82">
        <v>11</v>
      </c>
      <c r="X551" s="63" t="s">
        <v>1561</v>
      </c>
      <c r="Y551" s="81">
        <v>43102</v>
      </c>
      <c r="Z551" s="83">
        <v>16995000</v>
      </c>
      <c r="AA551" s="84" t="s">
        <v>1544</v>
      </c>
      <c r="AB551" s="85">
        <v>389</v>
      </c>
      <c r="AC551" s="81">
        <v>43110</v>
      </c>
      <c r="AD551" s="86">
        <v>16995000</v>
      </c>
      <c r="AE551" s="87">
        <f t="shared" si="60"/>
        <v>0</v>
      </c>
      <c r="AF551" s="85">
        <v>355</v>
      </c>
      <c r="AG551" s="81">
        <v>43123</v>
      </c>
      <c r="AH551" s="86">
        <v>16995000</v>
      </c>
      <c r="AI551" s="63" t="s">
        <v>1562</v>
      </c>
      <c r="AJ551" s="63">
        <v>352</v>
      </c>
      <c r="AK551" s="87">
        <f t="shared" si="62"/>
        <v>0</v>
      </c>
      <c r="AL551" s="86">
        <v>11124000</v>
      </c>
      <c r="AM551" s="86">
        <f t="shared" si="63"/>
        <v>5871000</v>
      </c>
      <c r="AN551" s="63" t="s">
        <v>1155</v>
      </c>
      <c r="AO551" s="86">
        <f t="shared" si="64"/>
        <v>0</v>
      </c>
      <c r="AP551" s="63"/>
      <c r="AQ551" s="63"/>
      <c r="AR551" s="63"/>
      <c r="AS551" s="63"/>
      <c r="AT551" s="63"/>
      <c r="AU551" s="220"/>
      <c r="AV551" s="220"/>
      <c r="AW551" s="220"/>
    </row>
    <row r="552" spans="1:49" s="221" customFormat="1" ht="299.25" x14ac:dyDescent="0.25">
      <c r="A552" s="63">
        <v>138</v>
      </c>
      <c r="B552" s="63" t="str">
        <f t="shared" si="61"/>
        <v>3075-138</v>
      </c>
      <c r="C552" s="76" t="s">
        <v>1141</v>
      </c>
      <c r="D552" s="76" t="s">
        <v>1142</v>
      </c>
      <c r="E552" s="76" t="s">
        <v>1143</v>
      </c>
      <c r="F552" s="76" t="s">
        <v>1158</v>
      </c>
      <c r="G552" s="77" t="s">
        <v>1159</v>
      </c>
      <c r="H552" s="78" t="s">
        <v>1160</v>
      </c>
      <c r="I552" s="76" t="s">
        <v>1147</v>
      </c>
      <c r="J552" s="76" t="s">
        <v>1148</v>
      </c>
      <c r="K552" s="76">
        <v>801116</v>
      </c>
      <c r="L552" s="63" t="s">
        <v>1149</v>
      </c>
      <c r="M552" s="63" t="s">
        <v>58</v>
      </c>
      <c r="N552" s="63" t="s">
        <v>59</v>
      </c>
      <c r="O552" s="76" t="s">
        <v>1213</v>
      </c>
      <c r="P552" s="76" t="s">
        <v>1563</v>
      </c>
      <c r="Q552" s="83">
        <v>4120000</v>
      </c>
      <c r="R552" s="63">
        <v>1</v>
      </c>
      <c r="S552" s="80">
        <v>41200000</v>
      </c>
      <c r="T552" s="63" t="s">
        <v>888</v>
      </c>
      <c r="U552" s="63" t="s">
        <v>1163</v>
      </c>
      <c r="V552" s="81" t="s">
        <v>64</v>
      </c>
      <c r="W552" s="82">
        <v>10</v>
      </c>
      <c r="X552" s="63" t="s">
        <v>1564</v>
      </c>
      <c r="Y552" s="81">
        <v>43102</v>
      </c>
      <c r="Z552" s="83">
        <v>41200000</v>
      </c>
      <c r="AA552" s="84" t="s">
        <v>1548</v>
      </c>
      <c r="AB552" s="85">
        <v>392</v>
      </c>
      <c r="AC552" s="81">
        <v>43110</v>
      </c>
      <c r="AD552" s="86">
        <v>41200000</v>
      </c>
      <c r="AE552" s="87">
        <f t="shared" si="60"/>
        <v>0</v>
      </c>
      <c r="AF552" s="85">
        <v>124</v>
      </c>
      <c r="AG552" s="81">
        <v>43117</v>
      </c>
      <c r="AH552" s="86">
        <v>41200000</v>
      </c>
      <c r="AI552" s="63" t="s">
        <v>1565</v>
      </c>
      <c r="AJ552" s="63">
        <v>117</v>
      </c>
      <c r="AK552" s="87">
        <f t="shared" si="62"/>
        <v>0</v>
      </c>
      <c r="AL552" s="86">
        <v>30625333</v>
      </c>
      <c r="AM552" s="86">
        <f t="shared" si="63"/>
        <v>10574667</v>
      </c>
      <c r="AN552" s="63" t="s">
        <v>1155</v>
      </c>
      <c r="AO552" s="86">
        <f t="shared" si="64"/>
        <v>0</v>
      </c>
      <c r="AP552" s="63"/>
      <c r="AQ552" s="63"/>
      <c r="AR552" s="63"/>
      <c r="AS552" s="63"/>
      <c r="AT552" s="63"/>
      <c r="AU552" s="220"/>
      <c r="AV552" s="220"/>
      <c r="AW552" s="220"/>
    </row>
    <row r="553" spans="1:49" s="221" customFormat="1" ht="285" x14ac:dyDescent="0.25">
      <c r="A553" s="63">
        <v>139</v>
      </c>
      <c r="B553" s="63" t="str">
        <f t="shared" si="61"/>
        <v>3075-139</v>
      </c>
      <c r="C553" s="76" t="s">
        <v>1141</v>
      </c>
      <c r="D553" s="76" t="s">
        <v>1142</v>
      </c>
      <c r="E553" s="76" t="s">
        <v>1143</v>
      </c>
      <c r="F553" s="76" t="s">
        <v>1158</v>
      </c>
      <c r="G553" s="77" t="s">
        <v>1159</v>
      </c>
      <c r="H553" s="78" t="s">
        <v>1160</v>
      </c>
      <c r="I553" s="76" t="s">
        <v>1147</v>
      </c>
      <c r="J553" s="76" t="s">
        <v>1148</v>
      </c>
      <c r="K553" s="76">
        <v>801116</v>
      </c>
      <c r="L553" s="63" t="s">
        <v>1149</v>
      </c>
      <c r="M553" s="63" t="s">
        <v>58</v>
      </c>
      <c r="N553" s="63" t="s">
        <v>59</v>
      </c>
      <c r="O553" s="76" t="s">
        <v>1213</v>
      </c>
      <c r="P553" s="76" t="s">
        <v>1566</v>
      </c>
      <c r="Q553" s="83">
        <v>4120000</v>
      </c>
      <c r="R553" s="63">
        <v>1</v>
      </c>
      <c r="S553" s="80">
        <v>32960000</v>
      </c>
      <c r="T553" s="63" t="s">
        <v>888</v>
      </c>
      <c r="U553" s="63" t="s">
        <v>1163</v>
      </c>
      <c r="V553" s="81" t="s">
        <v>64</v>
      </c>
      <c r="W553" s="82">
        <v>8</v>
      </c>
      <c r="X553" s="63" t="s">
        <v>1567</v>
      </c>
      <c r="Y553" s="81">
        <v>43102</v>
      </c>
      <c r="Z553" s="83">
        <v>32960000</v>
      </c>
      <c r="AA553" s="84" t="s">
        <v>1548</v>
      </c>
      <c r="AB553" s="85">
        <v>394</v>
      </c>
      <c r="AC553" s="81">
        <v>43110</v>
      </c>
      <c r="AD553" s="86">
        <v>32960000</v>
      </c>
      <c r="AE553" s="87">
        <f t="shared" si="60"/>
        <v>0</v>
      </c>
      <c r="AF553" s="85">
        <v>391</v>
      </c>
      <c r="AG553" s="81">
        <v>43124</v>
      </c>
      <c r="AH553" s="86">
        <v>32960000</v>
      </c>
      <c r="AI553" s="63" t="s">
        <v>1568</v>
      </c>
      <c r="AJ553" s="63">
        <v>313</v>
      </c>
      <c r="AK553" s="87">
        <f t="shared" si="62"/>
        <v>0</v>
      </c>
      <c r="AL553" s="86">
        <v>29801333</v>
      </c>
      <c r="AM553" s="86">
        <f t="shared" si="63"/>
        <v>3158667</v>
      </c>
      <c r="AN553" s="63" t="s">
        <v>1155</v>
      </c>
      <c r="AO553" s="86">
        <f t="shared" si="64"/>
        <v>0</v>
      </c>
      <c r="AP553" s="63"/>
      <c r="AQ553" s="63"/>
      <c r="AR553" s="63"/>
      <c r="AS553" s="63"/>
      <c r="AT553" s="63"/>
      <c r="AU553" s="220"/>
      <c r="AV553" s="220"/>
      <c r="AW553" s="220"/>
    </row>
    <row r="554" spans="1:49" s="221" customFormat="1" ht="213.75" x14ac:dyDescent="0.25">
      <c r="A554" s="63">
        <v>140</v>
      </c>
      <c r="B554" s="63" t="str">
        <f t="shared" si="61"/>
        <v>3075-140</v>
      </c>
      <c r="C554" s="76" t="s">
        <v>1141</v>
      </c>
      <c r="D554" s="76" t="s">
        <v>1142</v>
      </c>
      <c r="E554" s="76" t="s">
        <v>1143</v>
      </c>
      <c r="F554" s="76" t="s">
        <v>1158</v>
      </c>
      <c r="G554" s="77" t="s">
        <v>1159</v>
      </c>
      <c r="H554" s="78" t="s">
        <v>1160</v>
      </c>
      <c r="I554" s="76" t="s">
        <v>1147</v>
      </c>
      <c r="J554" s="76" t="s">
        <v>1148</v>
      </c>
      <c r="K554" s="76">
        <v>801116</v>
      </c>
      <c r="L554" s="63" t="s">
        <v>1149</v>
      </c>
      <c r="M554" s="63" t="s">
        <v>58</v>
      </c>
      <c r="N554" s="63" t="s">
        <v>59</v>
      </c>
      <c r="O554" s="76" t="s">
        <v>1213</v>
      </c>
      <c r="P554" s="76" t="s">
        <v>1276</v>
      </c>
      <c r="Q554" s="83">
        <v>2472000</v>
      </c>
      <c r="R554" s="63">
        <v>1</v>
      </c>
      <c r="S554" s="80">
        <v>27192000</v>
      </c>
      <c r="T554" s="63" t="s">
        <v>928</v>
      </c>
      <c r="U554" s="63" t="s">
        <v>1163</v>
      </c>
      <c r="V554" s="81" t="s">
        <v>64</v>
      </c>
      <c r="W554" s="82">
        <v>11</v>
      </c>
      <c r="X554" s="63" t="s">
        <v>1569</v>
      </c>
      <c r="Y554" s="81">
        <v>43102</v>
      </c>
      <c r="Z554" s="83">
        <v>27192000</v>
      </c>
      <c r="AA554" s="84" t="s">
        <v>1570</v>
      </c>
      <c r="AB554" s="85">
        <v>396</v>
      </c>
      <c r="AC554" s="81">
        <v>43110</v>
      </c>
      <c r="AD554" s="86">
        <v>27192000</v>
      </c>
      <c r="AE554" s="87">
        <f t="shared" si="60"/>
        <v>0</v>
      </c>
      <c r="AF554" s="85">
        <v>283</v>
      </c>
      <c r="AG554" s="81">
        <v>43122</v>
      </c>
      <c r="AH554" s="86">
        <v>27192000</v>
      </c>
      <c r="AI554" s="63" t="s">
        <v>1571</v>
      </c>
      <c r="AJ554" s="63">
        <v>253</v>
      </c>
      <c r="AK554" s="87">
        <f t="shared" si="62"/>
        <v>0</v>
      </c>
      <c r="AL554" s="86">
        <v>18045600</v>
      </c>
      <c r="AM554" s="86">
        <f t="shared" si="63"/>
        <v>9146400</v>
      </c>
      <c r="AN554" s="63" t="s">
        <v>1155</v>
      </c>
      <c r="AO554" s="86">
        <f t="shared" si="64"/>
        <v>0</v>
      </c>
      <c r="AP554" s="63"/>
      <c r="AQ554" s="63"/>
      <c r="AR554" s="63"/>
      <c r="AS554" s="63"/>
      <c r="AT554" s="63"/>
      <c r="AU554" s="220"/>
      <c r="AV554" s="220"/>
      <c r="AW554" s="220"/>
    </row>
    <row r="555" spans="1:49" s="221" customFormat="1" ht="342" x14ac:dyDescent="0.25">
      <c r="A555" s="63">
        <v>141</v>
      </c>
      <c r="B555" s="63" t="str">
        <f t="shared" si="61"/>
        <v>3075-141</v>
      </c>
      <c r="C555" s="76" t="s">
        <v>1141</v>
      </c>
      <c r="D555" s="76" t="s">
        <v>1142</v>
      </c>
      <c r="E555" s="76" t="s">
        <v>1143</v>
      </c>
      <c r="F555" s="76" t="s">
        <v>1158</v>
      </c>
      <c r="G555" s="77" t="s">
        <v>1159</v>
      </c>
      <c r="H555" s="78" t="s">
        <v>1160</v>
      </c>
      <c r="I555" s="76" t="s">
        <v>1147</v>
      </c>
      <c r="J555" s="76" t="s">
        <v>1148</v>
      </c>
      <c r="K555" s="76">
        <v>801116</v>
      </c>
      <c r="L555" s="63" t="s">
        <v>1149</v>
      </c>
      <c r="M555" s="63" t="s">
        <v>58</v>
      </c>
      <c r="N555" s="63" t="s">
        <v>59</v>
      </c>
      <c r="O555" s="76" t="s">
        <v>1213</v>
      </c>
      <c r="P555" s="76" t="s">
        <v>1294</v>
      </c>
      <c r="Q555" s="83">
        <v>4120000</v>
      </c>
      <c r="R555" s="63">
        <v>1</v>
      </c>
      <c r="S555" s="80">
        <v>41200000</v>
      </c>
      <c r="T555" s="63" t="s">
        <v>888</v>
      </c>
      <c r="U555" s="63" t="s">
        <v>1163</v>
      </c>
      <c r="V555" s="81" t="s">
        <v>64</v>
      </c>
      <c r="W555" s="82">
        <v>10</v>
      </c>
      <c r="X555" s="63" t="s">
        <v>1572</v>
      </c>
      <c r="Y555" s="81">
        <v>43102</v>
      </c>
      <c r="Z555" s="83">
        <v>41200000</v>
      </c>
      <c r="AA555" s="84" t="s">
        <v>1573</v>
      </c>
      <c r="AB555" s="85">
        <v>398</v>
      </c>
      <c r="AC555" s="81">
        <v>43110</v>
      </c>
      <c r="AD555" s="86">
        <v>41200000</v>
      </c>
      <c r="AE555" s="87">
        <f t="shared" si="60"/>
        <v>0</v>
      </c>
      <c r="AF555" s="85">
        <v>189</v>
      </c>
      <c r="AG555" s="81">
        <v>43118</v>
      </c>
      <c r="AH555" s="86">
        <v>41200000</v>
      </c>
      <c r="AI555" s="63" t="s">
        <v>1574</v>
      </c>
      <c r="AJ555" s="63">
        <v>168</v>
      </c>
      <c r="AK555" s="87">
        <f t="shared" si="62"/>
        <v>0</v>
      </c>
      <c r="AL555" s="86">
        <v>30488000</v>
      </c>
      <c r="AM555" s="86">
        <f t="shared" si="63"/>
        <v>10712000</v>
      </c>
      <c r="AN555" s="63" t="s">
        <v>1155</v>
      </c>
      <c r="AO555" s="86">
        <f t="shared" si="64"/>
        <v>0</v>
      </c>
      <c r="AP555" s="63"/>
      <c r="AQ555" s="63"/>
      <c r="AR555" s="63"/>
      <c r="AS555" s="63"/>
      <c r="AT555" s="63"/>
      <c r="AU555" s="220"/>
      <c r="AV555" s="220"/>
      <c r="AW555" s="220"/>
    </row>
    <row r="556" spans="1:49" s="221" customFormat="1" ht="213.75" x14ac:dyDescent="0.25">
      <c r="A556" s="63">
        <v>142</v>
      </c>
      <c r="B556" s="63" t="str">
        <f t="shared" si="61"/>
        <v>3075-142</v>
      </c>
      <c r="C556" s="76" t="s">
        <v>1141</v>
      </c>
      <c r="D556" s="76" t="s">
        <v>1142</v>
      </c>
      <c r="E556" s="76" t="s">
        <v>1143</v>
      </c>
      <c r="F556" s="76" t="s">
        <v>1158</v>
      </c>
      <c r="G556" s="77" t="s">
        <v>1159</v>
      </c>
      <c r="H556" s="78" t="s">
        <v>1160</v>
      </c>
      <c r="I556" s="76" t="s">
        <v>1147</v>
      </c>
      <c r="J556" s="76" t="s">
        <v>1148</v>
      </c>
      <c r="K556" s="76">
        <v>801116</v>
      </c>
      <c r="L556" s="63" t="s">
        <v>1149</v>
      </c>
      <c r="M556" s="63" t="s">
        <v>58</v>
      </c>
      <c r="N556" s="63" t="s">
        <v>59</v>
      </c>
      <c r="O556" s="76" t="s">
        <v>1213</v>
      </c>
      <c r="P556" s="76" t="s">
        <v>1575</v>
      </c>
      <c r="Q556" s="83">
        <v>3399000</v>
      </c>
      <c r="R556" s="63">
        <v>1</v>
      </c>
      <c r="S556" s="80">
        <v>33990000</v>
      </c>
      <c r="T556" s="63" t="s">
        <v>888</v>
      </c>
      <c r="U556" s="63" t="s">
        <v>1163</v>
      </c>
      <c r="V556" s="81" t="s">
        <v>64</v>
      </c>
      <c r="W556" s="82">
        <v>10</v>
      </c>
      <c r="X556" s="63" t="s">
        <v>1576</v>
      </c>
      <c r="Y556" s="81">
        <v>43102</v>
      </c>
      <c r="Z556" s="83">
        <v>33990000</v>
      </c>
      <c r="AA556" s="84" t="s">
        <v>1577</v>
      </c>
      <c r="AB556" s="85">
        <v>448</v>
      </c>
      <c r="AC556" s="81">
        <v>43111</v>
      </c>
      <c r="AD556" s="86">
        <v>33990000</v>
      </c>
      <c r="AE556" s="87">
        <f t="shared" si="60"/>
        <v>0</v>
      </c>
      <c r="AF556" s="85">
        <v>199</v>
      </c>
      <c r="AG556" s="81">
        <v>43118</v>
      </c>
      <c r="AH556" s="86">
        <v>33990000</v>
      </c>
      <c r="AI556" s="63" t="s">
        <v>1578</v>
      </c>
      <c r="AJ556" s="63">
        <v>179</v>
      </c>
      <c r="AK556" s="87">
        <f t="shared" si="62"/>
        <v>0</v>
      </c>
      <c r="AL556" s="86">
        <v>25152600</v>
      </c>
      <c r="AM556" s="86">
        <f t="shared" si="63"/>
        <v>8837400</v>
      </c>
      <c r="AN556" s="63" t="s">
        <v>1155</v>
      </c>
      <c r="AO556" s="86">
        <f t="shared" si="64"/>
        <v>0</v>
      </c>
      <c r="AP556" s="63"/>
      <c r="AQ556" s="63"/>
      <c r="AR556" s="63"/>
      <c r="AS556" s="63"/>
      <c r="AT556" s="63"/>
      <c r="AU556" s="220"/>
      <c r="AV556" s="220"/>
      <c r="AW556" s="220"/>
    </row>
    <row r="557" spans="1:49" s="221" customFormat="1" ht="213.75" x14ac:dyDescent="0.25">
      <c r="A557" s="63">
        <v>143</v>
      </c>
      <c r="B557" s="63" t="str">
        <f t="shared" si="61"/>
        <v>3075-143</v>
      </c>
      <c r="C557" s="76" t="s">
        <v>1141</v>
      </c>
      <c r="D557" s="76" t="s">
        <v>1142</v>
      </c>
      <c r="E557" s="76" t="s">
        <v>1143</v>
      </c>
      <c r="F557" s="76" t="s">
        <v>1158</v>
      </c>
      <c r="G557" s="77" t="s">
        <v>1159</v>
      </c>
      <c r="H557" s="78" t="s">
        <v>1160</v>
      </c>
      <c r="I557" s="76" t="s">
        <v>1147</v>
      </c>
      <c r="J557" s="76" t="s">
        <v>1148</v>
      </c>
      <c r="K557" s="76">
        <v>801116</v>
      </c>
      <c r="L557" s="63" t="s">
        <v>1149</v>
      </c>
      <c r="M557" s="63" t="s">
        <v>58</v>
      </c>
      <c r="N557" s="63" t="s">
        <v>59</v>
      </c>
      <c r="O557" s="76" t="s">
        <v>1213</v>
      </c>
      <c r="P557" s="76" t="s">
        <v>1287</v>
      </c>
      <c r="Q557" s="83">
        <v>4120000</v>
      </c>
      <c r="R557" s="63">
        <v>1</v>
      </c>
      <c r="S557" s="80">
        <v>41200000</v>
      </c>
      <c r="T557" s="63" t="s">
        <v>888</v>
      </c>
      <c r="U557" s="63" t="s">
        <v>1163</v>
      </c>
      <c r="V557" s="81" t="s">
        <v>64</v>
      </c>
      <c r="W557" s="82">
        <v>10</v>
      </c>
      <c r="X557" s="63" t="s">
        <v>1579</v>
      </c>
      <c r="Y557" s="81">
        <v>43102</v>
      </c>
      <c r="Z557" s="83">
        <v>41200000</v>
      </c>
      <c r="AA557" s="84" t="s">
        <v>1528</v>
      </c>
      <c r="AB557" s="85">
        <v>399</v>
      </c>
      <c r="AC557" s="81">
        <v>43110</v>
      </c>
      <c r="AD557" s="86">
        <v>41200000</v>
      </c>
      <c r="AE557" s="87">
        <f t="shared" si="60"/>
        <v>0</v>
      </c>
      <c r="AF557" s="85">
        <v>417</v>
      </c>
      <c r="AG557" s="81">
        <v>43124</v>
      </c>
      <c r="AH557" s="86">
        <v>41200000</v>
      </c>
      <c r="AI557" s="63" t="s">
        <v>1580</v>
      </c>
      <c r="AJ557" s="63">
        <v>338</v>
      </c>
      <c r="AK557" s="87">
        <f t="shared" si="62"/>
        <v>0</v>
      </c>
      <c r="AL557" s="86">
        <v>28153334</v>
      </c>
      <c r="AM557" s="86">
        <f t="shared" si="63"/>
        <v>13046666</v>
      </c>
      <c r="AN557" s="63" t="s">
        <v>1155</v>
      </c>
      <c r="AO557" s="86">
        <f t="shared" si="64"/>
        <v>0</v>
      </c>
      <c r="AP557" s="63"/>
      <c r="AQ557" s="63"/>
      <c r="AR557" s="63"/>
      <c r="AS557" s="63"/>
      <c r="AT557" s="63"/>
      <c r="AU557" s="220"/>
      <c r="AV557" s="220"/>
      <c r="AW557" s="220"/>
    </row>
    <row r="558" spans="1:49" s="221" customFormat="1" ht="213.75" x14ac:dyDescent="0.25">
      <c r="A558" s="63">
        <v>144</v>
      </c>
      <c r="B558" s="63" t="str">
        <f t="shared" si="61"/>
        <v>3075-144</v>
      </c>
      <c r="C558" s="76" t="s">
        <v>1141</v>
      </c>
      <c r="D558" s="76" t="s">
        <v>1142</v>
      </c>
      <c r="E558" s="76" t="s">
        <v>1143</v>
      </c>
      <c r="F558" s="76" t="s">
        <v>1158</v>
      </c>
      <c r="G558" s="77" t="s">
        <v>1159</v>
      </c>
      <c r="H558" s="78" t="s">
        <v>1160</v>
      </c>
      <c r="I558" s="76" t="s">
        <v>1147</v>
      </c>
      <c r="J558" s="76" t="s">
        <v>1148</v>
      </c>
      <c r="K558" s="76">
        <v>801116</v>
      </c>
      <c r="L558" s="63" t="s">
        <v>1149</v>
      </c>
      <c r="M558" s="63" t="s">
        <v>58</v>
      </c>
      <c r="N558" s="63" t="s">
        <v>59</v>
      </c>
      <c r="O558" s="76" t="s">
        <v>1213</v>
      </c>
      <c r="P558" s="76" t="s">
        <v>1287</v>
      </c>
      <c r="Q558" s="83">
        <v>3553500</v>
      </c>
      <c r="R558" s="63">
        <v>1</v>
      </c>
      <c r="S558" s="80">
        <v>31981500</v>
      </c>
      <c r="T558" s="63" t="s">
        <v>888</v>
      </c>
      <c r="U558" s="63" t="s">
        <v>1163</v>
      </c>
      <c r="V558" s="81" t="s">
        <v>64</v>
      </c>
      <c r="W558" s="82">
        <v>9</v>
      </c>
      <c r="X558" s="63" t="s">
        <v>1581</v>
      </c>
      <c r="Y558" s="81">
        <v>43102</v>
      </c>
      <c r="Z558" s="83">
        <v>31981500</v>
      </c>
      <c r="AA558" s="84" t="s">
        <v>1525</v>
      </c>
      <c r="AB558" s="85">
        <v>401</v>
      </c>
      <c r="AC558" s="81">
        <v>43110</v>
      </c>
      <c r="AD558" s="86">
        <v>31981500</v>
      </c>
      <c r="AE558" s="87">
        <f t="shared" si="60"/>
        <v>0</v>
      </c>
      <c r="AF558" s="85">
        <v>197</v>
      </c>
      <c r="AG558" s="81">
        <v>43118</v>
      </c>
      <c r="AH558" s="86">
        <v>31981500</v>
      </c>
      <c r="AI558" s="63" t="s">
        <v>1582</v>
      </c>
      <c r="AJ558" s="63">
        <v>181</v>
      </c>
      <c r="AK558" s="87">
        <f t="shared" si="62"/>
        <v>0</v>
      </c>
      <c r="AL558" s="86">
        <v>26295900</v>
      </c>
      <c r="AM558" s="86">
        <f t="shared" si="63"/>
        <v>5685600</v>
      </c>
      <c r="AN558" s="63" t="s">
        <v>1155</v>
      </c>
      <c r="AO558" s="86">
        <f t="shared" si="64"/>
        <v>0</v>
      </c>
      <c r="AP558" s="63"/>
      <c r="AQ558" s="63"/>
      <c r="AR558" s="63"/>
      <c r="AS558" s="63"/>
      <c r="AT558" s="63"/>
      <c r="AU558" s="220"/>
      <c r="AV558" s="220"/>
      <c r="AW558" s="220"/>
    </row>
    <row r="559" spans="1:49" s="221" customFormat="1" ht="213.75" x14ac:dyDescent="0.25">
      <c r="A559" s="63">
        <v>145</v>
      </c>
      <c r="B559" s="63" t="str">
        <f t="shared" si="61"/>
        <v>3075-145</v>
      </c>
      <c r="C559" s="76" t="s">
        <v>1141</v>
      </c>
      <c r="D559" s="76" t="s">
        <v>1142</v>
      </c>
      <c r="E559" s="76" t="s">
        <v>1143</v>
      </c>
      <c r="F559" s="76" t="s">
        <v>1158</v>
      </c>
      <c r="G559" s="77" t="s">
        <v>1159</v>
      </c>
      <c r="H559" s="78" t="s">
        <v>1160</v>
      </c>
      <c r="I559" s="76" t="s">
        <v>1147</v>
      </c>
      <c r="J559" s="76" t="s">
        <v>1148</v>
      </c>
      <c r="K559" s="76">
        <v>801116</v>
      </c>
      <c r="L559" s="63" t="s">
        <v>1149</v>
      </c>
      <c r="M559" s="63" t="s">
        <v>58</v>
      </c>
      <c r="N559" s="63" t="s">
        <v>59</v>
      </c>
      <c r="O559" s="76" t="s">
        <v>1213</v>
      </c>
      <c r="P559" s="76" t="s">
        <v>1583</v>
      </c>
      <c r="Q559" s="83">
        <v>3553500</v>
      </c>
      <c r="R559" s="63">
        <v>1</v>
      </c>
      <c r="S559" s="80">
        <v>31981500</v>
      </c>
      <c r="T559" s="63" t="s">
        <v>888</v>
      </c>
      <c r="U559" s="63" t="s">
        <v>1163</v>
      </c>
      <c r="V559" s="81" t="s">
        <v>64</v>
      </c>
      <c r="W559" s="82">
        <v>9</v>
      </c>
      <c r="X559" s="63" t="s">
        <v>1584</v>
      </c>
      <c r="Y559" s="81">
        <v>43102</v>
      </c>
      <c r="Z559" s="83">
        <v>31981500</v>
      </c>
      <c r="AA559" s="84" t="s">
        <v>1525</v>
      </c>
      <c r="AB559" s="85">
        <v>402</v>
      </c>
      <c r="AC559" s="81">
        <v>43110</v>
      </c>
      <c r="AD559" s="86">
        <v>31981500</v>
      </c>
      <c r="AE559" s="87">
        <f t="shared" ref="AE559:AE582" si="65">S559-Z559</f>
        <v>0</v>
      </c>
      <c r="AF559" s="85">
        <v>193</v>
      </c>
      <c r="AG559" s="81">
        <v>43118</v>
      </c>
      <c r="AH559" s="86">
        <v>31981500</v>
      </c>
      <c r="AI559" s="63" t="s">
        <v>1585</v>
      </c>
      <c r="AJ559" s="63">
        <v>164</v>
      </c>
      <c r="AK559" s="87">
        <f t="shared" si="62"/>
        <v>0</v>
      </c>
      <c r="AL559" s="86">
        <v>25940550</v>
      </c>
      <c r="AM559" s="86">
        <f t="shared" si="63"/>
        <v>6040950</v>
      </c>
      <c r="AN559" s="63" t="s">
        <v>1155</v>
      </c>
      <c r="AO559" s="86">
        <f t="shared" si="64"/>
        <v>0</v>
      </c>
      <c r="AP559" s="63"/>
      <c r="AQ559" s="63"/>
      <c r="AR559" s="63"/>
      <c r="AS559" s="63"/>
      <c r="AT559" s="63"/>
      <c r="AU559" s="220"/>
      <c r="AV559" s="220"/>
      <c r="AW559" s="220"/>
    </row>
    <row r="560" spans="1:49" s="221" customFormat="1" ht="213.75" x14ac:dyDescent="0.25">
      <c r="A560" s="63">
        <v>146</v>
      </c>
      <c r="B560" s="63" t="str">
        <f t="shared" si="61"/>
        <v>3075-146</v>
      </c>
      <c r="C560" s="76" t="s">
        <v>1141</v>
      </c>
      <c r="D560" s="76" t="s">
        <v>1142</v>
      </c>
      <c r="E560" s="76" t="s">
        <v>1143</v>
      </c>
      <c r="F560" s="76" t="s">
        <v>1158</v>
      </c>
      <c r="G560" s="77" t="s">
        <v>1159</v>
      </c>
      <c r="H560" s="78" t="s">
        <v>1160</v>
      </c>
      <c r="I560" s="76" t="s">
        <v>1147</v>
      </c>
      <c r="J560" s="76" t="s">
        <v>1148</v>
      </c>
      <c r="K560" s="76">
        <v>801116</v>
      </c>
      <c r="L560" s="63" t="s">
        <v>1149</v>
      </c>
      <c r="M560" s="63" t="s">
        <v>58</v>
      </c>
      <c r="N560" s="63" t="s">
        <v>59</v>
      </c>
      <c r="O560" s="76" t="s">
        <v>1213</v>
      </c>
      <c r="P560" s="76" t="s">
        <v>1583</v>
      </c>
      <c r="Q560" s="83">
        <v>4120000</v>
      </c>
      <c r="R560" s="63">
        <v>1</v>
      </c>
      <c r="S560" s="80">
        <v>45320000</v>
      </c>
      <c r="T560" s="63" t="s">
        <v>888</v>
      </c>
      <c r="U560" s="63" t="s">
        <v>1163</v>
      </c>
      <c r="V560" s="81" t="s">
        <v>64</v>
      </c>
      <c r="W560" s="82">
        <v>11</v>
      </c>
      <c r="X560" s="63" t="s">
        <v>1586</v>
      </c>
      <c r="Y560" s="81">
        <v>43102</v>
      </c>
      <c r="Z560" s="83">
        <v>45320000</v>
      </c>
      <c r="AA560" s="84" t="s">
        <v>1528</v>
      </c>
      <c r="AB560" s="85">
        <v>403</v>
      </c>
      <c r="AC560" s="81">
        <v>43110</v>
      </c>
      <c r="AD560" s="86">
        <v>45320000</v>
      </c>
      <c r="AE560" s="87">
        <f t="shared" si="65"/>
        <v>0</v>
      </c>
      <c r="AF560" s="85">
        <v>245</v>
      </c>
      <c r="AG560" s="81">
        <v>43119</v>
      </c>
      <c r="AH560" s="86">
        <v>45320000</v>
      </c>
      <c r="AI560" s="63" t="s">
        <v>1587</v>
      </c>
      <c r="AJ560" s="63">
        <v>216</v>
      </c>
      <c r="AK560" s="87">
        <f t="shared" si="62"/>
        <v>0</v>
      </c>
      <c r="AL560" s="86">
        <v>30488000</v>
      </c>
      <c r="AM560" s="86">
        <f t="shared" si="63"/>
        <v>14832000</v>
      </c>
      <c r="AN560" s="63" t="s">
        <v>1155</v>
      </c>
      <c r="AO560" s="86">
        <f t="shared" si="64"/>
        <v>0</v>
      </c>
      <c r="AP560" s="63"/>
      <c r="AQ560" s="63"/>
      <c r="AR560" s="63"/>
      <c r="AS560" s="63"/>
      <c r="AT560" s="63"/>
      <c r="AU560" s="220"/>
      <c r="AV560" s="220"/>
      <c r="AW560" s="220"/>
    </row>
    <row r="561" spans="1:49" s="221" customFormat="1" ht="213.75" x14ac:dyDescent="0.25">
      <c r="A561" s="63">
        <v>147</v>
      </c>
      <c r="B561" s="63" t="str">
        <f t="shared" si="61"/>
        <v>3075-147</v>
      </c>
      <c r="C561" s="76" t="s">
        <v>1141</v>
      </c>
      <c r="D561" s="76" t="s">
        <v>1142</v>
      </c>
      <c r="E561" s="76" t="s">
        <v>1143</v>
      </c>
      <c r="F561" s="76" t="s">
        <v>1158</v>
      </c>
      <c r="G561" s="77" t="s">
        <v>1159</v>
      </c>
      <c r="H561" s="78" t="s">
        <v>1160</v>
      </c>
      <c r="I561" s="76" t="s">
        <v>1147</v>
      </c>
      <c r="J561" s="76" t="s">
        <v>1148</v>
      </c>
      <c r="K561" s="76">
        <v>801116</v>
      </c>
      <c r="L561" s="63" t="s">
        <v>1149</v>
      </c>
      <c r="M561" s="63" t="s">
        <v>58</v>
      </c>
      <c r="N561" s="63" t="s">
        <v>59</v>
      </c>
      <c r="O561" s="76" t="s">
        <v>1213</v>
      </c>
      <c r="P561" s="76" t="s">
        <v>1287</v>
      </c>
      <c r="Q561" s="83">
        <v>4120000</v>
      </c>
      <c r="R561" s="63">
        <v>1</v>
      </c>
      <c r="S561" s="80">
        <v>41200000</v>
      </c>
      <c r="T561" s="63" t="s">
        <v>888</v>
      </c>
      <c r="U561" s="63" t="s">
        <v>1163</v>
      </c>
      <c r="V561" s="81" t="s">
        <v>64</v>
      </c>
      <c r="W561" s="82">
        <v>9.75</v>
      </c>
      <c r="X561" s="63" t="s">
        <v>1588</v>
      </c>
      <c r="Y561" s="81">
        <v>43102</v>
      </c>
      <c r="Z561" s="83">
        <v>41200000</v>
      </c>
      <c r="AA561" s="84" t="s">
        <v>1528</v>
      </c>
      <c r="AB561" s="85">
        <v>404</v>
      </c>
      <c r="AC561" s="81">
        <v>43110</v>
      </c>
      <c r="AD561" s="86">
        <v>41200000</v>
      </c>
      <c r="AE561" s="87">
        <f t="shared" si="65"/>
        <v>0</v>
      </c>
      <c r="AF561" s="85">
        <v>271</v>
      </c>
      <c r="AG561" s="81">
        <v>43119</v>
      </c>
      <c r="AH561" s="86">
        <v>41200000</v>
      </c>
      <c r="AI561" s="63" t="s">
        <v>1589</v>
      </c>
      <c r="AJ561" s="63">
        <v>241</v>
      </c>
      <c r="AK561" s="87">
        <f t="shared" si="62"/>
        <v>0</v>
      </c>
      <c r="AL561" s="86">
        <v>30076000</v>
      </c>
      <c r="AM561" s="86">
        <f t="shared" si="63"/>
        <v>11124000</v>
      </c>
      <c r="AN561" s="63" t="s">
        <v>1155</v>
      </c>
      <c r="AO561" s="86">
        <f t="shared" si="64"/>
        <v>0</v>
      </c>
      <c r="AP561" s="63"/>
      <c r="AQ561" s="63"/>
      <c r="AR561" s="63"/>
      <c r="AS561" s="63"/>
      <c r="AT561" s="63"/>
      <c r="AU561" s="220"/>
      <c r="AV561" s="220"/>
      <c r="AW561" s="220"/>
    </row>
    <row r="562" spans="1:49" s="221" customFormat="1" ht="213.75" x14ac:dyDescent="0.25">
      <c r="A562" s="63">
        <v>148</v>
      </c>
      <c r="B562" s="63" t="str">
        <f t="shared" si="61"/>
        <v>3075-148</v>
      </c>
      <c r="C562" s="76" t="s">
        <v>1141</v>
      </c>
      <c r="D562" s="76" t="s">
        <v>1142</v>
      </c>
      <c r="E562" s="76" t="s">
        <v>1143</v>
      </c>
      <c r="F562" s="76" t="s">
        <v>1158</v>
      </c>
      <c r="G562" s="77" t="s">
        <v>1159</v>
      </c>
      <c r="H562" s="78" t="s">
        <v>1160</v>
      </c>
      <c r="I562" s="76" t="s">
        <v>1147</v>
      </c>
      <c r="J562" s="76" t="s">
        <v>1148</v>
      </c>
      <c r="K562" s="76">
        <v>801116</v>
      </c>
      <c r="L562" s="63" t="s">
        <v>1149</v>
      </c>
      <c r="M562" s="63" t="s">
        <v>58</v>
      </c>
      <c r="N562" s="63" t="s">
        <v>59</v>
      </c>
      <c r="O562" s="76" t="s">
        <v>1213</v>
      </c>
      <c r="P562" s="76" t="s">
        <v>1287</v>
      </c>
      <c r="Q562" s="83">
        <v>4120000</v>
      </c>
      <c r="R562" s="63">
        <v>1</v>
      </c>
      <c r="S562" s="80">
        <v>41200000</v>
      </c>
      <c r="T562" s="63" t="s">
        <v>888</v>
      </c>
      <c r="U562" s="63" t="s">
        <v>1163</v>
      </c>
      <c r="V562" s="81" t="s">
        <v>64</v>
      </c>
      <c r="W562" s="82">
        <v>9.75</v>
      </c>
      <c r="X562" s="63" t="s">
        <v>1590</v>
      </c>
      <c r="Y562" s="81">
        <v>43102</v>
      </c>
      <c r="Z562" s="83">
        <v>41200000</v>
      </c>
      <c r="AA562" s="84" t="s">
        <v>1528</v>
      </c>
      <c r="AB562" s="85">
        <v>406</v>
      </c>
      <c r="AC562" s="81">
        <v>43110</v>
      </c>
      <c r="AD562" s="86">
        <v>41200000</v>
      </c>
      <c r="AE562" s="87">
        <f t="shared" si="65"/>
        <v>0</v>
      </c>
      <c r="AF562" s="85">
        <v>223</v>
      </c>
      <c r="AG562" s="81">
        <v>43118</v>
      </c>
      <c r="AH562" s="86">
        <v>41200000</v>
      </c>
      <c r="AI562" s="63" t="s">
        <v>1591</v>
      </c>
      <c r="AJ562" s="63">
        <v>192</v>
      </c>
      <c r="AK562" s="87">
        <f t="shared" si="62"/>
        <v>0</v>
      </c>
      <c r="AL562" s="86">
        <v>30488000</v>
      </c>
      <c r="AM562" s="86">
        <f t="shared" si="63"/>
        <v>10712000</v>
      </c>
      <c r="AN562" s="63" t="s">
        <v>1155</v>
      </c>
      <c r="AO562" s="86">
        <f t="shared" si="64"/>
        <v>0</v>
      </c>
      <c r="AP562" s="63"/>
      <c r="AQ562" s="63"/>
      <c r="AR562" s="63"/>
      <c r="AS562" s="63"/>
      <c r="AT562" s="63"/>
      <c r="AU562" s="220"/>
      <c r="AV562" s="220"/>
      <c r="AW562" s="220"/>
    </row>
    <row r="563" spans="1:49" s="221" customFormat="1" ht="342" x14ac:dyDescent="0.25">
      <c r="A563" s="63">
        <v>149</v>
      </c>
      <c r="B563" s="63" t="str">
        <f t="shared" si="61"/>
        <v>3075-149</v>
      </c>
      <c r="C563" s="76" t="s">
        <v>1141</v>
      </c>
      <c r="D563" s="76" t="s">
        <v>1142</v>
      </c>
      <c r="E563" s="76" t="s">
        <v>1143</v>
      </c>
      <c r="F563" s="76" t="s">
        <v>1158</v>
      </c>
      <c r="G563" s="77" t="s">
        <v>1159</v>
      </c>
      <c r="H563" s="78" t="s">
        <v>1160</v>
      </c>
      <c r="I563" s="76" t="s">
        <v>1147</v>
      </c>
      <c r="J563" s="76" t="s">
        <v>1148</v>
      </c>
      <c r="K563" s="76">
        <v>801116</v>
      </c>
      <c r="L563" s="63" t="s">
        <v>1149</v>
      </c>
      <c r="M563" s="63" t="s">
        <v>58</v>
      </c>
      <c r="N563" s="63" t="s">
        <v>59</v>
      </c>
      <c r="O563" s="76" t="s">
        <v>1213</v>
      </c>
      <c r="P563" s="76" t="s">
        <v>1294</v>
      </c>
      <c r="Q563" s="83">
        <v>4120000</v>
      </c>
      <c r="R563" s="63">
        <v>1</v>
      </c>
      <c r="S563" s="80">
        <v>32960000</v>
      </c>
      <c r="T563" s="63" t="s">
        <v>888</v>
      </c>
      <c r="U563" s="63" t="s">
        <v>1163</v>
      </c>
      <c r="V563" s="81" t="s">
        <v>64</v>
      </c>
      <c r="W563" s="82">
        <v>8</v>
      </c>
      <c r="X563" s="63" t="s">
        <v>1592</v>
      </c>
      <c r="Y563" s="81">
        <v>43102</v>
      </c>
      <c r="Z563" s="83">
        <v>32960000</v>
      </c>
      <c r="AA563" s="84" t="s">
        <v>1573</v>
      </c>
      <c r="AB563" s="85">
        <v>407</v>
      </c>
      <c r="AC563" s="81">
        <v>43110</v>
      </c>
      <c r="AD563" s="86">
        <v>32960000</v>
      </c>
      <c r="AE563" s="87">
        <f t="shared" si="65"/>
        <v>0</v>
      </c>
      <c r="AF563" s="85">
        <v>270</v>
      </c>
      <c r="AG563" s="81">
        <v>43119</v>
      </c>
      <c r="AH563" s="86">
        <v>32960000</v>
      </c>
      <c r="AI563" s="63" t="s">
        <v>1593</v>
      </c>
      <c r="AJ563" s="63">
        <v>240</v>
      </c>
      <c r="AK563" s="87">
        <f t="shared" si="62"/>
        <v>0</v>
      </c>
      <c r="AL563" s="86">
        <v>30076000</v>
      </c>
      <c r="AM563" s="86">
        <f t="shared" si="63"/>
        <v>2884000</v>
      </c>
      <c r="AN563" s="63" t="s">
        <v>1155</v>
      </c>
      <c r="AO563" s="86">
        <f t="shared" si="64"/>
        <v>0</v>
      </c>
      <c r="AP563" s="63"/>
      <c r="AQ563" s="63"/>
      <c r="AR563" s="63"/>
      <c r="AS563" s="63"/>
      <c r="AT563" s="63"/>
      <c r="AU563" s="220"/>
      <c r="AV563" s="220"/>
      <c r="AW563" s="220"/>
    </row>
    <row r="564" spans="1:49" s="221" customFormat="1" ht="213.75" x14ac:dyDescent="0.25">
      <c r="A564" s="63">
        <v>150</v>
      </c>
      <c r="B564" s="63" t="str">
        <f t="shared" si="61"/>
        <v>3075-150</v>
      </c>
      <c r="C564" s="76" t="s">
        <v>1141</v>
      </c>
      <c r="D564" s="76" t="s">
        <v>1142</v>
      </c>
      <c r="E564" s="76" t="s">
        <v>1143</v>
      </c>
      <c r="F564" s="76" t="s">
        <v>1158</v>
      </c>
      <c r="G564" s="77" t="s">
        <v>1159</v>
      </c>
      <c r="H564" s="78" t="s">
        <v>1160</v>
      </c>
      <c r="I564" s="76" t="s">
        <v>1147</v>
      </c>
      <c r="J564" s="76" t="s">
        <v>1148</v>
      </c>
      <c r="K564" s="76">
        <v>801116</v>
      </c>
      <c r="L564" s="63" t="s">
        <v>1149</v>
      </c>
      <c r="M564" s="63" t="s">
        <v>58</v>
      </c>
      <c r="N564" s="63" t="s">
        <v>59</v>
      </c>
      <c r="O564" s="76" t="s">
        <v>1213</v>
      </c>
      <c r="P564" s="76" t="s">
        <v>1594</v>
      </c>
      <c r="Q564" s="83">
        <v>3399000</v>
      </c>
      <c r="R564" s="63">
        <v>1</v>
      </c>
      <c r="S564" s="80">
        <v>30591000</v>
      </c>
      <c r="T564" s="63" t="s">
        <v>888</v>
      </c>
      <c r="U564" s="63" t="s">
        <v>1163</v>
      </c>
      <c r="V564" s="81" t="s">
        <v>64</v>
      </c>
      <c r="W564" s="82">
        <v>9</v>
      </c>
      <c r="X564" s="63" t="s">
        <v>1595</v>
      </c>
      <c r="Y564" s="81">
        <v>43102</v>
      </c>
      <c r="Z564" s="83">
        <v>30591000</v>
      </c>
      <c r="AA564" s="84" t="s">
        <v>1577</v>
      </c>
      <c r="AB564" s="85">
        <v>358</v>
      </c>
      <c r="AC564" s="81">
        <v>43110</v>
      </c>
      <c r="AD564" s="86">
        <v>30591000</v>
      </c>
      <c r="AE564" s="87">
        <f t="shared" si="65"/>
        <v>0</v>
      </c>
      <c r="AF564" s="85">
        <v>256</v>
      </c>
      <c r="AG564" s="81">
        <v>43119</v>
      </c>
      <c r="AH564" s="86">
        <v>30591000</v>
      </c>
      <c r="AI564" s="63" t="s">
        <v>1596</v>
      </c>
      <c r="AJ564" s="63">
        <v>224</v>
      </c>
      <c r="AK564" s="87">
        <f t="shared" si="62"/>
        <v>0</v>
      </c>
      <c r="AL564" s="86">
        <v>23566400</v>
      </c>
      <c r="AM564" s="86">
        <f t="shared" si="63"/>
        <v>7024600</v>
      </c>
      <c r="AN564" s="63" t="s">
        <v>1155</v>
      </c>
      <c r="AO564" s="86">
        <f t="shared" si="64"/>
        <v>0</v>
      </c>
      <c r="AP564" s="63"/>
      <c r="AQ564" s="63"/>
      <c r="AR564" s="63"/>
      <c r="AS564" s="63"/>
      <c r="AT564" s="63"/>
      <c r="AU564" s="220"/>
      <c r="AV564" s="220"/>
      <c r="AW564" s="220"/>
    </row>
    <row r="565" spans="1:49" s="221" customFormat="1" ht="299.25" x14ac:dyDescent="0.25">
      <c r="A565" s="63">
        <v>151</v>
      </c>
      <c r="B565" s="63" t="str">
        <f t="shared" si="61"/>
        <v>3075-151</v>
      </c>
      <c r="C565" s="76" t="s">
        <v>1141</v>
      </c>
      <c r="D565" s="76" t="s">
        <v>1142</v>
      </c>
      <c r="E565" s="76" t="s">
        <v>1143</v>
      </c>
      <c r="F565" s="76" t="s">
        <v>1158</v>
      </c>
      <c r="G565" s="77" t="s">
        <v>1159</v>
      </c>
      <c r="H565" s="78" t="s">
        <v>1160</v>
      </c>
      <c r="I565" s="76" t="s">
        <v>1147</v>
      </c>
      <c r="J565" s="76" t="s">
        <v>1148</v>
      </c>
      <c r="K565" s="76">
        <v>801116</v>
      </c>
      <c r="L565" s="63" t="s">
        <v>1149</v>
      </c>
      <c r="M565" s="63" t="s">
        <v>58</v>
      </c>
      <c r="N565" s="63" t="s">
        <v>59</v>
      </c>
      <c r="O565" s="76" t="s">
        <v>1213</v>
      </c>
      <c r="P565" s="76" t="s">
        <v>1597</v>
      </c>
      <c r="Q565" s="83">
        <v>3553500</v>
      </c>
      <c r="R565" s="63">
        <v>1</v>
      </c>
      <c r="S565" s="80">
        <v>39088500</v>
      </c>
      <c r="T565" s="63" t="s">
        <v>888</v>
      </c>
      <c r="U565" s="63" t="s">
        <v>1163</v>
      </c>
      <c r="V565" s="81" t="s">
        <v>64</v>
      </c>
      <c r="W565" s="82">
        <v>11</v>
      </c>
      <c r="X565" s="63" t="s">
        <v>1598</v>
      </c>
      <c r="Y565" s="81">
        <v>43102</v>
      </c>
      <c r="Z565" s="83">
        <v>39088500</v>
      </c>
      <c r="AA565" s="84" t="s">
        <v>1525</v>
      </c>
      <c r="AB565" s="85">
        <v>408</v>
      </c>
      <c r="AC565" s="81">
        <v>43110</v>
      </c>
      <c r="AD565" s="86">
        <v>39088500</v>
      </c>
      <c r="AE565" s="87">
        <f t="shared" si="65"/>
        <v>0</v>
      </c>
      <c r="AF565" s="85">
        <v>330</v>
      </c>
      <c r="AG565" s="81">
        <v>43123</v>
      </c>
      <c r="AH565" s="86">
        <v>39088500</v>
      </c>
      <c r="AI565" s="63" t="s">
        <v>1599</v>
      </c>
      <c r="AJ565" s="63">
        <v>289</v>
      </c>
      <c r="AK565" s="87">
        <f t="shared" si="62"/>
        <v>0</v>
      </c>
      <c r="AL565" s="86">
        <v>25822100</v>
      </c>
      <c r="AM565" s="86">
        <f t="shared" si="63"/>
        <v>13266400</v>
      </c>
      <c r="AN565" s="63" t="s">
        <v>1155</v>
      </c>
      <c r="AO565" s="86">
        <f t="shared" si="64"/>
        <v>0</v>
      </c>
      <c r="AP565" s="63"/>
      <c r="AQ565" s="63"/>
      <c r="AR565" s="63"/>
      <c r="AS565" s="63"/>
      <c r="AT565" s="63"/>
      <c r="AU565" s="220"/>
      <c r="AV565" s="220"/>
      <c r="AW565" s="220"/>
    </row>
    <row r="566" spans="1:49" s="221" customFormat="1" ht="199.5" x14ac:dyDescent="0.25">
      <c r="A566" s="63">
        <v>152</v>
      </c>
      <c r="B566" s="63" t="str">
        <f t="shared" si="61"/>
        <v>3075-152</v>
      </c>
      <c r="C566" s="76" t="s">
        <v>1141</v>
      </c>
      <c r="D566" s="76" t="s">
        <v>1142</v>
      </c>
      <c r="E566" s="76" t="s">
        <v>1143</v>
      </c>
      <c r="F566" s="76" t="s">
        <v>1158</v>
      </c>
      <c r="G566" s="77" t="s">
        <v>1159</v>
      </c>
      <c r="H566" s="78" t="s">
        <v>1160</v>
      </c>
      <c r="I566" s="76" t="s">
        <v>1147</v>
      </c>
      <c r="J566" s="76" t="s">
        <v>1148</v>
      </c>
      <c r="K566" s="76">
        <v>801116</v>
      </c>
      <c r="L566" s="63" t="s">
        <v>1149</v>
      </c>
      <c r="M566" s="63" t="s">
        <v>58</v>
      </c>
      <c r="N566" s="63" t="s">
        <v>59</v>
      </c>
      <c r="O566" s="76" t="s">
        <v>1213</v>
      </c>
      <c r="P566" s="76" t="s">
        <v>1600</v>
      </c>
      <c r="Q566" s="83">
        <v>3038500</v>
      </c>
      <c r="R566" s="63">
        <v>1</v>
      </c>
      <c r="S566" s="80">
        <v>30385000</v>
      </c>
      <c r="T566" s="63" t="s">
        <v>928</v>
      </c>
      <c r="U566" s="63" t="s">
        <v>1163</v>
      </c>
      <c r="V566" s="81" t="s">
        <v>64</v>
      </c>
      <c r="W566" s="82">
        <v>10</v>
      </c>
      <c r="X566" s="63" t="s">
        <v>1601</v>
      </c>
      <c r="Y566" s="81">
        <v>43102</v>
      </c>
      <c r="Z566" s="83">
        <v>30385000</v>
      </c>
      <c r="AA566" s="84" t="s">
        <v>1602</v>
      </c>
      <c r="AB566" s="85">
        <v>410</v>
      </c>
      <c r="AC566" s="81">
        <v>43110</v>
      </c>
      <c r="AD566" s="86">
        <v>30385000</v>
      </c>
      <c r="AE566" s="87">
        <f t="shared" si="65"/>
        <v>0</v>
      </c>
      <c r="AF566" s="85">
        <v>382</v>
      </c>
      <c r="AG566" s="81">
        <v>43124</v>
      </c>
      <c r="AH566" s="86">
        <v>30385000</v>
      </c>
      <c r="AI566" s="63" t="s">
        <v>1603</v>
      </c>
      <c r="AJ566" s="63">
        <v>323</v>
      </c>
      <c r="AK566" s="87">
        <f t="shared" si="62"/>
        <v>0</v>
      </c>
      <c r="AL566" s="86">
        <v>21978483</v>
      </c>
      <c r="AM566" s="86">
        <f t="shared" si="63"/>
        <v>8406517</v>
      </c>
      <c r="AN566" s="63" t="s">
        <v>1155</v>
      </c>
      <c r="AO566" s="86">
        <f t="shared" si="64"/>
        <v>0</v>
      </c>
      <c r="AP566" s="63"/>
      <c r="AQ566" s="63"/>
      <c r="AR566" s="63"/>
      <c r="AS566" s="63"/>
      <c r="AT566" s="63"/>
      <c r="AU566" s="220"/>
      <c r="AV566" s="220"/>
      <c r="AW566" s="220"/>
    </row>
    <row r="567" spans="1:49" s="221" customFormat="1" ht="213.75" x14ac:dyDescent="0.25">
      <c r="A567" s="63">
        <v>153</v>
      </c>
      <c r="B567" s="63" t="str">
        <f t="shared" si="61"/>
        <v>3075-153</v>
      </c>
      <c r="C567" s="76" t="s">
        <v>1141</v>
      </c>
      <c r="D567" s="76" t="s">
        <v>1142</v>
      </c>
      <c r="E567" s="76" t="s">
        <v>1143</v>
      </c>
      <c r="F567" s="76" t="s">
        <v>1158</v>
      </c>
      <c r="G567" s="77" t="s">
        <v>1159</v>
      </c>
      <c r="H567" s="78" t="s">
        <v>1160</v>
      </c>
      <c r="I567" s="76" t="s">
        <v>1147</v>
      </c>
      <c r="J567" s="76" t="s">
        <v>1148</v>
      </c>
      <c r="K567" s="76">
        <v>801116</v>
      </c>
      <c r="L567" s="63" t="s">
        <v>1149</v>
      </c>
      <c r="M567" s="63" t="s">
        <v>58</v>
      </c>
      <c r="N567" s="63" t="s">
        <v>59</v>
      </c>
      <c r="O567" s="76" t="s">
        <v>1213</v>
      </c>
      <c r="P567" s="76" t="s">
        <v>1604</v>
      </c>
      <c r="Q567" s="83">
        <v>3038500</v>
      </c>
      <c r="R567" s="63">
        <v>1</v>
      </c>
      <c r="S567" s="80">
        <v>24308000</v>
      </c>
      <c r="T567" s="63" t="s">
        <v>928</v>
      </c>
      <c r="U567" s="63" t="s">
        <v>1163</v>
      </c>
      <c r="V567" s="81" t="s">
        <v>64</v>
      </c>
      <c r="W567" s="82">
        <v>8</v>
      </c>
      <c r="X567" s="63" t="s">
        <v>1605</v>
      </c>
      <c r="Y567" s="81">
        <v>43102</v>
      </c>
      <c r="Z567" s="83">
        <v>24308000</v>
      </c>
      <c r="AA567" s="84" t="s">
        <v>1602</v>
      </c>
      <c r="AB567" s="85">
        <v>201</v>
      </c>
      <c r="AC567" s="81">
        <v>43105</v>
      </c>
      <c r="AD567" s="86">
        <v>24308000</v>
      </c>
      <c r="AE567" s="87">
        <f t="shared" si="65"/>
        <v>0</v>
      </c>
      <c r="AF567" s="85">
        <v>344</v>
      </c>
      <c r="AG567" s="81">
        <v>43123</v>
      </c>
      <c r="AH567" s="86">
        <v>24308000</v>
      </c>
      <c r="AI567" s="63" t="s">
        <v>1606</v>
      </c>
      <c r="AJ567" s="63">
        <v>293</v>
      </c>
      <c r="AK567" s="87">
        <f t="shared" si="62"/>
        <v>0</v>
      </c>
      <c r="AL567" s="86">
        <v>21978483</v>
      </c>
      <c r="AM567" s="86">
        <f t="shared" si="63"/>
        <v>2329517</v>
      </c>
      <c r="AN567" s="63" t="s">
        <v>1155</v>
      </c>
      <c r="AO567" s="86">
        <f t="shared" si="64"/>
        <v>0</v>
      </c>
      <c r="AP567" s="63"/>
      <c r="AQ567" s="63"/>
      <c r="AR567" s="63"/>
      <c r="AS567" s="63"/>
      <c r="AT567" s="63"/>
      <c r="AU567" s="220"/>
      <c r="AV567" s="220"/>
      <c r="AW567" s="220"/>
    </row>
    <row r="568" spans="1:49" s="221" customFormat="1" ht="242.25" x14ac:dyDescent="0.25">
      <c r="A568" s="63">
        <v>154</v>
      </c>
      <c r="B568" s="63" t="str">
        <f t="shared" si="61"/>
        <v>3075-154</v>
      </c>
      <c r="C568" s="76" t="s">
        <v>1141</v>
      </c>
      <c r="D568" s="76" t="s">
        <v>1142</v>
      </c>
      <c r="E568" s="76" t="s">
        <v>1143</v>
      </c>
      <c r="F568" s="76" t="s">
        <v>1158</v>
      </c>
      <c r="G568" s="77" t="s">
        <v>1159</v>
      </c>
      <c r="H568" s="78" t="s">
        <v>1160</v>
      </c>
      <c r="I568" s="76" t="s">
        <v>1147</v>
      </c>
      <c r="J568" s="76" t="s">
        <v>1148</v>
      </c>
      <c r="K568" s="76">
        <v>801116</v>
      </c>
      <c r="L568" s="63" t="s">
        <v>1149</v>
      </c>
      <c r="M568" s="63" t="s">
        <v>58</v>
      </c>
      <c r="N568" s="63" t="s">
        <v>59</v>
      </c>
      <c r="O568" s="76" t="s">
        <v>1213</v>
      </c>
      <c r="P568" s="76" t="s">
        <v>1309</v>
      </c>
      <c r="Q568" s="83">
        <v>4120000</v>
      </c>
      <c r="R568" s="63">
        <v>1</v>
      </c>
      <c r="S568" s="80">
        <v>37080000</v>
      </c>
      <c r="T568" s="63" t="s">
        <v>888</v>
      </c>
      <c r="U568" s="63" t="s">
        <v>1163</v>
      </c>
      <c r="V568" s="81" t="s">
        <v>64</v>
      </c>
      <c r="W568" s="82">
        <v>9</v>
      </c>
      <c r="X568" s="63" t="s">
        <v>1607</v>
      </c>
      <c r="Y568" s="81">
        <v>43102</v>
      </c>
      <c r="Z568" s="83">
        <v>37080000</v>
      </c>
      <c r="AA568" s="84" t="s">
        <v>1534</v>
      </c>
      <c r="AB568" s="85">
        <v>204</v>
      </c>
      <c r="AC568" s="81">
        <v>43105</v>
      </c>
      <c r="AD568" s="86">
        <v>37080000</v>
      </c>
      <c r="AE568" s="87">
        <f t="shared" si="65"/>
        <v>0</v>
      </c>
      <c r="AF568" s="85">
        <v>348</v>
      </c>
      <c r="AG568" s="81">
        <v>43123</v>
      </c>
      <c r="AH568" s="86">
        <v>37080000</v>
      </c>
      <c r="AI568" s="63" t="s">
        <v>1608</v>
      </c>
      <c r="AJ568" s="63">
        <v>295</v>
      </c>
      <c r="AK568" s="87">
        <f t="shared" si="62"/>
        <v>0</v>
      </c>
      <c r="AL568" s="86">
        <v>26505333</v>
      </c>
      <c r="AM568" s="86">
        <f t="shared" si="63"/>
        <v>10574667</v>
      </c>
      <c r="AN568" s="63" t="s">
        <v>1155</v>
      </c>
      <c r="AO568" s="86">
        <f t="shared" si="64"/>
        <v>0</v>
      </c>
      <c r="AP568" s="63"/>
      <c r="AQ568" s="63"/>
      <c r="AR568" s="63"/>
      <c r="AS568" s="63"/>
      <c r="AT568" s="63"/>
      <c r="AU568" s="220"/>
      <c r="AV568" s="220"/>
      <c r="AW568" s="220"/>
    </row>
    <row r="569" spans="1:49" s="221" customFormat="1" ht="199.5" x14ac:dyDescent="0.25">
      <c r="A569" s="63">
        <v>155</v>
      </c>
      <c r="B569" s="63" t="str">
        <f t="shared" si="61"/>
        <v>3075-155</v>
      </c>
      <c r="C569" s="76" t="s">
        <v>1141</v>
      </c>
      <c r="D569" s="76" t="s">
        <v>1142</v>
      </c>
      <c r="E569" s="76" t="s">
        <v>1143</v>
      </c>
      <c r="F569" s="76" t="s">
        <v>1158</v>
      </c>
      <c r="G569" s="77" t="s">
        <v>1159</v>
      </c>
      <c r="H569" s="78" t="s">
        <v>1160</v>
      </c>
      <c r="I569" s="76" t="s">
        <v>1147</v>
      </c>
      <c r="J569" s="76" t="s">
        <v>1148</v>
      </c>
      <c r="K569" s="76">
        <v>801116</v>
      </c>
      <c r="L569" s="63" t="s">
        <v>1149</v>
      </c>
      <c r="M569" s="63" t="s">
        <v>58</v>
      </c>
      <c r="N569" s="63" t="s">
        <v>59</v>
      </c>
      <c r="O569" s="76" t="s">
        <v>1213</v>
      </c>
      <c r="P569" s="76" t="s">
        <v>1609</v>
      </c>
      <c r="Q569" s="83">
        <v>4120000</v>
      </c>
      <c r="R569" s="63">
        <v>1</v>
      </c>
      <c r="S569" s="80">
        <v>41200000</v>
      </c>
      <c r="T569" s="63" t="s">
        <v>888</v>
      </c>
      <c r="U569" s="63" t="s">
        <v>1163</v>
      </c>
      <c r="V569" s="81" t="s">
        <v>64</v>
      </c>
      <c r="W569" s="82">
        <v>9.75</v>
      </c>
      <c r="X569" s="63" t="s">
        <v>1610</v>
      </c>
      <c r="Y569" s="81">
        <v>43102</v>
      </c>
      <c r="Z569" s="83">
        <v>41200000</v>
      </c>
      <c r="AA569" s="84" t="s">
        <v>1552</v>
      </c>
      <c r="AB569" s="85">
        <v>206</v>
      </c>
      <c r="AC569" s="81">
        <v>43105</v>
      </c>
      <c r="AD569" s="86">
        <v>41200000</v>
      </c>
      <c r="AE569" s="87">
        <f t="shared" si="65"/>
        <v>0</v>
      </c>
      <c r="AF569" s="85">
        <v>397</v>
      </c>
      <c r="AG569" s="81">
        <v>43124</v>
      </c>
      <c r="AH569" s="86">
        <v>41200000</v>
      </c>
      <c r="AI569" s="63" t="s">
        <v>1611</v>
      </c>
      <c r="AJ569" s="63">
        <v>318</v>
      </c>
      <c r="AK569" s="87">
        <f t="shared" si="62"/>
        <v>0</v>
      </c>
      <c r="AL569" s="86">
        <v>29801333</v>
      </c>
      <c r="AM569" s="86">
        <f t="shared" si="63"/>
        <v>11398667</v>
      </c>
      <c r="AN569" s="63" t="s">
        <v>1155</v>
      </c>
      <c r="AO569" s="86">
        <f t="shared" si="64"/>
        <v>0</v>
      </c>
      <c r="AP569" s="63"/>
      <c r="AQ569" s="63"/>
      <c r="AR569" s="63"/>
      <c r="AS569" s="63"/>
      <c r="AT569" s="63"/>
      <c r="AU569" s="220"/>
      <c r="AV569" s="220"/>
      <c r="AW569" s="220"/>
    </row>
    <row r="570" spans="1:49" s="221" customFormat="1" ht="213.75" x14ac:dyDescent="0.25">
      <c r="A570" s="63">
        <v>156</v>
      </c>
      <c r="B570" s="63" t="str">
        <f t="shared" si="61"/>
        <v>3075-156</v>
      </c>
      <c r="C570" s="76" t="s">
        <v>1141</v>
      </c>
      <c r="D570" s="76" t="s">
        <v>1142</v>
      </c>
      <c r="E570" s="76" t="s">
        <v>1143</v>
      </c>
      <c r="F570" s="76" t="s">
        <v>1158</v>
      </c>
      <c r="G570" s="77" t="s">
        <v>1159</v>
      </c>
      <c r="H570" s="78" t="s">
        <v>1160</v>
      </c>
      <c r="I570" s="76" t="s">
        <v>1147</v>
      </c>
      <c r="J570" s="76" t="s">
        <v>1148</v>
      </c>
      <c r="K570" s="76">
        <v>801116</v>
      </c>
      <c r="L570" s="63" t="s">
        <v>1149</v>
      </c>
      <c r="M570" s="63" t="s">
        <v>58</v>
      </c>
      <c r="N570" s="63" t="s">
        <v>59</v>
      </c>
      <c r="O570" s="76" t="s">
        <v>1213</v>
      </c>
      <c r="P570" s="76" t="s">
        <v>1594</v>
      </c>
      <c r="Q570" s="83">
        <v>4120000</v>
      </c>
      <c r="R570" s="63">
        <v>1</v>
      </c>
      <c r="S570" s="80">
        <v>41200000</v>
      </c>
      <c r="T570" s="63" t="s">
        <v>888</v>
      </c>
      <c r="U570" s="63" t="s">
        <v>1163</v>
      </c>
      <c r="V570" s="81" t="s">
        <v>64</v>
      </c>
      <c r="W570" s="82">
        <v>9.75</v>
      </c>
      <c r="X570" s="63" t="s">
        <v>1612</v>
      </c>
      <c r="Y570" s="81">
        <v>43102</v>
      </c>
      <c r="Z570" s="83">
        <v>41200000</v>
      </c>
      <c r="AA570" s="84" t="s">
        <v>1528</v>
      </c>
      <c r="AB570" s="85">
        <v>210</v>
      </c>
      <c r="AC570" s="81">
        <v>43105</v>
      </c>
      <c r="AD570" s="86">
        <v>41200000</v>
      </c>
      <c r="AE570" s="87">
        <f t="shared" si="65"/>
        <v>0</v>
      </c>
      <c r="AF570" s="85">
        <v>261</v>
      </c>
      <c r="AG570" s="81">
        <v>43119</v>
      </c>
      <c r="AH570" s="86">
        <v>41200000</v>
      </c>
      <c r="AI570" s="63" t="s">
        <v>1613</v>
      </c>
      <c r="AJ570" s="63">
        <v>227</v>
      </c>
      <c r="AK570" s="87">
        <f t="shared" si="62"/>
        <v>0</v>
      </c>
      <c r="AL570" s="86">
        <v>30076000</v>
      </c>
      <c r="AM570" s="86">
        <f t="shared" si="63"/>
        <v>11124000</v>
      </c>
      <c r="AN570" s="63" t="s">
        <v>1155</v>
      </c>
      <c r="AO570" s="86">
        <f t="shared" si="64"/>
        <v>0</v>
      </c>
      <c r="AP570" s="63"/>
      <c r="AQ570" s="63"/>
      <c r="AR570" s="63"/>
      <c r="AS570" s="63"/>
      <c r="AT570" s="63"/>
      <c r="AU570" s="220"/>
      <c r="AV570" s="220"/>
      <c r="AW570" s="220"/>
    </row>
    <row r="571" spans="1:49" s="221" customFormat="1" ht="213.75" x14ac:dyDescent="0.25">
      <c r="A571" s="63">
        <v>157</v>
      </c>
      <c r="B571" s="63" t="str">
        <f t="shared" si="61"/>
        <v>3075-157</v>
      </c>
      <c r="C571" s="76" t="s">
        <v>1141</v>
      </c>
      <c r="D571" s="76" t="s">
        <v>1142</v>
      </c>
      <c r="E571" s="76" t="s">
        <v>1143</v>
      </c>
      <c r="F571" s="76" t="s">
        <v>1158</v>
      </c>
      <c r="G571" s="77" t="s">
        <v>1159</v>
      </c>
      <c r="H571" s="78" t="s">
        <v>1160</v>
      </c>
      <c r="I571" s="76" t="s">
        <v>1147</v>
      </c>
      <c r="J571" s="76" t="s">
        <v>1148</v>
      </c>
      <c r="K571" s="76">
        <v>801116</v>
      </c>
      <c r="L571" s="63" t="s">
        <v>1149</v>
      </c>
      <c r="M571" s="63" t="s">
        <v>58</v>
      </c>
      <c r="N571" s="63" t="s">
        <v>59</v>
      </c>
      <c r="O571" s="76" t="s">
        <v>1213</v>
      </c>
      <c r="P571" s="76" t="s">
        <v>1287</v>
      </c>
      <c r="Q571" s="83">
        <v>4120000</v>
      </c>
      <c r="R571" s="63">
        <v>1</v>
      </c>
      <c r="S571" s="80">
        <f>37080000-4892500-13046667-5927807-6341782</f>
        <v>6871244</v>
      </c>
      <c r="T571" s="63" t="s">
        <v>888</v>
      </c>
      <c r="U571" s="63" t="s">
        <v>1163</v>
      </c>
      <c r="V571" s="81" t="s">
        <v>64</v>
      </c>
      <c r="W571" s="82">
        <v>9</v>
      </c>
      <c r="X571" s="63" t="s">
        <v>1614</v>
      </c>
      <c r="Y571" s="81">
        <v>43102</v>
      </c>
      <c r="Z571" s="83">
        <f>37080000-31312000</f>
        <v>5768000</v>
      </c>
      <c r="AA571" s="84" t="s">
        <v>1528</v>
      </c>
      <c r="AB571" s="85">
        <v>411</v>
      </c>
      <c r="AC571" s="81">
        <v>43110</v>
      </c>
      <c r="AD571" s="86">
        <v>5768000</v>
      </c>
      <c r="AE571" s="87">
        <f t="shared" si="65"/>
        <v>1103244</v>
      </c>
      <c r="AF571" s="85">
        <v>377</v>
      </c>
      <c r="AG571" s="81">
        <v>43124</v>
      </c>
      <c r="AH571" s="86">
        <v>5768000</v>
      </c>
      <c r="AI571" s="63" t="s">
        <v>1615</v>
      </c>
      <c r="AJ571" s="63">
        <v>327</v>
      </c>
      <c r="AK571" s="87">
        <f t="shared" si="62"/>
        <v>0</v>
      </c>
      <c r="AL571" s="86">
        <v>5768000</v>
      </c>
      <c r="AM571" s="86">
        <f t="shared" si="63"/>
        <v>0</v>
      </c>
      <c r="AN571" s="63" t="s">
        <v>1155</v>
      </c>
      <c r="AO571" s="86">
        <f t="shared" si="64"/>
        <v>1103244</v>
      </c>
      <c r="AP571" s="63" t="s">
        <v>1616</v>
      </c>
      <c r="AQ571" s="63"/>
      <c r="AR571" s="63"/>
      <c r="AS571" s="63"/>
      <c r="AT571" s="63"/>
      <c r="AU571" s="220"/>
      <c r="AV571" s="220"/>
      <c r="AW571" s="220"/>
    </row>
    <row r="572" spans="1:49" s="221" customFormat="1" ht="285" x14ac:dyDescent="0.25">
      <c r="A572" s="63">
        <v>158</v>
      </c>
      <c r="B572" s="63" t="str">
        <f t="shared" si="61"/>
        <v>3075-158</v>
      </c>
      <c r="C572" s="76" t="s">
        <v>1141</v>
      </c>
      <c r="D572" s="76" t="s">
        <v>1142</v>
      </c>
      <c r="E572" s="76" t="s">
        <v>1143</v>
      </c>
      <c r="F572" s="76" t="s">
        <v>1158</v>
      </c>
      <c r="G572" s="77" t="s">
        <v>1159</v>
      </c>
      <c r="H572" s="78" t="s">
        <v>1160</v>
      </c>
      <c r="I572" s="76" t="s">
        <v>1147</v>
      </c>
      <c r="J572" s="76" t="s">
        <v>1148</v>
      </c>
      <c r="K572" s="76">
        <v>801116</v>
      </c>
      <c r="L572" s="63" t="s">
        <v>1149</v>
      </c>
      <c r="M572" s="63" t="s">
        <v>58</v>
      </c>
      <c r="N572" s="63" t="s">
        <v>59</v>
      </c>
      <c r="O572" s="76" t="s">
        <v>1213</v>
      </c>
      <c r="P572" s="76" t="s">
        <v>1298</v>
      </c>
      <c r="Q572" s="83">
        <v>4120000</v>
      </c>
      <c r="R572" s="63">
        <v>1</v>
      </c>
      <c r="S572" s="80">
        <v>32960000</v>
      </c>
      <c r="T572" s="63" t="s">
        <v>888</v>
      </c>
      <c r="U572" s="63" t="s">
        <v>1163</v>
      </c>
      <c r="V572" s="81" t="s">
        <v>64</v>
      </c>
      <c r="W572" s="82">
        <v>8</v>
      </c>
      <c r="X572" s="63" t="s">
        <v>1617</v>
      </c>
      <c r="Y572" s="81">
        <v>43102</v>
      </c>
      <c r="Z572" s="83">
        <v>32960000</v>
      </c>
      <c r="AA572" s="84" t="s">
        <v>1548</v>
      </c>
      <c r="AB572" s="85">
        <v>213</v>
      </c>
      <c r="AC572" s="81">
        <v>43105</v>
      </c>
      <c r="AD572" s="86">
        <v>32960000</v>
      </c>
      <c r="AE572" s="87">
        <f t="shared" si="65"/>
        <v>0</v>
      </c>
      <c r="AF572" s="85">
        <v>350</v>
      </c>
      <c r="AG572" s="81">
        <v>43123</v>
      </c>
      <c r="AH572" s="86">
        <v>32960000</v>
      </c>
      <c r="AI572" s="63" t="s">
        <v>1618</v>
      </c>
      <c r="AJ572" s="63">
        <v>296</v>
      </c>
      <c r="AK572" s="87">
        <f t="shared" si="62"/>
        <v>0</v>
      </c>
      <c r="AL572" s="86">
        <v>29801333</v>
      </c>
      <c r="AM572" s="86">
        <f t="shared" si="63"/>
        <v>3158667</v>
      </c>
      <c r="AN572" s="63" t="s">
        <v>1155</v>
      </c>
      <c r="AO572" s="86">
        <f t="shared" si="64"/>
        <v>0</v>
      </c>
      <c r="AP572" s="63"/>
      <c r="AQ572" s="63"/>
      <c r="AR572" s="63"/>
      <c r="AS572" s="63"/>
      <c r="AT572" s="63"/>
      <c r="AU572" s="220"/>
      <c r="AV572" s="220"/>
      <c r="AW572" s="220"/>
    </row>
    <row r="573" spans="1:49" s="221" customFormat="1" ht="242.25" x14ac:dyDescent="0.25">
      <c r="A573" s="63">
        <v>159</v>
      </c>
      <c r="B573" s="63" t="str">
        <f t="shared" si="61"/>
        <v>3075-159</v>
      </c>
      <c r="C573" s="76" t="s">
        <v>1141</v>
      </c>
      <c r="D573" s="76" t="s">
        <v>1142</v>
      </c>
      <c r="E573" s="76" t="s">
        <v>1143</v>
      </c>
      <c r="F573" s="76" t="s">
        <v>1158</v>
      </c>
      <c r="G573" s="77" t="s">
        <v>1159</v>
      </c>
      <c r="H573" s="78" t="s">
        <v>1160</v>
      </c>
      <c r="I573" s="76" t="s">
        <v>1147</v>
      </c>
      <c r="J573" s="76" t="s">
        <v>1148</v>
      </c>
      <c r="K573" s="76">
        <v>801116</v>
      </c>
      <c r="L573" s="63" t="s">
        <v>1149</v>
      </c>
      <c r="M573" s="63" t="s">
        <v>58</v>
      </c>
      <c r="N573" s="63" t="s">
        <v>59</v>
      </c>
      <c r="O573" s="76" t="s">
        <v>1213</v>
      </c>
      <c r="P573" s="76" t="s">
        <v>1272</v>
      </c>
      <c r="Q573" s="83">
        <v>1751000</v>
      </c>
      <c r="R573" s="63">
        <v>1</v>
      </c>
      <c r="S573" s="80">
        <v>19261000</v>
      </c>
      <c r="T573" s="63" t="s">
        <v>928</v>
      </c>
      <c r="U573" s="63" t="s">
        <v>1163</v>
      </c>
      <c r="V573" s="81" t="s">
        <v>64</v>
      </c>
      <c r="W573" s="82">
        <v>11</v>
      </c>
      <c r="X573" s="63" t="s">
        <v>1619</v>
      </c>
      <c r="Y573" s="81">
        <v>43102</v>
      </c>
      <c r="Z573" s="83">
        <v>19261000</v>
      </c>
      <c r="AA573" s="84" t="s">
        <v>1537</v>
      </c>
      <c r="AB573" s="85">
        <v>215</v>
      </c>
      <c r="AC573" s="81">
        <v>43105</v>
      </c>
      <c r="AD573" s="86">
        <v>19261000</v>
      </c>
      <c r="AE573" s="87">
        <f t="shared" si="65"/>
        <v>0</v>
      </c>
      <c r="AF573" s="85">
        <v>288</v>
      </c>
      <c r="AG573" s="81">
        <v>43122</v>
      </c>
      <c r="AH573" s="86">
        <v>19261000</v>
      </c>
      <c r="AI573" s="63" t="s">
        <v>1620</v>
      </c>
      <c r="AJ573" s="63">
        <v>257</v>
      </c>
      <c r="AK573" s="87">
        <f t="shared" si="62"/>
        <v>0</v>
      </c>
      <c r="AL573" s="86">
        <v>12782300</v>
      </c>
      <c r="AM573" s="86">
        <f t="shared" si="63"/>
        <v>6478700</v>
      </c>
      <c r="AN573" s="63" t="s">
        <v>1155</v>
      </c>
      <c r="AO573" s="86">
        <f t="shared" si="64"/>
        <v>0</v>
      </c>
      <c r="AP573" s="63"/>
      <c r="AQ573" s="63"/>
      <c r="AR573" s="63"/>
      <c r="AS573" s="63"/>
      <c r="AT573" s="63"/>
      <c r="AU573" s="220"/>
      <c r="AV573" s="220"/>
      <c r="AW573" s="220"/>
    </row>
    <row r="574" spans="1:49" s="221" customFormat="1" ht="256.5" x14ac:dyDescent="0.25">
      <c r="A574" s="63">
        <v>160</v>
      </c>
      <c r="B574" s="63" t="str">
        <f t="shared" si="61"/>
        <v>3075-160</v>
      </c>
      <c r="C574" s="76" t="s">
        <v>1141</v>
      </c>
      <c r="D574" s="76" t="s">
        <v>1142</v>
      </c>
      <c r="E574" s="76" t="s">
        <v>1143</v>
      </c>
      <c r="F574" s="76" t="s">
        <v>1158</v>
      </c>
      <c r="G574" s="77" t="s">
        <v>1159</v>
      </c>
      <c r="H574" s="78" t="s">
        <v>1160</v>
      </c>
      <c r="I574" s="76" t="s">
        <v>1147</v>
      </c>
      <c r="J574" s="76" t="s">
        <v>1148</v>
      </c>
      <c r="K574" s="76">
        <v>801116</v>
      </c>
      <c r="L574" s="63" t="s">
        <v>1149</v>
      </c>
      <c r="M574" s="63" t="s">
        <v>58</v>
      </c>
      <c r="N574" s="63" t="s">
        <v>59</v>
      </c>
      <c r="O574" s="76" t="s">
        <v>1213</v>
      </c>
      <c r="P574" s="76" t="s">
        <v>1621</v>
      </c>
      <c r="Q574" s="83">
        <v>3326900</v>
      </c>
      <c r="R574" s="63">
        <v>1</v>
      </c>
      <c r="S574" s="80">
        <v>23288300</v>
      </c>
      <c r="T574" s="63" t="s">
        <v>928</v>
      </c>
      <c r="U574" s="63" t="s">
        <v>1163</v>
      </c>
      <c r="V574" s="81" t="s">
        <v>64</v>
      </c>
      <c r="W574" s="82">
        <v>7</v>
      </c>
      <c r="X574" s="63" t="s">
        <v>1622</v>
      </c>
      <c r="Y574" s="81">
        <v>43102</v>
      </c>
      <c r="Z574" s="83">
        <v>23288300</v>
      </c>
      <c r="AA574" s="84" t="s">
        <v>1623</v>
      </c>
      <c r="AB574" s="85">
        <v>359</v>
      </c>
      <c r="AC574" s="81">
        <v>43110</v>
      </c>
      <c r="AD574" s="86">
        <v>23288300</v>
      </c>
      <c r="AE574" s="87">
        <f t="shared" si="65"/>
        <v>0</v>
      </c>
      <c r="AF574" s="85">
        <v>466</v>
      </c>
      <c r="AG574" s="81">
        <v>43126</v>
      </c>
      <c r="AH574" s="86">
        <v>23288300</v>
      </c>
      <c r="AI574" s="63" t="s">
        <v>1624</v>
      </c>
      <c r="AJ574" s="63">
        <v>393</v>
      </c>
      <c r="AK574" s="87">
        <f t="shared" si="62"/>
        <v>0</v>
      </c>
      <c r="AL574" s="86">
        <v>23288300</v>
      </c>
      <c r="AM574" s="86">
        <f t="shared" si="63"/>
        <v>0</v>
      </c>
      <c r="AN574" s="63" t="s">
        <v>1155</v>
      </c>
      <c r="AO574" s="86">
        <f t="shared" si="64"/>
        <v>0</v>
      </c>
      <c r="AP574" s="63"/>
      <c r="AQ574" s="63"/>
      <c r="AR574" s="63"/>
      <c r="AS574" s="63"/>
      <c r="AT574" s="63"/>
      <c r="AU574" s="220"/>
      <c r="AV574" s="220"/>
      <c r="AW574" s="220"/>
    </row>
    <row r="575" spans="1:49" s="221" customFormat="1" ht="356.25" x14ac:dyDescent="0.25">
      <c r="A575" s="63">
        <v>161</v>
      </c>
      <c r="B575" s="63" t="str">
        <f t="shared" si="61"/>
        <v>3075-161</v>
      </c>
      <c r="C575" s="76" t="s">
        <v>1141</v>
      </c>
      <c r="D575" s="76" t="s">
        <v>1142</v>
      </c>
      <c r="E575" s="76" t="s">
        <v>1143</v>
      </c>
      <c r="F575" s="76" t="s">
        <v>1158</v>
      </c>
      <c r="G575" s="77" t="s">
        <v>1159</v>
      </c>
      <c r="H575" s="78" t="s">
        <v>1160</v>
      </c>
      <c r="I575" s="76" t="s">
        <v>1147</v>
      </c>
      <c r="J575" s="76" t="s">
        <v>1148</v>
      </c>
      <c r="K575" s="76">
        <v>801116</v>
      </c>
      <c r="L575" s="63" t="s">
        <v>1149</v>
      </c>
      <c r="M575" s="63" t="s">
        <v>58</v>
      </c>
      <c r="N575" s="63" t="s">
        <v>59</v>
      </c>
      <c r="O575" s="76" t="s">
        <v>1213</v>
      </c>
      <c r="P575" s="76" t="s">
        <v>1625</v>
      </c>
      <c r="Q575" s="83">
        <v>3399000</v>
      </c>
      <c r="R575" s="63">
        <v>1</v>
      </c>
      <c r="S575" s="80">
        <v>33990000</v>
      </c>
      <c r="T575" s="63" t="s">
        <v>888</v>
      </c>
      <c r="U575" s="63" t="s">
        <v>1163</v>
      </c>
      <c r="V575" s="81" t="s">
        <v>64</v>
      </c>
      <c r="W575" s="82">
        <v>9.5</v>
      </c>
      <c r="X575" s="63" t="s">
        <v>1626</v>
      </c>
      <c r="Y575" s="81">
        <v>43102</v>
      </c>
      <c r="Z575" s="83">
        <v>33990000</v>
      </c>
      <c r="AA575" s="84" t="s">
        <v>1577</v>
      </c>
      <c r="AB575" s="85">
        <v>412</v>
      </c>
      <c r="AC575" s="81">
        <v>43110</v>
      </c>
      <c r="AD575" s="86">
        <v>33990000</v>
      </c>
      <c r="AE575" s="87">
        <f t="shared" si="65"/>
        <v>0</v>
      </c>
      <c r="AF575" s="85">
        <v>299</v>
      </c>
      <c r="AG575" s="81">
        <v>43122</v>
      </c>
      <c r="AH575" s="86">
        <v>33990000</v>
      </c>
      <c r="AI575" s="63" t="s">
        <v>1627</v>
      </c>
      <c r="AJ575" s="63">
        <v>273</v>
      </c>
      <c r="AK575" s="87">
        <f t="shared" si="62"/>
        <v>0</v>
      </c>
      <c r="AL575" s="86">
        <v>24699400</v>
      </c>
      <c r="AM575" s="86">
        <f t="shared" si="63"/>
        <v>9290600</v>
      </c>
      <c r="AN575" s="63" t="s">
        <v>1155</v>
      </c>
      <c r="AO575" s="86">
        <f t="shared" si="64"/>
        <v>0</v>
      </c>
      <c r="AP575" s="63"/>
      <c r="AQ575" s="63"/>
      <c r="AR575" s="63"/>
      <c r="AS575" s="63"/>
      <c r="AT575" s="63"/>
      <c r="AU575" s="220"/>
      <c r="AV575" s="220"/>
      <c r="AW575" s="220"/>
    </row>
    <row r="576" spans="1:49" s="221" customFormat="1" ht="242.25" x14ac:dyDescent="0.25">
      <c r="A576" s="63">
        <v>162</v>
      </c>
      <c r="B576" s="63" t="str">
        <f t="shared" si="61"/>
        <v>3075-162</v>
      </c>
      <c r="C576" s="76" t="s">
        <v>1141</v>
      </c>
      <c r="D576" s="76" t="s">
        <v>1142</v>
      </c>
      <c r="E576" s="76" t="s">
        <v>1143</v>
      </c>
      <c r="F576" s="76" t="s">
        <v>1158</v>
      </c>
      <c r="G576" s="77" t="s">
        <v>1159</v>
      </c>
      <c r="H576" s="78" t="s">
        <v>1160</v>
      </c>
      <c r="I576" s="76" t="s">
        <v>1147</v>
      </c>
      <c r="J576" s="76" t="s">
        <v>1148</v>
      </c>
      <c r="K576" s="76">
        <v>801116</v>
      </c>
      <c r="L576" s="63" t="s">
        <v>1149</v>
      </c>
      <c r="M576" s="63" t="s">
        <v>58</v>
      </c>
      <c r="N576" s="63" t="s">
        <v>59</v>
      </c>
      <c r="O576" s="76" t="s">
        <v>1213</v>
      </c>
      <c r="P576" s="76" t="s">
        <v>1272</v>
      </c>
      <c r="Q576" s="83">
        <v>1751000</v>
      </c>
      <c r="R576" s="63">
        <v>1</v>
      </c>
      <c r="S576" s="80">
        <v>10506000</v>
      </c>
      <c r="T576" s="63" t="s">
        <v>928</v>
      </c>
      <c r="U576" s="63" t="s">
        <v>1163</v>
      </c>
      <c r="V576" s="81" t="s">
        <v>64</v>
      </c>
      <c r="W576" s="82">
        <v>6</v>
      </c>
      <c r="X576" s="63" t="s">
        <v>1628</v>
      </c>
      <c r="Y576" s="81">
        <v>43102</v>
      </c>
      <c r="Z576" s="83">
        <v>10506000</v>
      </c>
      <c r="AA576" s="84" t="s">
        <v>1537</v>
      </c>
      <c r="AB576" s="85">
        <v>361</v>
      </c>
      <c r="AC576" s="81">
        <v>43110</v>
      </c>
      <c r="AD576" s="86">
        <v>10506000</v>
      </c>
      <c r="AE576" s="87">
        <f t="shared" si="65"/>
        <v>0</v>
      </c>
      <c r="AF576" s="85">
        <v>367</v>
      </c>
      <c r="AG576" s="81">
        <v>43124</v>
      </c>
      <c r="AH576" s="86">
        <v>10506000</v>
      </c>
      <c r="AI576" s="63" t="s">
        <v>1629</v>
      </c>
      <c r="AJ576" s="63">
        <v>267</v>
      </c>
      <c r="AK576" s="87">
        <f t="shared" si="62"/>
        <v>0</v>
      </c>
      <c r="AL576" s="86">
        <v>10506000</v>
      </c>
      <c r="AM576" s="86">
        <f t="shared" si="63"/>
        <v>0</v>
      </c>
      <c r="AN576" s="63" t="s">
        <v>1155</v>
      </c>
      <c r="AO576" s="86">
        <f t="shared" si="64"/>
        <v>0</v>
      </c>
      <c r="AP576" s="63"/>
      <c r="AQ576" s="63"/>
      <c r="AR576" s="63"/>
      <c r="AS576" s="63"/>
      <c r="AT576" s="63"/>
      <c r="AU576" s="220"/>
      <c r="AV576" s="220"/>
      <c r="AW576" s="220"/>
    </row>
    <row r="577" spans="1:49" s="221" customFormat="1" ht="256.5" x14ac:dyDescent="0.25">
      <c r="A577" s="63">
        <v>163</v>
      </c>
      <c r="B577" s="63" t="str">
        <f t="shared" si="61"/>
        <v>3075-163</v>
      </c>
      <c r="C577" s="76" t="s">
        <v>1141</v>
      </c>
      <c r="D577" s="76" t="s">
        <v>1142</v>
      </c>
      <c r="E577" s="76" t="s">
        <v>1143</v>
      </c>
      <c r="F577" s="76" t="s">
        <v>1158</v>
      </c>
      <c r="G577" s="77" t="s">
        <v>1159</v>
      </c>
      <c r="H577" s="78" t="s">
        <v>1160</v>
      </c>
      <c r="I577" s="76" t="s">
        <v>1147</v>
      </c>
      <c r="J577" s="76" t="s">
        <v>1148</v>
      </c>
      <c r="K577" s="76">
        <v>801116</v>
      </c>
      <c r="L577" s="63" t="s">
        <v>1149</v>
      </c>
      <c r="M577" s="63" t="s">
        <v>58</v>
      </c>
      <c r="N577" s="63" t="s">
        <v>59</v>
      </c>
      <c r="O577" s="76" t="s">
        <v>1213</v>
      </c>
      <c r="P577" s="76" t="s">
        <v>1630</v>
      </c>
      <c r="Q577" s="83">
        <v>3553500</v>
      </c>
      <c r="R577" s="63">
        <v>1</v>
      </c>
      <c r="S577" s="80">
        <v>31981500</v>
      </c>
      <c r="T577" s="63" t="s">
        <v>888</v>
      </c>
      <c r="U577" s="63" t="s">
        <v>1163</v>
      </c>
      <c r="V577" s="81" t="s">
        <v>64</v>
      </c>
      <c r="W577" s="82">
        <v>9</v>
      </c>
      <c r="X577" s="63" t="s">
        <v>1631</v>
      </c>
      <c r="Y577" s="81">
        <v>43102</v>
      </c>
      <c r="Z577" s="83">
        <v>31981500</v>
      </c>
      <c r="AA577" s="84" t="s">
        <v>1623</v>
      </c>
      <c r="AB577" s="85">
        <v>220</v>
      </c>
      <c r="AC577" s="81">
        <v>43105</v>
      </c>
      <c r="AD577" s="86">
        <v>31981500</v>
      </c>
      <c r="AE577" s="87">
        <f t="shared" si="65"/>
        <v>0</v>
      </c>
      <c r="AF577" s="85">
        <v>298</v>
      </c>
      <c r="AG577" s="81">
        <v>43122</v>
      </c>
      <c r="AH577" s="86">
        <v>31981500</v>
      </c>
      <c r="AI577" s="63" t="s">
        <v>1632</v>
      </c>
      <c r="AJ577" s="63">
        <v>271</v>
      </c>
      <c r="AK577" s="87">
        <f t="shared" si="62"/>
        <v>0</v>
      </c>
      <c r="AL577" s="86">
        <v>25822100</v>
      </c>
      <c r="AM577" s="86">
        <f t="shared" si="63"/>
        <v>6159400</v>
      </c>
      <c r="AN577" s="63" t="s">
        <v>1155</v>
      </c>
      <c r="AO577" s="86">
        <f t="shared" si="64"/>
        <v>0</v>
      </c>
      <c r="AP577" s="63"/>
      <c r="AQ577" s="63"/>
      <c r="AR577" s="63"/>
      <c r="AS577" s="63"/>
      <c r="AT577" s="63"/>
      <c r="AU577" s="220"/>
      <c r="AV577" s="220"/>
      <c r="AW577" s="220"/>
    </row>
    <row r="578" spans="1:49" s="221" customFormat="1" ht="213.75" x14ac:dyDescent="0.25">
      <c r="A578" s="63">
        <v>164</v>
      </c>
      <c r="B578" s="63" t="str">
        <f t="shared" si="61"/>
        <v>3075-164</v>
      </c>
      <c r="C578" s="76" t="s">
        <v>1141</v>
      </c>
      <c r="D578" s="76" t="s">
        <v>1142</v>
      </c>
      <c r="E578" s="76" t="s">
        <v>1143</v>
      </c>
      <c r="F578" s="76" t="s">
        <v>1158</v>
      </c>
      <c r="G578" s="77" t="s">
        <v>1159</v>
      </c>
      <c r="H578" s="78" t="s">
        <v>1160</v>
      </c>
      <c r="I578" s="76" t="s">
        <v>1147</v>
      </c>
      <c r="J578" s="76" t="s">
        <v>1148</v>
      </c>
      <c r="K578" s="76">
        <v>801116</v>
      </c>
      <c r="L578" s="63" t="s">
        <v>1149</v>
      </c>
      <c r="M578" s="63" t="s">
        <v>58</v>
      </c>
      <c r="N578" s="63" t="s">
        <v>59</v>
      </c>
      <c r="O578" s="76" t="s">
        <v>1213</v>
      </c>
      <c r="P578" s="76" t="s">
        <v>1348</v>
      </c>
      <c r="Q578" s="83">
        <v>4120000</v>
      </c>
      <c r="R578" s="63">
        <v>1</v>
      </c>
      <c r="S578" s="80">
        <v>41200000</v>
      </c>
      <c r="T578" s="63" t="s">
        <v>888</v>
      </c>
      <c r="U578" s="63" t="s">
        <v>1163</v>
      </c>
      <c r="V578" s="81" t="s">
        <v>64</v>
      </c>
      <c r="W578" s="82">
        <v>9.75</v>
      </c>
      <c r="X578" s="63" t="s">
        <v>1633</v>
      </c>
      <c r="Y578" s="81">
        <v>43102</v>
      </c>
      <c r="Z578" s="83">
        <v>41200000</v>
      </c>
      <c r="AA578" s="84" t="s">
        <v>1552</v>
      </c>
      <c r="AB578" s="85">
        <v>223</v>
      </c>
      <c r="AC578" s="81">
        <v>43105</v>
      </c>
      <c r="AD578" s="86">
        <v>41200000</v>
      </c>
      <c r="AE578" s="87">
        <f t="shared" si="65"/>
        <v>0</v>
      </c>
      <c r="AF578" s="85">
        <v>123</v>
      </c>
      <c r="AG578" s="81">
        <v>43117</v>
      </c>
      <c r="AH578" s="86">
        <v>41200000</v>
      </c>
      <c r="AI578" s="63" t="s">
        <v>1634</v>
      </c>
      <c r="AJ578" s="63">
        <v>116</v>
      </c>
      <c r="AK578" s="87">
        <f t="shared" si="62"/>
        <v>0</v>
      </c>
      <c r="AL578" s="86">
        <v>30076000</v>
      </c>
      <c r="AM578" s="86">
        <f t="shared" si="63"/>
        <v>11124000</v>
      </c>
      <c r="AN578" s="63" t="s">
        <v>1155</v>
      </c>
      <c r="AO578" s="86">
        <f t="shared" si="64"/>
        <v>0</v>
      </c>
      <c r="AP578" s="63"/>
      <c r="AQ578" s="63"/>
      <c r="AR578" s="63"/>
      <c r="AS578" s="63"/>
      <c r="AT578" s="63"/>
      <c r="AU578" s="220"/>
      <c r="AV578" s="220"/>
      <c r="AW578" s="220"/>
    </row>
    <row r="579" spans="1:49" s="221" customFormat="1" ht="213.75" x14ac:dyDescent="0.25">
      <c r="A579" s="63">
        <v>165</v>
      </c>
      <c r="B579" s="63" t="str">
        <f t="shared" si="61"/>
        <v>3075-165</v>
      </c>
      <c r="C579" s="76" t="s">
        <v>1141</v>
      </c>
      <c r="D579" s="76" t="s">
        <v>1142</v>
      </c>
      <c r="E579" s="76" t="s">
        <v>1143</v>
      </c>
      <c r="F579" s="76" t="s">
        <v>1158</v>
      </c>
      <c r="G579" s="77" t="s">
        <v>1159</v>
      </c>
      <c r="H579" s="78" t="s">
        <v>1160</v>
      </c>
      <c r="I579" s="76" t="s">
        <v>1147</v>
      </c>
      <c r="J579" s="76" t="s">
        <v>1148</v>
      </c>
      <c r="K579" s="76">
        <v>801116</v>
      </c>
      <c r="L579" s="63" t="s">
        <v>1149</v>
      </c>
      <c r="M579" s="63" t="s">
        <v>58</v>
      </c>
      <c r="N579" s="63" t="s">
        <v>59</v>
      </c>
      <c r="O579" s="76" t="s">
        <v>1213</v>
      </c>
      <c r="P579" s="76" t="s">
        <v>1276</v>
      </c>
      <c r="Q579" s="83">
        <v>2472000</v>
      </c>
      <c r="R579" s="63">
        <v>1</v>
      </c>
      <c r="S579" s="80">
        <v>27192000</v>
      </c>
      <c r="T579" s="63" t="s">
        <v>928</v>
      </c>
      <c r="U579" s="63" t="s">
        <v>1163</v>
      </c>
      <c r="V579" s="81" t="s">
        <v>64</v>
      </c>
      <c r="W579" s="82">
        <v>11</v>
      </c>
      <c r="X579" s="63" t="s">
        <v>1635</v>
      </c>
      <c r="Y579" s="81">
        <v>43102</v>
      </c>
      <c r="Z579" s="83">
        <v>27192000</v>
      </c>
      <c r="AA579" s="84" t="s">
        <v>1570</v>
      </c>
      <c r="AB579" s="85">
        <v>232</v>
      </c>
      <c r="AC579" s="81">
        <v>43105</v>
      </c>
      <c r="AD579" s="86">
        <v>27192000</v>
      </c>
      <c r="AE579" s="87">
        <f t="shared" si="65"/>
        <v>0</v>
      </c>
      <c r="AF579" s="85">
        <v>412</v>
      </c>
      <c r="AG579" s="81">
        <v>43124</v>
      </c>
      <c r="AH579" s="86">
        <v>27192000</v>
      </c>
      <c r="AI579" s="63" t="s">
        <v>1636</v>
      </c>
      <c r="AJ579" s="63">
        <v>334</v>
      </c>
      <c r="AK579" s="87">
        <f t="shared" si="62"/>
        <v>0</v>
      </c>
      <c r="AL579" s="86">
        <v>17798400</v>
      </c>
      <c r="AM579" s="86">
        <f t="shared" si="63"/>
        <v>9393600</v>
      </c>
      <c r="AN579" s="63" t="s">
        <v>1155</v>
      </c>
      <c r="AO579" s="86">
        <f t="shared" si="64"/>
        <v>0</v>
      </c>
      <c r="AP579" s="63"/>
      <c r="AQ579" s="63"/>
      <c r="AR579" s="63"/>
      <c r="AS579" s="63"/>
      <c r="AT579" s="63"/>
      <c r="AU579" s="220"/>
      <c r="AV579" s="220"/>
      <c r="AW579" s="220"/>
    </row>
    <row r="580" spans="1:49" s="221" customFormat="1" ht="242.25" x14ac:dyDescent="0.25">
      <c r="A580" s="63">
        <v>166</v>
      </c>
      <c r="B580" s="63" t="str">
        <f t="shared" si="61"/>
        <v>3075-166</v>
      </c>
      <c r="C580" s="76" t="s">
        <v>1141</v>
      </c>
      <c r="D580" s="76" t="s">
        <v>1142</v>
      </c>
      <c r="E580" s="76" t="s">
        <v>1143</v>
      </c>
      <c r="F580" s="76" t="s">
        <v>1158</v>
      </c>
      <c r="G580" s="77" t="s">
        <v>1159</v>
      </c>
      <c r="H580" s="78" t="s">
        <v>1160</v>
      </c>
      <c r="I580" s="76" t="s">
        <v>1147</v>
      </c>
      <c r="J580" s="76" t="s">
        <v>1148</v>
      </c>
      <c r="K580" s="76">
        <v>801116</v>
      </c>
      <c r="L580" s="63" t="s">
        <v>1149</v>
      </c>
      <c r="M580" s="63" t="s">
        <v>58</v>
      </c>
      <c r="N580" s="63" t="s">
        <v>59</v>
      </c>
      <c r="O580" s="76" t="s">
        <v>1213</v>
      </c>
      <c r="P580" s="76" t="s">
        <v>1637</v>
      </c>
      <c r="Q580" s="83">
        <v>7210000</v>
      </c>
      <c r="R580" s="63">
        <v>1</v>
      </c>
      <c r="S580" s="80">
        <v>57680000</v>
      </c>
      <c r="T580" s="63" t="s">
        <v>888</v>
      </c>
      <c r="U580" s="63" t="s">
        <v>1163</v>
      </c>
      <c r="V580" s="81" t="s">
        <v>64</v>
      </c>
      <c r="W580" s="82">
        <v>8.3333333333333339</v>
      </c>
      <c r="X580" s="63" t="s">
        <v>1638</v>
      </c>
      <c r="Y580" s="81">
        <v>43103</v>
      </c>
      <c r="Z580" s="83">
        <v>57680000</v>
      </c>
      <c r="AA580" s="84" t="s">
        <v>1236</v>
      </c>
      <c r="AB580" s="85">
        <v>234</v>
      </c>
      <c r="AC580" s="81">
        <v>43105</v>
      </c>
      <c r="AD580" s="86">
        <v>57680000</v>
      </c>
      <c r="AE580" s="87">
        <f t="shared" si="65"/>
        <v>0</v>
      </c>
      <c r="AF580" s="85">
        <v>247</v>
      </c>
      <c r="AG580" s="81">
        <v>43119</v>
      </c>
      <c r="AH580" s="86">
        <v>57680000</v>
      </c>
      <c r="AI580" s="63" t="s">
        <v>1639</v>
      </c>
      <c r="AJ580" s="63">
        <v>214</v>
      </c>
      <c r="AK580" s="87">
        <f t="shared" si="62"/>
        <v>0</v>
      </c>
      <c r="AL580" s="86">
        <v>53354000</v>
      </c>
      <c r="AM580" s="86">
        <f t="shared" si="63"/>
        <v>4326000</v>
      </c>
      <c r="AN580" s="63" t="s">
        <v>1155</v>
      </c>
      <c r="AO580" s="86">
        <f t="shared" si="64"/>
        <v>0</v>
      </c>
      <c r="AP580" s="63"/>
      <c r="AQ580" s="63"/>
      <c r="AR580" s="63"/>
      <c r="AS580" s="63"/>
      <c r="AT580" s="63"/>
      <c r="AU580" s="220"/>
      <c r="AV580" s="220"/>
      <c r="AW580" s="220"/>
    </row>
    <row r="581" spans="1:49" s="221" customFormat="1" ht="399" x14ac:dyDescent="0.25">
      <c r="A581" s="63">
        <v>167</v>
      </c>
      <c r="B581" s="63" t="str">
        <f t="shared" si="61"/>
        <v>3075-167</v>
      </c>
      <c r="C581" s="76" t="s">
        <v>1141</v>
      </c>
      <c r="D581" s="76" t="s">
        <v>1142</v>
      </c>
      <c r="E581" s="76" t="s">
        <v>1143</v>
      </c>
      <c r="F581" s="76" t="s">
        <v>1158</v>
      </c>
      <c r="G581" s="77" t="s">
        <v>1159</v>
      </c>
      <c r="H581" s="78" t="s">
        <v>1160</v>
      </c>
      <c r="I581" s="76" t="s">
        <v>1147</v>
      </c>
      <c r="J581" s="76" t="s">
        <v>1148</v>
      </c>
      <c r="K581" s="76">
        <v>801116</v>
      </c>
      <c r="L581" s="63" t="s">
        <v>1149</v>
      </c>
      <c r="M581" s="63" t="s">
        <v>58</v>
      </c>
      <c r="N581" s="63" t="s">
        <v>59</v>
      </c>
      <c r="O581" s="76" t="s">
        <v>1213</v>
      </c>
      <c r="P581" s="76" t="s">
        <v>1640</v>
      </c>
      <c r="Q581" s="83">
        <v>5665000</v>
      </c>
      <c r="R581" s="63">
        <v>1</v>
      </c>
      <c r="S581" s="80">
        <v>0</v>
      </c>
      <c r="T581" s="63"/>
      <c r="U581" s="63"/>
      <c r="V581" s="81"/>
      <c r="W581" s="82"/>
      <c r="X581" s="63" t="s">
        <v>1641</v>
      </c>
      <c r="Y581" s="81">
        <v>43103</v>
      </c>
      <c r="Z581" s="83">
        <v>0</v>
      </c>
      <c r="AA581" s="84" t="s">
        <v>1642</v>
      </c>
      <c r="AB581" s="85"/>
      <c r="AC581" s="81"/>
      <c r="AD581" s="86"/>
      <c r="AE581" s="87">
        <f t="shared" si="65"/>
        <v>0</v>
      </c>
      <c r="AF581" s="85"/>
      <c r="AG581" s="81"/>
      <c r="AH581" s="86"/>
      <c r="AI581" s="63"/>
      <c r="AJ581" s="63"/>
      <c r="AK581" s="87">
        <f t="shared" si="62"/>
        <v>0</v>
      </c>
      <c r="AL581" s="86"/>
      <c r="AM581" s="86">
        <f t="shared" si="63"/>
        <v>0</v>
      </c>
      <c r="AN581" s="63" t="s">
        <v>1155</v>
      </c>
      <c r="AO581" s="86">
        <f t="shared" si="64"/>
        <v>0</v>
      </c>
      <c r="AP581" s="63"/>
      <c r="AQ581" s="63"/>
      <c r="AR581" s="63" t="s">
        <v>1157</v>
      </c>
      <c r="AS581" s="63"/>
      <c r="AT581" s="63"/>
      <c r="AU581" s="220"/>
      <c r="AV581" s="220"/>
      <c r="AW581" s="220"/>
    </row>
    <row r="582" spans="1:49" s="221" customFormat="1" ht="242.25" x14ac:dyDescent="0.25">
      <c r="A582" s="63">
        <v>168</v>
      </c>
      <c r="B582" s="63" t="str">
        <f t="shared" si="61"/>
        <v>3075-168</v>
      </c>
      <c r="C582" s="76" t="s">
        <v>1141</v>
      </c>
      <c r="D582" s="76" t="s">
        <v>1142</v>
      </c>
      <c r="E582" s="76" t="s">
        <v>1143</v>
      </c>
      <c r="F582" s="76" t="s">
        <v>1158</v>
      </c>
      <c r="G582" s="77" t="s">
        <v>1159</v>
      </c>
      <c r="H582" s="78" t="s">
        <v>1160</v>
      </c>
      <c r="I582" s="76" t="s">
        <v>1147</v>
      </c>
      <c r="J582" s="76" t="s">
        <v>1148</v>
      </c>
      <c r="K582" s="76">
        <v>801116</v>
      </c>
      <c r="L582" s="63" t="s">
        <v>1149</v>
      </c>
      <c r="M582" s="63" t="s">
        <v>58</v>
      </c>
      <c r="N582" s="63" t="s">
        <v>59</v>
      </c>
      <c r="O582" s="76" t="s">
        <v>1213</v>
      </c>
      <c r="P582" s="76" t="s">
        <v>1643</v>
      </c>
      <c r="Q582" s="83">
        <v>8240000</v>
      </c>
      <c r="R582" s="63">
        <v>1</v>
      </c>
      <c r="S582" s="80">
        <v>82400000</v>
      </c>
      <c r="T582" s="63" t="s">
        <v>888</v>
      </c>
      <c r="U582" s="63" t="s">
        <v>1163</v>
      </c>
      <c r="V582" s="81" t="s">
        <v>64</v>
      </c>
      <c r="W582" s="82">
        <v>10.333333333333334</v>
      </c>
      <c r="X582" s="63" t="s">
        <v>1644</v>
      </c>
      <c r="Y582" s="81">
        <v>43103</v>
      </c>
      <c r="Z582" s="83">
        <v>82400000</v>
      </c>
      <c r="AA582" s="84" t="s">
        <v>1645</v>
      </c>
      <c r="AB582" s="85">
        <v>338</v>
      </c>
      <c r="AC582" s="81">
        <v>43110</v>
      </c>
      <c r="AD582" s="86">
        <v>82400000</v>
      </c>
      <c r="AE582" s="87">
        <f t="shared" si="65"/>
        <v>0</v>
      </c>
      <c r="AF582" s="85">
        <v>190</v>
      </c>
      <c r="AG582" s="81">
        <v>43118</v>
      </c>
      <c r="AH582" s="86">
        <v>82400000</v>
      </c>
      <c r="AI582" s="63" t="s">
        <v>1646</v>
      </c>
      <c r="AJ582" s="63">
        <v>167</v>
      </c>
      <c r="AK582" s="87">
        <f t="shared" si="62"/>
        <v>0</v>
      </c>
      <c r="AL582" s="86">
        <v>60976000</v>
      </c>
      <c r="AM582" s="86">
        <f t="shared" si="63"/>
        <v>21424000</v>
      </c>
      <c r="AN582" s="63" t="s">
        <v>1155</v>
      </c>
      <c r="AO582" s="86">
        <f t="shared" si="64"/>
        <v>0</v>
      </c>
      <c r="AP582" s="63"/>
      <c r="AQ582" s="63"/>
      <c r="AR582" s="63"/>
      <c r="AS582" s="63"/>
      <c r="AT582" s="63"/>
      <c r="AU582" s="220"/>
      <c r="AV582" s="220"/>
      <c r="AW582" s="220"/>
    </row>
    <row r="583" spans="1:49" s="221" customFormat="1" ht="199.5" x14ac:dyDescent="0.25">
      <c r="A583" s="63">
        <v>169</v>
      </c>
      <c r="B583" s="63" t="str">
        <f t="shared" si="61"/>
        <v>3075-169</v>
      </c>
      <c r="C583" s="76" t="s">
        <v>1141</v>
      </c>
      <c r="D583" s="76" t="s">
        <v>1142</v>
      </c>
      <c r="E583" s="76" t="s">
        <v>1143</v>
      </c>
      <c r="F583" s="76" t="s">
        <v>1158</v>
      </c>
      <c r="G583" s="77" t="s">
        <v>1159</v>
      </c>
      <c r="H583" s="78" t="s">
        <v>1160</v>
      </c>
      <c r="I583" s="76" t="s">
        <v>1147</v>
      </c>
      <c r="J583" s="76" t="s">
        <v>1148</v>
      </c>
      <c r="K583" s="76">
        <v>801116</v>
      </c>
      <c r="L583" s="63" t="s">
        <v>1149</v>
      </c>
      <c r="M583" s="63" t="s">
        <v>58</v>
      </c>
      <c r="N583" s="63" t="s">
        <v>59</v>
      </c>
      <c r="O583" s="76" t="s">
        <v>1213</v>
      </c>
      <c r="P583" s="76" t="s">
        <v>1647</v>
      </c>
      <c r="Q583" s="83">
        <v>8240000</v>
      </c>
      <c r="R583" s="63">
        <v>1</v>
      </c>
      <c r="S583" s="80">
        <f>90640000-14270650-15949550-10763500</f>
        <v>49656300</v>
      </c>
      <c r="T583" s="63" t="s">
        <v>888</v>
      </c>
      <c r="U583" s="63" t="s">
        <v>1163</v>
      </c>
      <c r="V583" s="81" t="s">
        <v>64</v>
      </c>
      <c r="W583" s="82">
        <v>11</v>
      </c>
      <c r="X583" s="63" t="s">
        <v>1648</v>
      </c>
      <c r="Y583" s="81">
        <v>43103</v>
      </c>
      <c r="Z583" s="83">
        <f>90640000-45320000</f>
        <v>45320000</v>
      </c>
      <c r="AA583" s="84" t="s">
        <v>1645</v>
      </c>
      <c r="AB583" s="85">
        <v>342</v>
      </c>
      <c r="AC583" s="81">
        <v>43110</v>
      </c>
      <c r="AD583" s="86">
        <v>45320000</v>
      </c>
      <c r="AE583" s="87">
        <f>AD583-Z583</f>
        <v>0</v>
      </c>
      <c r="AF583" s="85">
        <v>415</v>
      </c>
      <c r="AG583" s="81">
        <v>43124</v>
      </c>
      <c r="AH583" s="86">
        <v>45320000</v>
      </c>
      <c r="AI583" s="63" t="s">
        <v>1649</v>
      </c>
      <c r="AJ583" s="63">
        <v>336</v>
      </c>
      <c r="AK583" s="87">
        <f t="shared" si="62"/>
        <v>0</v>
      </c>
      <c r="AL583" s="86">
        <v>45320000</v>
      </c>
      <c r="AM583" s="86">
        <f t="shared" si="63"/>
        <v>0</v>
      </c>
      <c r="AN583" s="63" t="s">
        <v>1155</v>
      </c>
      <c r="AO583" s="86">
        <f t="shared" si="64"/>
        <v>4336300</v>
      </c>
      <c r="AP583" s="63"/>
      <c r="AQ583" s="63"/>
      <c r="AR583" s="63"/>
      <c r="AS583" s="63"/>
      <c r="AT583" s="63"/>
      <c r="AU583" s="220"/>
      <c r="AV583" s="220"/>
      <c r="AW583" s="220"/>
    </row>
    <row r="584" spans="1:49" s="221" customFormat="1" ht="242.25" x14ac:dyDescent="0.25">
      <c r="A584" s="63">
        <v>170</v>
      </c>
      <c r="B584" s="63" t="str">
        <f t="shared" si="61"/>
        <v>3075-170</v>
      </c>
      <c r="C584" s="76" t="s">
        <v>1141</v>
      </c>
      <c r="D584" s="76" t="s">
        <v>1142</v>
      </c>
      <c r="E584" s="76" t="s">
        <v>1143</v>
      </c>
      <c r="F584" s="76" t="s">
        <v>1158</v>
      </c>
      <c r="G584" s="77" t="s">
        <v>1159</v>
      </c>
      <c r="H584" s="78" t="s">
        <v>1160</v>
      </c>
      <c r="I584" s="76" t="s">
        <v>1147</v>
      </c>
      <c r="J584" s="76" t="s">
        <v>1148</v>
      </c>
      <c r="K584" s="76">
        <v>801116</v>
      </c>
      <c r="L584" s="63" t="s">
        <v>1149</v>
      </c>
      <c r="M584" s="63" t="s">
        <v>58</v>
      </c>
      <c r="N584" s="63" t="s">
        <v>59</v>
      </c>
      <c r="O584" s="76" t="s">
        <v>1213</v>
      </c>
      <c r="P584" s="76" t="s">
        <v>1637</v>
      </c>
      <c r="Q584" s="83">
        <v>7210000</v>
      </c>
      <c r="R584" s="63">
        <v>1</v>
      </c>
      <c r="S584" s="80">
        <f>64890000-15949550-10535183-192267</f>
        <v>38213000</v>
      </c>
      <c r="T584" s="63" t="s">
        <v>888</v>
      </c>
      <c r="U584" s="63" t="s">
        <v>1163</v>
      </c>
      <c r="V584" s="81" t="s">
        <v>64</v>
      </c>
      <c r="W584" s="82">
        <v>9</v>
      </c>
      <c r="X584" s="63" t="s">
        <v>1650</v>
      </c>
      <c r="Y584" s="81">
        <v>43103</v>
      </c>
      <c r="Z584" s="83">
        <f>64890000-26677000</f>
        <v>38213000</v>
      </c>
      <c r="AA584" s="84" t="s">
        <v>1236</v>
      </c>
      <c r="AB584" s="85">
        <v>350</v>
      </c>
      <c r="AC584" s="81">
        <v>43110</v>
      </c>
      <c r="AD584" s="86">
        <v>38213000</v>
      </c>
      <c r="AE584" s="87">
        <f t="shared" ref="AE584:AE647" si="66">S584-Z584</f>
        <v>0</v>
      </c>
      <c r="AF584" s="85">
        <v>262</v>
      </c>
      <c r="AG584" s="81">
        <v>43119</v>
      </c>
      <c r="AH584" s="86">
        <v>38213000</v>
      </c>
      <c r="AI584" s="63" t="s">
        <v>1651</v>
      </c>
      <c r="AJ584" s="63">
        <v>228</v>
      </c>
      <c r="AK584" s="87">
        <f t="shared" si="62"/>
        <v>0</v>
      </c>
      <c r="AL584" s="86">
        <v>38213000</v>
      </c>
      <c r="AM584" s="86">
        <f t="shared" si="63"/>
        <v>0</v>
      </c>
      <c r="AN584" s="63" t="s">
        <v>1155</v>
      </c>
      <c r="AO584" s="86">
        <f t="shared" si="64"/>
        <v>0</v>
      </c>
      <c r="AP584" s="63"/>
      <c r="AQ584" s="63"/>
      <c r="AR584" s="63"/>
      <c r="AS584" s="63"/>
      <c r="AT584" s="63"/>
      <c r="AU584" s="220"/>
      <c r="AV584" s="220"/>
      <c r="AW584" s="220"/>
    </row>
    <row r="585" spans="1:49" s="221" customFormat="1" ht="242.25" x14ac:dyDescent="0.25">
      <c r="A585" s="63">
        <v>171</v>
      </c>
      <c r="B585" s="63" t="str">
        <f t="shared" si="61"/>
        <v>3075-171</v>
      </c>
      <c r="C585" s="76" t="s">
        <v>1141</v>
      </c>
      <c r="D585" s="76" t="s">
        <v>1142</v>
      </c>
      <c r="E585" s="76" t="s">
        <v>1143</v>
      </c>
      <c r="F585" s="76" t="s">
        <v>1158</v>
      </c>
      <c r="G585" s="77" t="s">
        <v>1159</v>
      </c>
      <c r="H585" s="78" t="s">
        <v>1160</v>
      </c>
      <c r="I585" s="76" t="s">
        <v>1147</v>
      </c>
      <c r="J585" s="76" t="s">
        <v>1148</v>
      </c>
      <c r="K585" s="76">
        <v>801116</v>
      </c>
      <c r="L585" s="63" t="s">
        <v>1149</v>
      </c>
      <c r="M585" s="63" t="s">
        <v>58</v>
      </c>
      <c r="N585" s="63" t="s">
        <v>59</v>
      </c>
      <c r="O585" s="76" t="s">
        <v>1213</v>
      </c>
      <c r="P585" s="76" t="s">
        <v>1637</v>
      </c>
      <c r="Q585" s="83">
        <v>4532000</v>
      </c>
      <c r="R585" s="63">
        <v>1</v>
      </c>
      <c r="S585" s="80">
        <v>0</v>
      </c>
      <c r="T585" s="63"/>
      <c r="U585" s="63"/>
      <c r="V585" s="81"/>
      <c r="W585" s="82"/>
      <c r="X585" s="63" t="s">
        <v>1652</v>
      </c>
      <c r="Y585" s="81">
        <v>43103</v>
      </c>
      <c r="Z585" s="83">
        <v>0</v>
      </c>
      <c r="AA585" s="84" t="s">
        <v>1653</v>
      </c>
      <c r="AB585" s="85"/>
      <c r="AC585" s="81"/>
      <c r="AD585" s="86"/>
      <c r="AE585" s="87">
        <f t="shared" si="66"/>
        <v>0</v>
      </c>
      <c r="AF585" s="85"/>
      <c r="AG585" s="81"/>
      <c r="AH585" s="86"/>
      <c r="AI585" s="63"/>
      <c r="AJ585" s="63"/>
      <c r="AK585" s="87">
        <f t="shared" si="62"/>
        <v>0</v>
      </c>
      <c r="AL585" s="86"/>
      <c r="AM585" s="86">
        <f t="shared" si="63"/>
        <v>0</v>
      </c>
      <c r="AN585" s="63" t="s">
        <v>1155</v>
      </c>
      <c r="AO585" s="86">
        <f t="shared" si="64"/>
        <v>0</v>
      </c>
      <c r="AP585" s="63"/>
      <c r="AQ585" s="63"/>
      <c r="AR585" s="63" t="s">
        <v>1157</v>
      </c>
      <c r="AS585" s="63"/>
      <c r="AT585" s="63"/>
      <c r="AU585" s="220"/>
      <c r="AV585" s="220"/>
      <c r="AW585" s="220"/>
    </row>
    <row r="586" spans="1:49" s="221" customFormat="1" ht="242.25" x14ac:dyDescent="0.25">
      <c r="A586" s="63">
        <v>172</v>
      </c>
      <c r="B586" s="63" t="str">
        <f t="shared" si="61"/>
        <v>3075-172</v>
      </c>
      <c r="C586" s="76" t="s">
        <v>1141</v>
      </c>
      <c r="D586" s="76" t="s">
        <v>1142</v>
      </c>
      <c r="E586" s="76" t="s">
        <v>1143</v>
      </c>
      <c r="F586" s="76" t="s">
        <v>1158</v>
      </c>
      <c r="G586" s="77" t="s">
        <v>1159</v>
      </c>
      <c r="H586" s="78" t="s">
        <v>1160</v>
      </c>
      <c r="I586" s="76" t="s">
        <v>1147</v>
      </c>
      <c r="J586" s="76" t="s">
        <v>1148</v>
      </c>
      <c r="K586" s="76">
        <v>801116</v>
      </c>
      <c r="L586" s="63" t="s">
        <v>1149</v>
      </c>
      <c r="M586" s="63" t="s">
        <v>58</v>
      </c>
      <c r="N586" s="63" t="s">
        <v>59</v>
      </c>
      <c r="O586" s="76" t="s">
        <v>1213</v>
      </c>
      <c r="P586" s="76" t="s">
        <v>1637</v>
      </c>
      <c r="Q586" s="83">
        <v>4532000</v>
      </c>
      <c r="R586" s="63">
        <v>1</v>
      </c>
      <c r="S586" s="80">
        <v>31724000</v>
      </c>
      <c r="T586" s="63" t="s">
        <v>888</v>
      </c>
      <c r="U586" s="63" t="s">
        <v>1163</v>
      </c>
      <c r="V586" s="81" t="s">
        <v>64</v>
      </c>
      <c r="W586" s="82">
        <v>7</v>
      </c>
      <c r="X586" s="63" t="s">
        <v>1654</v>
      </c>
      <c r="Y586" s="81">
        <v>43103</v>
      </c>
      <c r="Z586" s="83">
        <v>31724000</v>
      </c>
      <c r="AA586" s="84" t="s">
        <v>1653</v>
      </c>
      <c r="AB586" s="85">
        <v>352</v>
      </c>
      <c r="AC586" s="81">
        <v>43110</v>
      </c>
      <c r="AD586" s="86">
        <v>31724000</v>
      </c>
      <c r="AE586" s="87">
        <f t="shared" si="66"/>
        <v>0</v>
      </c>
      <c r="AF586" s="85">
        <v>398</v>
      </c>
      <c r="AG586" s="81">
        <v>43124</v>
      </c>
      <c r="AH586" s="86">
        <v>31724000</v>
      </c>
      <c r="AI586" s="63" t="s">
        <v>685</v>
      </c>
      <c r="AJ586" s="63">
        <v>319</v>
      </c>
      <c r="AK586" s="87">
        <f t="shared" si="62"/>
        <v>0</v>
      </c>
      <c r="AL586" s="86">
        <v>31724000</v>
      </c>
      <c r="AM586" s="86">
        <f t="shared" si="63"/>
        <v>0</v>
      </c>
      <c r="AN586" s="63" t="s">
        <v>1155</v>
      </c>
      <c r="AO586" s="86">
        <f t="shared" si="64"/>
        <v>0</v>
      </c>
      <c r="AP586" s="63"/>
      <c r="AQ586" s="63"/>
      <c r="AR586" s="63"/>
      <c r="AS586" s="63"/>
      <c r="AT586" s="63"/>
      <c r="AU586" s="220"/>
      <c r="AV586" s="220"/>
      <c r="AW586" s="220"/>
    </row>
    <row r="587" spans="1:49" s="221" customFormat="1" ht="228" x14ac:dyDescent="0.25">
      <c r="A587" s="63">
        <v>173</v>
      </c>
      <c r="B587" s="63" t="str">
        <f t="shared" si="61"/>
        <v>3075-173</v>
      </c>
      <c r="C587" s="76" t="s">
        <v>1141</v>
      </c>
      <c r="D587" s="76" t="s">
        <v>1142</v>
      </c>
      <c r="E587" s="76" t="s">
        <v>1143</v>
      </c>
      <c r="F587" s="76" t="s">
        <v>1158</v>
      </c>
      <c r="G587" s="77" t="s">
        <v>1159</v>
      </c>
      <c r="H587" s="78" t="s">
        <v>1160</v>
      </c>
      <c r="I587" s="76" t="s">
        <v>1147</v>
      </c>
      <c r="J587" s="76" t="s">
        <v>1148</v>
      </c>
      <c r="K587" s="76">
        <v>801116</v>
      </c>
      <c r="L587" s="63" t="s">
        <v>1149</v>
      </c>
      <c r="M587" s="63" t="s">
        <v>58</v>
      </c>
      <c r="N587" s="63" t="s">
        <v>59</v>
      </c>
      <c r="O587" s="76" t="s">
        <v>1213</v>
      </c>
      <c r="P587" s="76" t="s">
        <v>1655</v>
      </c>
      <c r="Q587" s="83">
        <v>8240000</v>
      </c>
      <c r="R587" s="63">
        <v>1</v>
      </c>
      <c r="S587" s="80">
        <v>82400000</v>
      </c>
      <c r="T587" s="63" t="s">
        <v>888</v>
      </c>
      <c r="U587" s="63" t="s">
        <v>1163</v>
      </c>
      <c r="V587" s="81" t="s">
        <v>64</v>
      </c>
      <c r="W587" s="82">
        <v>10.333333333333334</v>
      </c>
      <c r="X587" s="63" t="s">
        <v>1656</v>
      </c>
      <c r="Y587" s="81">
        <v>43103</v>
      </c>
      <c r="Z587" s="83">
        <v>82400000</v>
      </c>
      <c r="AA587" s="84" t="s">
        <v>1645</v>
      </c>
      <c r="AB587" s="85">
        <v>356</v>
      </c>
      <c r="AC587" s="81">
        <v>43110</v>
      </c>
      <c r="AD587" s="86">
        <v>82400000</v>
      </c>
      <c r="AE587" s="87">
        <f t="shared" si="66"/>
        <v>0</v>
      </c>
      <c r="AF587" s="85">
        <v>347</v>
      </c>
      <c r="AG587" s="81">
        <v>43123</v>
      </c>
      <c r="AH587" s="86">
        <v>82400000</v>
      </c>
      <c r="AI587" s="63" t="s">
        <v>1657</v>
      </c>
      <c r="AJ587" s="63">
        <v>349</v>
      </c>
      <c r="AK587" s="87">
        <f t="shared" si="62"/>
        <v>0</v>
      </c>
      <c r="AL587" s="86">
        <v>56581333</v>
      </c>
      <c r="AM587" s="86">
        <f t="shared" si="63"/>
        <v>25818667</v>
      </c>
      <c r="AN587" s="63" t="s">
        <v>1155</v>
      </c>
      <c r="AO587" s="86">
        <f t="shared" si="64"/>
        <v>0</v>
      </c>
      <c r="AP587" s="63"/>
      <c r="AQ587" s="63"/>
      <c r="AR587" s="63"/>
      <c r="AS587" s="63"/>
      <c r="AT587" s="63"/>
      <c r="AU587" s="220"/>
      <c r="AV587" s="220"/>
      <c r="AW587" s="220"/>
    </row>
    <row r="588" spans="1:49" s="221" customFormat="1" ht="228" x14ac:dyDescent="0.25">
      <c r="A588" s="63">
        <v>174</v>
      </c>
      <c r="B588" s="63" t="str">
        <f t="shared" si="61"/>
        <v>3075-174</v>
      </c>
      <c r="C588" s="76" t="s">
        <v>1141</v>
      </c>
      <c r="D588" s="76" t="s">
        <v>1142</v>
      </c>
      <c r="E588" s="76" t="s">
        <v>1143</v>
      </c>
      <c r="F588" s="76" t="s">
        <v>1158</v>
      </c>
      <c r="G588" s="77" t="s">
        <v>1159</v>
      </c>
      <c r="H588" s="78" t="s">
        <v>1160</v>
      </c>
      <c r="I588" s="76" t="s">
        <v>1147</v>
      </c>
      <c r="J588" s="76" t="s">
        <v>1148</v>
      </c>
      <c r="K588" s="76">
        <v>801116</v>
      </c>
      <c r="L588" s="63" t="s">
        <v>1149</v>
      </c>
      <c r="M588" s="63" t="s">
        <v>58</v>
      </c>
      <c r="N588" s="63" t="s">
        <v>59</v>
      </c>
      <c r="O588" s="76" t="s">
        <v>1213</v>
      </c>
      <c r="P588" s="76" t="s">
        <v>1658</v>
      </c>
      <c r="Q588" s="83">
        <v>8240000</v>
      </c>
      <c r="R588" s="63">
        <v>1</v>
      </c>
      <c r="S588" s="80">
        <f>90640000-17939167-22831667-4911227</f>
        <v>44957939</v>
      </c>
      <c r="T588" s="63" t="s">
        <v>888</v>
      </c>
      <c r="U588" s="63" t="s">
        <v>1163</v>
      </c>
      <c r="V588" s="81" t="s">
        <v>64</v>
      </c>
      <c r="W588" s="82">
        <v>10.5</v>
      </c>
      <c r="X588" s="63" t="s">
        <v>1659</v>
      </c>
      <c r="Y588" s="81">
        <v>43103</v>
      </c>
      <c r="Z588" s="83">
        <f>90640000-46144000</f>
        <v>44496000</v>
      </c>
      <c r="AA588" s="84" t="s">
        <v>1541</v>
      </c>
      <c r="AB588" s="85">
        <v>320</v>
      </c>
      <c r="AC588" s="81">
        <v>43110</v>
      </c>
      <c r="AD588" s="86">
        <v>44496000</v>
      </c>
      <c r="AE588" s="87">
        <f t="shared" si="66"/>
        <v>461939</v>
      </c>
      <c r="AF588" s="85">
        <v>380</v>
      </c>
      <c r="AG588" s="81">
        <v>43124</v>
      </c>
      <c r="AH588" s="86">
        <v>44496000</v>
      </c>
      <c r="AI588" s="63" t="s">
        <v>1660</v>
      </c>
      <c r="AJ588" s="63">
        <v>306</v>
      </c>
      <c r="AK588" s="87">
        <f t="shared" si="62"/>
        <v>0</v>
      </c>
      <c r="AL588" s="86">
        <v>44496000</v>
      </c>
      <c r="AM588" s="86">
        <f t="shared" si="63"/>
        <v>0</v>
      </c>
      <c r="AN588" s="63" t="s">
        <v>1155</v>
      </c>
      <c r="AO588" s="86">
        <f t="shared" si="64"/>
        <v>461939</v>
      </c>
      <c r="AP588" s="63"/>
      <c r="AQ588" s="63"/>
      <c r="AR588" s="63"/>
      <c r="AS588" s="63"/>
      <c r="AT588" s="63"/>
      <c r="AU588" s="220"/>
      <c r="AV588" s="220"/>
      <c r="AW588" s="220"/>
    </row>
    <row r="589" spans="1:49" s="221" customFormat="1" ht="313.5" x14ac:dyDescent="0.25">
      <c r="A589" s="63">
        <v>175</v>
      </c>
      <c r="B589" s="63" t="str">
        <f t="shared" si="61"/>
        <v>3075-175</v>
      </c>
      <c r="C589" s="76" t="s">
        <v>1141</v>
      </c>
      <c r="D589" s="76" t="s">
        <v>1142</v>
      </c>
      <c r="E589" s="76" t="s">
        <v>1143</v>
      </c>
      <c r="F589" s="76" t="s">
        <v>1158</v>
      </c>
      <c r="G589" s="77" t="s">
        <v>1159</v>
      </c>
      <c r="H589" s="78" t="s">
        <v>1160</v>
      </c>
      <c r="I589" s="76" t="s">
        <v>1147</v>
      </c>
      <c r="J589" s="76" t="s">
        <v>1148</v>
      </c>
      <c r="K589" s="76">
        <v>801116</v>
      </c>
      <c r="L589" s="63" t="s">
        <v>1149</v>
      </c>
      <c r="M589" s="63" t="s">
        <v>58</v>
      </c>
      <c r="N589" s="63" t="s">
        <v>59</v>
      </c>
      <c r="O589" s="76" t="s">
        <v>1213</v>
      </c>
      <c r="P589" s="76" t="s">
        <v>1661</v>
      </c>
      <c r="Q589" s="83">
        <v>5036700</v>
      </c>
      <c r="R589" s="63">
        <v>1</v>
      </c>
      <c r="S589" s="80">
        <v>50367000</v>
      </c>
      <c r="T589" s="63" t="s">
        <v>888</v>
      </c>
      <c r="U589" s="63" t="s">
        <v>1163</v>
      </c>
      <c r="V589" s="81" t="s">
        <v>64</v>
      </c>
      <c r="W589" s="82">
        <v>10</v>
      </c>
      <c r="X589" s="63" t="s">
        <v>1662</v>
      </c>
      <c r="Y589" s="81">
        <v>43103</v>
      </c>
      <c r="Z589" s="83">
        <v>50367000</v>
      </c>
      <c r="AA589" s="84" t="s">
        <v>1642</v>
      </c>
      <c r="AB589" s="85">
        <v>347</v>
      </c>
      <c r="AC589" s="81">
        <v>43110</v>
      </c>
      <c r="AD589" s="86">
        <v>50367000</v>
      </c>
      <c r="AE589" s="87">
        <f t="shared" si="66"/>
        <v>0</v>
      </c>
      <c r="AF589" s="85">
        <v>402</v>
      </c>
      <c r="AG589" s="81">
        <v>43124</v>
      </c>
      <c r="AH589" s="86">
        <v>50367000</v>
      </c>
      <c r="AI589" s="63" t="s">
        <v>1663</v>
      </c>
      <c r="AJ589" s="63">
        <v>301</v>
      </c>
      <c r="AK589" s="87">
        <f t="shared" si="62"/>
        <v>0</v>
      </c>
      <c r="AL589" s="86">
        <v>33578000</v>
      </c>
      <c r="AM589" s="86">
        <f t="shared" si="63"/>
        <v>16789000</v>
      </c>
      <c r="AN589" s="63" t="s">
        <v>1155</v>
      </c>
      <c r="AO589" s="86">
        <f t="shared" si="64"/>
        <v>0</v>
      </c>
      <c r="AP589" s="63"/>
      <c r="AQ589" s="63"/>
      <c r="AR589" s="63"/>
      <c r="AS589" s="63"/>
      <c r="AT589" s="63"/>
      <c r="AU589" s="220"/>
      <c r="AV589" s="220"/>
      <c r="AW589" s="220"/>
    </row>
    <row r="590" spans="1:49" s="221" customFormat="1" ht="213.75" x14ac:dyDescent="0.25">
      <c r="A590" s="63">
        <v>176</v>
      </c>
      <c r="B590" s="63" t="str">
        <f t="shared" si="61"/>
        <v>3075-176</v>
      </c>
      <c r="C590" s="76" t="s">
        <v>1141</v>
      </c>
      <c r="D590" s="76" t="s">
        <v>1142</v>
      </c>
      <c r="E590" s="76" t="s">
        <v>1143</v>
      </c>
      <c r="F590" s="76" t="s">
        <v>1158</v>
      </c>
      <c r="G590" s="77" t="s">
        <v>1159</v>
      </c>
      <c r="H590" s="78" t="s">
        <v>1160</v>
      </c>
      <c r="I590" s="76" t="s">
        <v>1147</v>
      </c>
      <c r="J590" s="76" t="s">
        <v>1148</v>
      </c>
      <c r="K590" s="76">
        <v>801116</v>
      </c>
      <c r="L590" s="63" t="s">
        <v>1149</v>
      </c>
      <c r="M590" s="63" t="s">
        <v>58</v>
      </c>
      <c r="N590" s="63" t="s">
        <v>59</v>
      </c>
      <c r="O590" s="76" t="s">
        <v>1213</v>
      </c>
      <c r="P590" s="76" t="s">
        <v>1664</v>
      </c>
      <c r="Q590" s="83">
        <v>2472000</v>
      </c>
      <c r="R590" s="63">
        <v>1</v>
      </c>
      <c r="S590" s="80">
        <v>27192000</v>
      </c>
      <c r="T590" s="63" t="s">
        <v>928</v>
      </c>
      <c r="U590" s="63" t="s">
        <v>1163</v>
      </c>
      <c r="V590" s="81" t="s">
        <v>64</v>
      </c>
      <c r="W590" s="82">
        <v>11</v>
      </c>
      <c r="X590" s="63" t="s">
        <v>1665</v>
      </c>
      <c r="Y590" s="81">
        <v>43103</v>
      </c>
      <c r="Z590" s="83">
        <v>27192000</v>
      </c>
      <c r="AA590" s="84" t="s">
        <v>1570</v>
      </c>
      <c r="AB590" s="85">
        <v>365</v>
      </c>
      <c r="AC590" s="81">
        <v>43110</v>
      </c>
      <c r="AD590" s="86">
        <v>27192000</v>
      </c>
      <c r="AE590" s="87">
        <f t="shared" si="66"/>
        <v>0</v>
      </c>
      <c r="AF590" s="85">
        <v>341</v>
      </c>
      <c r="AG590" s="81">
        <v>43123</v>
      </c>
      <c r="AH590" s="86">
        <v>27192000</v>
      </c>
      <c r="AI590" s="63" t="s">
        <v>1666</v>
      </c>
      <c r="AJ590" s="63">
        <v>292</v>
      </c>
      <c r="AK590" s="87">
        <f t="shared" si="62"/>
        <v>0</v>
      </c>
      <c r="AL590" s="86">
        <v>17880800</v>
      </c>
      <c r="AM590" s="86">
        <f t="shared" si="63"/>
        <v>9311200</v>
      </c>
      <c r="AN590" s="63" t="s">
        <v>1155</v>
      </c>
      <c r="AO590" s="86">
        <f t="shared" si="64"/>
        <v>0</v>
      </c>
      <c r="AP590" s="63"/>
      <c r="AQ590" s="63"/>
      <c r="AR590" s="63"/>
      <c r="AS590" s="63"/>
      <c r="AT590" s="63"/>
      <c r="AU590" s="220"/>
      <c r="AV590" s="220"/>
      <c r="AW590" s="220"/>
    </row>
    <row r="591" spans="1:49" s="221" customFormat="1" ht="409.5" x14ac:dyDescent="0.25">
      <c r="A591" s="63">
        <v>177</v>
      </c>
      <c r="B591" s="63" t="str">
        <f t="shared" si="61"/>
        <v>3075-177</v>
      </c>
      <c r="C591" s="76" t="s">
        <v>1141</v>
      </c>
      <c r="D591" s="76" t="s">
        <v>1142</v>
      </c>
      <c r="E591" s="76" t="s">
        <v>1424</v>
      </c>
      <c r="F591" s="76" t="s">
        <v>1158</v>
      </c>
      <c r="G591" s="77" t="s">
        <v>1159</v>
      </c>
      <c r="H591" s="78" t="s">
        <v>1160</v>
      </c>
      <c r="I591" s="76" t="s">
        <v>1147</v>
      </c>
      <c r="J591" s="76" t="s">
        <v>1148</v>
      </c>
      <c r="K591" s="76">
        <v>801116</v>
      </c>
      <c r="L591" s="63" t="s">
        <v>1149</v>
      </c>
      <c r="M591" s="63" t="s">
        <v>58</v>
      </c>
      <c r="N591" s="63" t="s">
        <v>59</v>
      </c>
      <c r="O591" s="76" t="s">
        <v>1213</v>
      </c>
      <c r="P591" s="76" t="s">
        <v>1667</v>
      </c>
      <c r="Q591" s="83">
        <v>4120000</v>
      </c>
      <c r="R591" s="63">
        <v>1</v>
      </c>
      <c r="S591" s="80">
        <v>24720000</v>
      </c>
      <c r="T591" s="63" t="s">
        <v>888</v>
      </c>
      <c r="U591" s="63" t="s">
        <v>1163</v>
      </c>
      <c r="V591" s="81" t="s">
        <v>64</v>
      </c>
      <c r="W591" s="82">
        <v>6</v>
      </c>
      <c r="X591" s="63" t="s">
        <v>1668</v>
      </c>
      <c r="Y591" s="81">
        <v>43103</v>
      </c>
      <c r="Z591" s="83">
        <v>24720000</v>
      </c>
      <c r="AA591" s="84" t="s">
        <v>1669</v>
      </c>
      <c r="AB591" s="85">
        <v>366</v>
      </c>
      <c r="AC591" s="81">
        <v>43110</v>
      </c>
      <c r="AD591" s="86">
        <v>24720000</v>
      </c>
      <c r="AE591" s="86">
        <f t="shared" si="66"/>
        <v>0</v>
      </c>
      <c r="AF591" s="85">
        <v>286</v>
      </c>
      <c r="AG591" s="81">
        <v>43122</v>
      </c>
      <c r="AH591" s="86">
        <v>24720000</v>
      </c>
      <c r="AI591" s="63" t="s">
        <v>1670</v>
      </c>
      <c r="AJ591" s="63">
        <v>256</v>
      </c>
      <c r="AK591" s="87">
        <f t="shared" si="62"/>
        <v>0</v>
      </c>
      <c r="AL591" s="86">
        <v>24720000</v>
      </c>
      <c r="AM591" s="86">
        <f t="shared" si="63"/>
        <v>0</v>
      </c>
      <c r="AN591" s="63" t="s">
        <v>1155</v>
      </c>
      <c r="AO591" s="86">
        <f t="shared" si="64"/>
        <v>0</v>
      </c>
      <c r="AP591" s="63"/>
      <c r="AQ591" s="63"/>
      <c r="AR591" s="63"/>
      <c r="AS591" s="63"/>
      <c r="AT591" s="63"/>
      <c r="AU591" s="220"/>
      <c r="AV591" s="220"/>
      <c r="AW591" s="220"/>
    </row>
    <row r="592" spans="1:49" s="221" customFormat="1" ht="256.5" x14ac:dyDescent="0.25">
      <c r="A592" s="63">
        <v>178</v>
      </c>
      <c r="B592" s="63" t="str">
        <f t="shared" si="61"/>
        <v>3075-178</v>
      </c>
      <c r="C592" s="76" t="s">
        <v>1141</v>
      </c>
      <c r="D592" s="76" t="s">
        <v>1142</v>
      </c>
      <c r="E592" s="76" t="s">
        <v>1143</v>
      </c>
      <c r="F592" s="76" t="s">
        <v>1158</v>
      </c>
      <c r="G592" s="77" t="s">
        <v>1159</v>
      </c>
      <c r="H592" s="78" t="s">
        <v>1160</v>
      </c>
      <c r="I592" s="76" t="s">
        <v>1147</v>
      </c>
      <c r="J592" s="76" t="s">
        <v>1148</v>
      </c>
      <c r="K592" s="76">
        <v>801116</v>
      </c>
      <c r="L592" s="63" t="s">
        <v>1149</v>
      </c>
      <c r="M592" s="63" t="s">
        <v>58</v>
      </c>
      <c r="N592" s="63" t="s">
        <v>59</v>
      </c>
      <c r="O592" s="76" t="s">
        <v>1213</v>
      </c>
      <c r="P592" s="76" t="s">
        <v>1671</v>
      </c>
      <c r="Q592" s="83">
        <v>7210000</v>
      </c>
      <c r="R592" s="63">
        <v>1</v>
      </c>
      <c r="S592" s="80">
        <v>43260000</v>
      </c>
      <c r="T592" s="63" t="s">
        <v>888</v>
      </c>
      <c r="U592" s="63" t="s">
        <v>1163</v>
      </c>
      <c r="V592" s="81" t="s">
        <v>64</v>
      </c>
      <c r="W592" s="82">
        <v>6</v>
      </c>
      <c r="X592" s="63" t="s">
        <v>1672</v>
      </c>
      <c r="Y592" s="81">
        <v>43195</v>
      </c>
      <c r="Z592" s="83">
        <v>43260000</v>
      </c>
      <c r="AA592" s="84" t="s">
        <v>1236</v>
      </c>
      <c r="AB592" s="85">
        <v>393</v>
      </c>
      <c r="AC592" s="81">
        <v>43110</v>
      </c>
      <c r="AD592" s="86">
        <v>43260000</v>
      </c>
      <c r="AE592" s="87">
        <f t="shared" si="66"/>
        <v>0</v>
      </c>
      <c r="AF592" s="85">
        <v>90</v>
      </c>
      <c r="AG592" s="81">
        <v>43116</v>
      </c>
      <c r="AH592" s="86">
        <v>43260000</v>
      </c>
      <c r="AI592" s="63" t="s">
        <v>1673</v>
      </c>
      <c r="AJ592" s="63">
        <v>78</v>
      </c>
      <c r="AK592" s="87">
        <f t="shared" si="62"/>
        <v>0</v>
      </c>
      <c r="AL592" s="86">
        <v>43260000</v>
      </c>
      <c r="AM592" s="86">
        <f t="shared" si="63"/>
        <v>0</v>
      </c>
      <c r="AN592" s="63" t="s">
        <v>1155</v>
      </c>
      <c r="AO592" s="86">
        <f t="shared" si="64"/>
        <v>0</v>
      </c>
      <c r="AP592" s="63"/>
      <c r="AQ592" s="63"/>
      <c r="AR592" s="63"/>
      <c r="AS592" s="63"/>
      <c r="AT592" s="63"/>
      <c r="AU592" s="220"/>
      <c r="AV592" s="220"/>
      <c r="AW592" s="220"/>
    </row>
    <row r="593" spans="1:49" s="221" customFormat="1" ht="409.5" x14ac:dyDescent="0.25">
      <c r="A593" s="63">
        <v>179</v>
      </c>
      <c r="B593" s="63" t="str">
        <f t="shared" si="61"/>
        <v>3075-179</v>
      </c>
      <c r="C593" s="76" t="s">
        <v>1141</v>
      </c>
      <c r="D593" s="76" t="s">
        <v>1142</v>
      </c>
      <c r="E593" s="76" t="s">
        <v>1424</v>
      </c>
      <c r="F593" s="76" t="s">
        <v>1158</v>
      </c>
      <c r="G593" s="77" t="s">
        <v>1159</v>
      </c>
      <c r="H593" s="101" t="s">
        <v>1160</v>
      </c>
      <c r="I593" s="76" t="s">
        <v>1147</v>
      </c>
      <c r="J593" s="76" t="s">
        <v>1148</v>
      </c>
      <c r="K593" s="76">
        <v>801116</v>
      </c>
      <c r="L593" s="63" t="s">
        <v>1149</v>
      </c>
      <c r="M593" s="63" t="s">
        <v>58</v>
      </c>
      <c r="N593" s="63" t="s">
        <v>59</v>
      </c>
      <c r="O593" s="76" t="s">
        <v>1213</v>
      </c>
      <c r="P593" s="63" t="s">
        <v>1674</v>
      </c>
      <c r="Q593" s="83">
        <v>3399000</v>
      </c>
      <c r="R593" s="63">
        <v>1</v>
      </c>
      <c r="S593" s="80">
        <v>16995000</v>
      </c>
      <c r="T593" s="63" t="s">
        <v>888</v>
      </c>
      <c r="U593" s="63" t="s">
        <v>1163</v>
      </c>
      <c r="V593" s="81" t="s">
        <v>64</v>
      </c>
      <c r="W593" s="82">
        <v>5</v>
      </c>
      <c r="X593" s="63" t="s">
        <v>1675</v>
      </c>
      <c r="Y593" s="81">
        <v>43104</v>
      </c>
      <c r="Z593" s="83">
        <v>16995000</v>
      </c>
      <c r="AA593" s="84" t="s">
        <v>1676</v>
      </c>
      <c r="AB593" s="85">
        <v>369</v>
      </c>
      <c r="AC593" s="81">
        <v>43110</v>
      </c>
      <c r="AD593" s="86">
        <v>16995000</v>
      </c>
      <c r="AE593" s="86">
        <f t="shared" si="66"/>
        <v>0</v>
      </c>
      <c r="AF593" s="85">
        <v>336</v>
      </c>
      <c r="AG593" s="81">
        <v>43123</v>
      </c>
      <c r="AH593" s="86">
        <v>16995000</v>
      </c>
      <c r="AI593" s="63" t="s">
        <v>1677</v>
      </c>
      <c r="AJ593" s="63">
        <v>341</v>
      </c>
      <c r="AK593" s="87">
        <f t="shared" si="62"/>
        <v>0</v>
      </c>
      <c r="AL593" s="86">
        <v>16995000</v>
      </c>
      <c r="AM593" s="86">
        <f t="shared" si="63"/>
        <v>0</v>
      </c>
      <c r="AN593" s="63" t="s">
        <v>1155</v>
      </c>
      <c r="AO593" s="86">
        <f t="shared" si="64"/>
        <v>0</v>
      </c>
      <c r="AP593" s="63"/>
      <c r="AQ593" s="63"/>
      <c r="AR593" s="63"/>
      <c r="AS593" s="63"/>
      <c r="AT593" s="63"/>
      <c r="AU593" s="220"/>
      <c r="AV593" s="220"/>
      <c r="AW593" s="220"/>
    </row>
    <row r="594" spans="1:49" s="221" customFormat="1" ht="409.5" x14ac:dyDescent="0.25">
      <c r="A594" s="63">
        <v>180</v>
      </c>
      <c r="B594" s="63" t="str">
        <f t="shared" si="61"/>
        <v>3075-180</v>
      </c>
      <c r="C594" s="76" t="s">
        <v>1141</v>
      </c>
      <c r="D594" s="76" t="s">
        <v>1142</v>
      </c>
      <c r="E594" s="76" t="s">
        <v>1424</v>
      </c>
      <c r="F594" s="76" t="s">
        <v>1158</v>
      </c>
      <c r="G594" s="77" t="s">
        <v>1159</v>
      </c>
      <c r="H594" s="101" t="s">
        <v>1160</v>
      </c>
      <c r="I594" s="76" t="s">
        <v>1147</v>
      </c>
      <c r="J594" s="76" t="s">
        <v>1148</v>
      </c>
      <c r="K594" s="76">
        <v>801116</v>
      </c>
      <c r="L594" s="63" t="s">
        <v>1149</v>
      </c>
      <c r="M594" s="63" t="s">
        <v>58</v>
      </c>
      <c r="N594" s="63" t="s">
        <v>59</v>
      </c>
      <c r="O594" s="76" t="s">
        <v>1213</v>
      </c>
      <c r="P594" s="63" t="s">
        <v>1678</v>
      </c>
      <c r="Q594" s="83">
        <v>1751000</v>
      </c>
      <c r="R594" s="98">
        <v>1</v>
      </c>
      <c r="S594" s="80">
        <v>10506000</v>
      </c>
      <c r="T594" s="63" t="s">
        <v>928</v>
      </c>
      <c r="U594" s="63" t="s">
        <v>1163</v>
      </c>
      <c r="V594" s="81" t="s">
        <v>64</v>
      </c>
      <c r="W594" s="82">
        <v>6</v>
      </c>
      <c r="X594" s="63" t="s">
        <v>1679</v>
      </c>
      <c r="Y594" s="81">
        <v>43104</v>
      </c>
      <c r="Z594" s="83">
        <v>10506000</v>
      </c>
      <c r="AA594" s="84" t="s">
        <v>1680</v>
      </c>
      <c r="AB594" s="85">
        <v>449</v>
      </c>
      <c r="AC594" s="81">
        <v>43111</v>
      </c>
      <c r="AD594" s="86">
        <v>10506000</v>
      </c>
      <c r="AE594" s="86">
        <f t="shared" si="66"/>
        <v>0</v>
      </c>
      <c r="AF594" s="85">
        <v>503</v>
      </c>
      <c r="AG594" s="81">
        <v>43126</v>
      </c>
      <c r="AH594" s="86">
        <v>10506000</v>
      </c>
      <c r="AI594" s="63" t="s">
        <v>1681</v>
      </c>
      <c r="AJ594" s="63">
        <v>412</v>
      </c>
      <c r="AK594" s="87">
        <f t="shared" si="62"/>
        <v>0</v>
      </c>
      <c r="AL594" s="86">
        <v>10506000</v>
      </c>
      <c r="AM594" s="86">
        <f t="shared" si="63"/>
        <v>0</v>
      </c>
      <c r="AN594" s="63" t="s">
        <v>1155</v>
      </c>
      <c r="AO594" s="86">
        <f t="shared" si="64"/>
        <v>0</v>
      </c>
      <c r="AP594" s="63"/>
      <c r="AQ594" s="63"/>
      <c r="AR594" s="63"/>
      <c r="AS594" s="63"/>
      <c r="AT594" s="63"/>
      <c r="AU594" s="220"/>
      <c r="AV594" s="220"/>
      <c r="AW594" s="220"/>
    </row>
    <row r="595" spans="1:49" s="221" customFormat="1" ht="409.5" x14ac:dyDescent="0.25">
      <c r="A595" s="63">
        <v>181</v>
      </c>
      <c r="B595" s="63" t="str">
        <f t="shared" si="61"/>
        <v>3075-181</v>
      </c>
      <c r="C595" s="76" t="s">
        <v>1141</v>
      </c>
      <c r="D595" s="76" t="s">
        <v>1142</v>
      </c>
      <c r="E595" s="76" t="s">
        <v>1424</v>
      </c>
      <c r="F595" s="76" t="s">
        <v>1158</v>
      </c>
      <c r="G595" s="77" t="s">
        <v>1159</v>
      </c>
      <c r="H595" s="101" t="s">
        <v>1160</v>
      </c>
      <c r="I595" s="76" t="s">
        <v>1147</v>
      </c>
      <c r="J595" s="76" t="s">
        <v>1148</v>
      </c>
      <c r="K595" s="76">
        <v>801116</v>
      </c>
      <c r="L595" s="63" t="s">
        <v>1149</v>
      </c>
      <c r="M595" s="63" t="s">
        <v>58</v>
      </c>
      <c r="N595" s="63" t="s">
        <v>59</v>
      </c>
      <c r="O595" s="76" t="s">
        <v>1213</v>
      </c>
      <c r="P595" s="63" t="s">
        <v>1682</v>
      </c>
      <c r="Q595" s="83">
        <v>1751000</v>
      </c>
      <c r="R595" s="98">
        <v>1</v>
      </c>
      <c r="S595" s="80">
        <v>10506000</v>
      </c>
      <c r="T595" s="63" t="s">
        <v>928</v>
      </c>
      <c r="U595" s="63" t="s">
        <v>1163</v>
      </c>
      <c r="V595" s="81" t="s">
        <v>64</v>
      </c>
      <c r="W595" s="82">
        <v>6</v>
      </c>
      <c r="X595" s="63" t="s">
        <v>1683</v>
      </c>
      <c r="Y595" s="81">
        <v>43104</v>
      </c>
      <c r="Z595" s="83">
        <v>10506000</v>
      </c>
      <c r="AA595" s="84" t="s">
        <v>1680</v>
      </c>
      <c r="AB595" s="85">
        <v>371</v>
      </c>
      <c r="AC595" s="81">
        <v>43110</v>
      </c>
      <c r="AD595" s="86">
        <v>10506000</v>
      </c>
      <c r="AE595" s="86">
        <f t="shared" si="66"/>
        <v>0</v>
      </c>
      <c r="AF595" s="85">
        <v>455</v>
      </c>
      <c r="AG595" s="81">
        <v>43126</v>
      </c>
      <c r="AH595" s="86">
        <v>10506000</v>
      </c>
      <c r="AI595" s="63" t="s">
        <v>1684</v>
      </c>
      <c r="AJ595" s="63">
        <v>353</v>
      </c>
      <c r="AK595" s="87">
        <f t="shared" si="62"/>
        <v>0</v>
      </c>
      <c r="AL595" s="86">
        <v>10506000</v>
      </c>
      <c r="AM595" s="86">
        <f t="shared" si="63"/>
        <v>0</v>
      </c>
      <c r="AN595" s="63" t="s">
        <v>1155</v>
      </c>
      <c r="AO595" s="86">
        <f t="shared" si="64"/>
        <v>0</v>
      </c>
      <c r="AP595" s="63"/>
      <c r="AQ595" s="63"/>
      <c r="AR595" s="63"/>
      <c r="AS595" s="63"/>
      <c r="AT595" s="63"/>
      <c r="AU595" s="220"/>
      <c r="AV595" s="220"/>
      <c r="AW595" s="220"/>
    </row>
    <row r="596" spans="1:49" s="221" customFormat="1" ht="409.5" x14ac:dyDescent="0.25">
      <c r="A596" s="63">
        <v>182</v>
      </c>
      <c r="B596" s="63" t="str">
        <f t="shared" si="61"/>
        <v>3075-182</v>
      </c>
      <c r="C596" s="76" t="s">
        <v>1141</v>
      </c>
      <c r="D596" s="76" t="s">
        <v>1142</v>
      </c>
      <c r="E596" s="76" t="s">
        <v>1424</v>
      </c>
      <c r="F596" s="76" t="s">
        <v>1158</v>
      </c>
      <c r="G596" s="77" t="s">
        <v>1159</v>
      </c>
      <c r="H596" s="101" t="s">
        <v>1160</v>
      </c>
      <c r="I596" s="76" t="s">
        <v>1147</v>
      </c>
      <c r="J596" s="76" t="s">
        <v>1148</v>
      </c>
      <c r="K596" s="76">
        <v>801116</v>
      </c>
      <c r="L596" s="63" t="s">
        <v>1149</v>
      </c>
      <c r="M596" s="63" t="s">
        <v>58</v>
      </c>
      <c r="N596" s="63" t="s">
        <v>59</v>
      </c>
      <c r="O596" s="76" t="s">
        <v>1213</v>
      </c>
      <c r="P596" s="63" t="s">
        <v>1674</v>
      </c>
      <c r="Q596" s="83">
        <v>3399000</v>
      </c>
      <c r="R596" s="63">
        <v>1</v>
      </c>
      <c r="S596" s="80">
        <v>20394000</v>
      </c>
      <c r="T596" s="63" t="s">
        <v>888</v>
      </c>
      <c r="U596" s="63" t="s">
        <v>1163</v>
      </c>
      <c r="V596" s="81" t="s">
        <v>64</v>
      </c>
      <c r="W596" s="82">
        <v>6</v>
      </c>
      <c r="X596" s="63" t="s">
        <v>1685</v>
      </c>
      <c r="Y596" s="81">
        <v>43104</v>
      </c>
      <c r="Z596" s="83">
        <v>20394000</v>
      </c>
      <c r="AA596" s="84" t="s">
        <v>1676</v>
      </c>
      <c r="AB596" s="85">
        <v>372</v>
      </c>
      <c r="AC596" s="81">
        <v>43110</v>
      </c>
      <c r="AD596" s="86">
        <v>20394000</v>
      </c>
      <c r="AE596" s="86">
        <f t="shared" si="66"/>
        <v>0</v>
      </c>
      <c r="AF596" s="85">
        <v>282</v>
      </c>
      <c r="AG596" s="81">
        <v>43122</v>
      </c>
      <c r="AH596" s="86">
        <v>20394000</v>
      </c>
      <c r="AI596" s="63" t="s">
        <v>1686</v>
      </c>
      <c r="AJ596" s="63">
        <v>252</v>
      </c>
      <c r="AK596" s="87">
        <f t="shared" si="62"/>
        <v>0</v>
      </c>
      <c r="AL596" s="86">
        <v>20394000</v>
      </c>
      <c r="AM596" s="86">
        <f t="shared" si="63"/>
        <v>0</v>
      </c>
      <c r="AN596" s="63" t="s">
        <v>1155</v>
      </c>
      <c r="AO596" s="86">
        <f t="shared" si="64"/>
        <v>0</v>
      </c>
      <c r="AP596" s="63"/>
      <c r="AQ596" s="63"/>
      <c r="AR596" s="63"/>
      <c r="AS596" s="63"/>
      <c r="AT596" s="63"/>
      <c r="AU596" s="220"/>
      <c r="AV596" s="220"/>
      <c r="AW596" s="220"/>
    </row>
    <row r="597" spans="1:49" s="221" customFormat="1" ht="409.5" x14ac:dyDescent="0.25">
      <c r="A597" s="63">
        <v>183</v>
      </c>
      <c r="B597" s="63" t="str">
        <f t="shared" si="61"/>
        <v>3075-183</v>
      </c>
      <c r="C597" s="76" t="s">
        <v>1141</v>
      </c>
      <c r="D597" s="76" t="s">
        <v>1142</v>
      </c>
      <c r="E597" s="76" t="s">
        <v>1424</v>
      </c>
      <c r="F597" s="76" t="s">
        <v>1158</v>
      </c>
      <c r="G597" s="77" t="s">
        <v>1159</v>
      </c>
      <c r="H597" s="101" t="s">
        <v>1160</v>
      </c>
      <c r="I597" s="76" t="s">
        <v>1147</v>
      </c>
      <c r="J597" s="76" t="s">
        <v>1148</v>
      </c>
      <c r="K597" s="76">
        <v>801116</v>
      </c>
      <c r="L597" s="63" t="s">
        <v>1149</v>
      </c>
      <c r="M597" s="63" t="s">
        <v>58</v>
      </c>
      <c r="N597" s="63" t="s">
        <v>59</v>
      </c>
      <c r="O597" s="76" t="s">
        <v>1213</v>
      </c>
      <c r="P597" s="63" t="s">
        <v>1687</v>
      </c>
      <c r="Q597" s="83">
        <v>5665000</v>
      </c>
      <c r="R597" s="98">
        <v>1</v>
      </c>
      <c r="S597" s="80">
        <v>33990000</v>
      </c>
      <c r="T597" s="63" t="s">
        <v>888</v>
      </c>
      <c r="U597" s="63" t="s">
        <v>1163</v>
      </c>
      <c r="V597" s="81" t="s">
        <v>64</v>
      </c>
      <c r="W597" s="82">
        <v>6</v>
      </c>
      <c r="X597" s="63" t="s">
        <v>1688</v>
      </c>
      <c r="Y597" s="81">
        <v>43104</v>
      </c>
      <c r="Z597" s="83">
        <v>33990000</v>
      </c>
      <c r="AA597" s="84" t="s">
        <v>1689</v>
      </c>
      <c r="AB597" s="85">
        <v>454</v>
      </c>
      <c r="AC597" s="81">
        <v>43111</v>
      </c>
      <c r="AD597" s="86">
        <v>33990000</v>
      </c>
      <c r="AE597" s="86">
        <f t="shared" si="66"/>
        <v>0</v>
      </c>
      <c r="AF597" s="85">
        <v>321</v>
      </c>
      <c r="AG597" s="81">
        <v>43123</v>
      </c>
      <c r="AH597" s="86">
        <v>33990000</v>
      </c>
      <c r="AI597" s="63" t="s">
        <v>1690</v>
      </c>
      <c r="AJ597" s="63">
        <v>262</v>
      </c>
      <c r="AK597" s="87">
        <f t="shared" si="62"/>
        <v>0</v>
      </c>
      <c r="AL597" s="86">
        <v>33990000</v>
      </c>
      <c r="AM597" s="86">
        <f t="shared" si="63"/>
        <v>0</v>
      </c>
      <c r="AN597" s="63" t="s">
        <v>1155</v>
      </c>
      <c r="AO597" s="86">
        <f t="shared" si="64"/>
        <v>0</v>
      </c>
      <c r="AP597" s="63"/>
      <c r="AQ597" s="63"/>
      <c r="AR597" s="63"/>
      <c r="AS597" s="63"/>
      <c r="AT597" s="63"/>
      <c r="AU597" s="220"/>
      <c r="AV597" s="220"/>
      <c r="AW597" s="220"/>
    </row>
    <row r="598" spans="1:49" s="221" customFormat="1" ht="342" x14ac:dyDescent="0.25">
      <c r="A598" s="63">
        <v>184</v>
      </c>
      <c r="B598" s="63" t="str">
        <f t="shared" si="61"/>
        <v>3075-184</v>
      </c>
      <c r="C598" s="76" t="s">
        <v>1141</v>
      </c>
      <c r="D598" s="76" t="s">
        <v>1142</v>
      </c>
      <c r="E598" s="76" t="s">
        <v>1424</v>
      </c>
      <c r="F598" s="76" t="s">
        <v>1158</v>
      </c>
      <c r="G598" s="77" t="s">
        <v>1159</v>
      </c>
      <c r="H598" s="101" t="s">
        <v>1160</v>
      </c>
      <c r="I598" s="76" t="s">
        <v>1147</v>
      </c>
      <c r="J598" s="76" t="s">
        <v>1148</v>
      </c>
      <c r="K598" s="76">
        <v>80111600</v>
      </c>
      <c r="L598" s="63" t="s">
        <v>1149</v>
      </c>
      <c r="M598" s="63" t="s">
        <v>58</v>
      </c>
      <c r="N598" s="63" t="s">
        <v>59</v>
      </c>
      <c r="O598" s="76" t="s">
        <v>1213</v>
      </c>
      <c r="P598" s="63" t="s">
        <v>1496</v>
      </c>
      <c r="Q598" s="83">
        <v>5665000</v>
      </c>
      <c r="R598" s="98">
        <v>1</v>
      </c>
      <c r="S598" s="80">
        <f>47277000-22660000-1957000</f>
        <v>22660000</v>
      </c>
      <c r="T598" s="63" t="s">
        <v>888</v>
      </c>
      <c r="U598" s="63" t="s">
        <v>1163</v>
      </c>
      <c r="V598" s="81" t="s">
        <v>431</v>
      </c>
      <c r="W598" s="82">
        <v>4</v>
      </c>
      <c r="X598" s="63" t="s">
        <v>1691</v>
      </c>
      <c r="Y598" s="81">
        <v>43321</v>
      </c>
      <c r="Z598" s="83">
        <v>22660000</v>
      </c>
      <c r="AA598" s="84" t="s">
        <v>1692</v>
      </c>
      <c r="AB598" s="85">
        <v>1049</v>
      </c>
      <c r="AC598" s="81">
        <v>43322</v>
      </c>
      <c r="AD598" s="86">
        <v>22660000</v>
      </c>
      <c r="AE598" s="86">
        <f t="shared" si="66"/>
        <v>0</v>
      </c>
      <c r="AF598" s="85">
        <v>2706</v>
      </c>
      <c r="AG598" s="81">
        <v>43334</v>
      </c>
      <c r="AH598" s="86">
        <v>22660000</v>
      </c>
      <c r="AI598" s="63" t="s">
        <v>1690</v>
      </c>
      <c r="AJ598" s="63">
        <v>514</v>
      </c>
      <c r="AK598" s="87">
        <f t="shared" si="62"/>
        <v>0</v>
      </c>
      <c r="AL598" s="86">
        <v>1699500</v>
      </c>
      <c r="AM598" s="86">
        <f t="shared" si="63"/>
        <v>20960500</v>
      </c>
      <c r="AN598" s="63" t="s">
        <v>1155</v>
      </c>
      <c r="AO598" s="86">
        <f t="shared" si="64"/>
        <v>0</v>
      </c>
      <c r="AP598" s="63" t="s">
        <v>1693</v>
      </c>
      <c r="AQ598" s="81">
        <v>43320</v>
      </c>
      <c r="AR598" s="63" t="s">
        <v>1156</v>
      </c>
      <c r="AS598" s="81">
        <v>43321</v>
      </c>
      <c r="AT598" s="63" t="s">
        <v>1453</v>
      </c>
      <c r="AU598" s="220"/>
      <c r="AV598" s="220"/>
      <c r="AW598" s="220"/>
    </row>
    <row r="599" spans="1:49" s="221" customFormat="1" ht="409.5" x14ac:dyDescent="0.25">
      <c r="A599" s="63">
        <v>185</v>
      </c>
      <c r="B599" s="63" t="str">
        <f t="shared" si="61"/>
        <v>3075-185</v>
      </c>
      <c r="C599" s="76" t="s">
        <v>1141</v>
      </c>
      <c r="D599" s="76" t="s">
        <v>1142</v>
      </c>
      <c r="E599" s="76" t="s">
        <v>1424</v>
      </c>
      <c r="F599" s="76" t="s">
        <v>1158</v>
      </c>
      <c r="G599" s="77" t="s">
        <v>1159</v>
      </c>
      <c r="H599" s="101" t="s">
        <v>1160</v>
      </c>
      <c r="I599" s="76" t="s">
        <v>1147</v>
      </c>
      <c r="J599" s="76" t="s">
        <v>1148</v>
      </c>
      <c r="K599" s="76">
        <v>801116</v>
      </c>
      <c r="L599" s="63" t="s">
        <v>1149</v>
      </c>
      <c r="M599" s="63" t="s">
        <v>58</v>
      </c>
      <c r="N599" s="63" t="s">
        <v>59</v>
      </c>
      <c r="O599" s="76" t="s">
        <v>1213</v>
      </c>
      <c r="P599" s="63" t="s">
        <v>1472</v>
      </c>
      <c r="Q599" s="83">
        <v>1545000</v>
      </c>
      <c r="R599" s="98">
        <v>1</v>
      </c>
      <c r="S599" s="80">
        <v>9270000</v>
      </c>
      <c r="T599" s="63" t="s">
        <v>928</v>
      </c>
      <c r="U599" s="63" t="s">
        <v>1163</v>
      </c>
      <c r="V599" s="81" t="s">
        <v>64</v>
      </c>
      <c r="W599" s="82">
        <v>6</v>
      </c>
      <c r="X599" s="63" t="s">
        <v>1694</v>
      </c>
      <c r="Y599" s="81">
        <v>43104</v>
      </c>
      <c r="Z599" s="83">
        <v>9270000</v>
      </c>
      <c r="AA599" s="84" t="s">
        <v>1695</v>
      </c>
      <c r="AB599" s="85">
        <v>435</v>
      </c>
      <c r="AC599" s="81">
        <v>43111</v>
      </c>
      <c r="AD599" s="86">
        <v>9270000</v>
      </c>
      <c r="AE599" s="86">
        <f t="shared" si="66"/>
        <v>0</v>
      </c>
      <c r="AF599" s="85">
        <v>409</v>
      </c>
      <c r="AG599" s="81">
        <v>43124</v>
      </c>
      <c r="AH599" s="86">
        <v>9270000</v>
      </c>
      <c r="AI599" s="63" t="s">
        <v>1696</v>
      </c>
      <c r="AJ599" s="63">
        <v>358</v>
      </c>
      <c r="AK599" s="87">
        <f t="shared" si="62"/>
        <v>0</v>
      </c>
      <c r="AL599" s="86">
        <v>9270000</v>
      </c>
      <c r="AM599" s="86">
        <f t="shared" si="63"/>
        <v>0</v>
      </c>
      <c r="AN599" s="63" t="s">
        <v>1155</v>
      </c>
      <c r="AO599" s="86">
        <f t="shared" si="64"/>
        <v>0</v>
      </c>
      <c r="AP599" s="63"/>
      <c r="AQ599" s="63"/>
      <c r="AR599" s="63"/>
      <c r="AS599" s="63"/>
      <c r="AT599" s="63"/>
      <c r="AU599" s="220"/>
      <c r="AV599" s="220"/>
      <c r="AW599" s="220"/>
    </row>
    <row r="600" spans="1:49" s="221" customFormat="1" ht="409.5" x14ac:dyDescent="0.25">
      <c r="A600" s="63">
        <v>186</v>
      </c>
      <c r="B600" s="63" t="str">
        <f t="shared" si="61"/>
        <v>3075-186</v>
      </c>
      <c r="C600" s="76" t="s">
        <v>1141</v>
      </c>
      <c r="D600" s="76" t="s">
        <v>1142</v>
      </c>
      <c r="E600" s="76" t="s">
        <v>1424</v>
      </c>
      <c r="F600" s="76" t="s">
        <v>1158</v>
      </c>
      <c r="G600" s="77" t="s">
        <v>1159</v>
      </c>
      <c r="H600" s="101" t="s">
        <v>1160</v>
      </c>
      <c r="I600" s="76" t="s">
        <v>1147</v>
      </c>
      <c r="J600" s="76" t="s">
        <v>1148</v>
      </c>
      <c r="K600" s="76">
        <v>801116</v>
      </c>
      <c r="L600" s="63" t="s">
        <v>1149</v>
      </c>
      <c r="M600" s="63" t="s">
        <v>58</v>
      </c>
      <c r="N600" s="63" t="s">
        <v>59</v>
      </c>
      <c r="O600" s="76" t="s">
        <v>1213</v>
      </c>
      <c r="P600" s="63" t="s">
        <v>1491</v>
      </c>
      <c r="Q600" s="83">
        <v>3399000</v>
      </c>
      <c r="R600" s="98">
        <v>1</v>
      </c>
      <c r="S600" s="80">
        <v>20394000</v>
      </c>
      <c r="T600" s="63" t="s">
        <v>888</v>
      </c>
      <c r="U600" s="63" t="s">
        <v>1163</v>
      </c>
      <c r="V600" s="81" t="s">
        <v>64</v>
      </c>
      <c r="W600" s="82">
        <v>6</v>
      </c>
      <c r="X600" s="63" t="s">
        <v>1697</v>
      </c>
      <c r="Y600" s="81">
        <v>43104</v>
      </c>
      <c r="Z600" s="83">
        <v>20394000</v>
      </c>
      <c r="AA600" s="84" t="s">
        <v>1698</v>
      </c>
      <c r="AB600" s="85">
        <v>438</v>
      </c>
      <c r="AC600" s="81">
        <v>43111</v>
      </c>
      <c r="AD600" s="86">
        <v>20394000</v>
      </c>
      <c r="AE600" s="86">
        <f t="shared" si="66"/>
        <v>0</v>
      </c>
      <c r="AF600" s="85">
        <v>322</v>
      </c>
      <c r="AG600" s="81">
        <v>43123</v>
      </c>
      <c r="AH600" s="86">
        <v>20394000</v>
      </c>
      <c r="AI600" s="63" t="s">
        <v>1699</v>
      </c>
      <c r="AJ600" s="63">
        <v>260</v>
      </c>
      <c r="AK600" s="87">
        <f t="shared" si="62"/>
        <v>0</v>
      </c>
      <c r="AL600" s="86">
        <v>20394000</v>
      </c>
      <c r="AM600" s="86">
        <f t="shared" si="63"/>
        <v>0</v>
      </c>
      <c r="AN600" s="63" t="s">
        <v>1155</v>
      </c>
      <c r="AO600" s="86">
        <f t="shared" si="64"/>
        <v>0</v>
      </c>
      <c r="AP600" s="63"/>
      <c r="AQ600" s="63"/>
      <c r="AR600" s="63"/>
      <c r="AS600" s="63"/>
      <c r="AT600" s="63"/>
      <c r="AU600" s="220"/>
      <c r="AV600" s="220"/>
      <c r="AW600" s="220"/>
    </row>
    <row r="601" spans="1:49" s="221" customFormat="1" ht="409.5" x14ac:dyDescent="0.25">
      <c r="A601" s="63">
        <v>187</v>
      </c>
      <c r="B601" s="63" t="str">
        <f t="shared" si="61"/>
        <v>3075-187</v>
      </c>
      <c r="C601" s="76" t="s">
        <v>1141</v>
      </c>
      <c r="D601" s="76" t="s">
        <v>1142</v>
      </c>
      <c r="E601" s="76" t="s">
        <v>1424</v>
      </c>
      <c r="F601" s="76" t="s">
        <v>1158</v>
      </c>
      <c r="G601" s="77" t="s">
        <v>1159</v>
      </c>
      <c r="H601" s="101" t="s">
        <v>1160</v>
      </c>
      <c r="I601" s="76" t="s">
        <v>1147</v>
      </c>
      <c r="J601" s="76" t="s">
        <v>1148</v>
      </c>
      <c r="K601" s="76">
        <v>801116</v>
      </c>
      <c r="L601" s="63" t="s">
        <v>1149</v>
      </c>
      <c r="M601" s="63" t="s">
        <v>58</v>
      </c>
      <c r="N601" s="63" t="s">
        <v>59</v>
      </c>
      <c r="O601" s="76" t="s">
        <v>1213</v>
      </c>
      <c r="P601" s="63" t="s">
        <v>1491</v>
      </c>
      <c r="Q601" s="83">
        <v>3399000</v>
      </c>
      <c r="R601" s="98">
        <v>1</v>
      </c>
      <c r="S601" s="80">
        <v>20394000</v>
      </c>
      <c r="T601" s="63" t="s">
        <v>888</v>
      </c>
      <c r="U601" s="63" t="s">
        <v>1163</v>
      </c>
      <c r="V601" s="81" t="s">
        <v>64</v>
      </c>
      <c r="W601" s="82">
        <v>6</v>
      </c>
      <c r="X601" s="63" t="s">
        <v>1700</v>
      </c>
      <c r="Y601" s="81">
        <v>43104</v>
      </c>
      <c r="Z601" s="83">
        <v>20394000</v>
      </c>
      <c r="AA601" s="84" t="s">
        <v>1698</v>
      </c>
      <c r="AB601" s="85">
        <v>440</v>
      </c>
      <c r="AC601" s="81">
        <v>43111</v>
      </c>
      <c r="AD601" s="86">
        <v>20394000</v>
      </c>
      <c r="AE601" s="86">
        <f t="shared" si="66"/>
        <v>0</v>
      </c>
      <c r="AF601" s="85">
        <v>242</v>
      </c>
      <c r="AG601" s="81">
        <v>43119</v>
      </c>
      <c r="AH601" s="86">
        <v>20394000</v>
      </c>
      <c r="AI601" s="63" t="s">
        <v>1701</v>
      </c>
      <c r="AJ601" s="63">
        <v>219</v>
      </c>
      <c r="AK601" s="87">
        <f t="shared" si="62"/>
        <v>0</v>
      </c>
      <c r="AL601" s="86">
        <v>20394000</v>
      </c>
      <c r="AM601" s="86">
        <f t="shared" si="63"/>
        <v>0</v>
      </c>
      <c r="AN601" s="63" t="s">
        <v>1155</v>
      </c>
      <c r="AO601" s="86">
        <f t="shared" si="64"/>
        <v>0</v>
      </c>
      <c r="AP601" s="63"/>
      <c r="AQ601" s="63"/>
      <c r="AR601" s="63"/>
      <c r="AS601" s="63"/>
      <c r="AT601" s="63"/>
      <c r="AU601" s="220"/>
      <c r="AV601" s="220"/>
      <c r="AW601" s="220"/>
    </row>
    <row r="602" spans="1:49" s="221" customFormat="1" ht="409.5" x14ac:dyDescent="0.25">
      <c r="A602" s="63">
        <v>188</v>
      </c>
      <c r="B602" s="63" t="str">
        <f t="shared" si="61"/>
        <v>3075-188</v>
      </c>
      <c r="C602" s="76" t="s">
        <v>1141</v>
      </c>
      <c r="D602" s="76" t="s">
        <v>1142</v>
      </c>
      <c r="E602" s="76" t="s">
        <v>1424</v>
      </c>
      <c r="F602" s="76" t="s">
        <v>1158</v>
      </c>
      <c r="G602" s="77" t="s">
        <v>1159</v>
      </c>
      <c r="H602" s="101" t="s">
        <v>1160</v>
      </c>
      <c r="I602" s="76" t="s">
        <v>1147</v>
      </c>
      <c r="J602" s="76" t="s">
        <v>1148</v>
      </c>
      <c r="K602" s="76">
        <v>801116</v>
      </c>
      <c r="L602" s="63" t="s">
        <v>1149</v>
      </c>
      <c r="M602" s="63" t="s">
        <v>58</v>
      </c>
      <c r="N602" s="63" t="s">
        <v>59</v>
      </c>
      <c r="O602" s="76" t="s">
        <v>1213</v>
      </c>
      <c r="P602" s="63" t="s">
        <v>1513</v>
      </c>
      <c r="Q602" s="83">
        <v>3553500</v>
      </c>
      <c r="R602" s="98">
        <v>1</v>
      </c>
      <c r="S602" s="80">
        <v>21321000</v>
      </c>
      <c r="T602" s="63" t="s">
        <v>888</v>
      </c>
      <c r="U602" s="63" t="s">
        <v>1163</v>
      </c>
      <c r="V602" s="81" t="s">
        <v>64</v>
      </c>
      <c r="W602" s="82">
        <v>6</v>
      </c>
      <c r="X602" s="63" t="s">
        <v>1702</v>
      </c>
      <c r="Y602" s="81">
        <v>43104</v>
      </c>
      <c r="Z602" s="83">
        <v>21321000</v>
      </c>
      <c r="AA602" s="84" t="s">
        <v>1703</v>
      </c>
      <c r="AB602" s="85">
        <v>461</v>
      </c>
      <c r="AC602" s="81">
        <v>43111</v>
      </c>
      <c r="AD602" s="86">
        <v>21321000</v>
      </c>
      <c r="AE602" s="86">
        <f t="shared" si="66"/>
        <v>0</v>
      </c>
      <c r="AF602" s="85">
        <v>405</v>
      </c>
      <c r="AG602" s="81">
        <v>43124</v>
      </c>
      <c r="AH602" s="86">
        <v>21321000</v>
      </c>
      <c r="AI602" s="63" t="s">
        <v>1704</v>
      </c>
      <c r="AJ602" s="63">
        <v>333</v>
      </c>
      <c r="AK602" s="87">
        <f t="shared" si="62"/>
        <v>0</v>
      </c>
      <c r="AL602" s="86">
        <v>21321000</v>
      </c>
      <c r="AM602" s="86">
        <f t="shared" si="63"/>
        <v>0</v>
      </c>
      <c r="AN602" s="63" t="s">
        <v>1155</v>
      </c>
      <c r="AO602" s="86">
        <f t="shared" si="64"/>
        <v>0</v>
      </c>
      <c r="AP602" s="63"/>
      <c r="AQ602" s="63"/>
      <c r="AR602" s="63"/>
      <c r="AS602" s="63"/>
      <c r="AT602" s="63"/>
      <c r="AU602" s="220"/>
      <c r="AV602" s="220"/>
      <c r="AW602" s="220"/>
    </row>
    <row r="603" spans="1:49" s="221" customFormat="1" ht="409.5" x14ac:dyDescent="0.25">
      <c r="A603" s="63">
        <v>189</v>
      </c>
      <c r="B603" s="63" t="str">
        <f t="shared" si="61"/>
        <v>3075-189</v>
      </c>
      <c r="C603" s="76" t="s">
        <v>1141</v>
      </c>
      <c r="D603" s="76" t="s">
        <v>1142</v>
      </c>
      <c r="E603" s="76" t="s">
        <v>1424</v>
      </c>
      <c r="F603" s="76" t="s">
        <v>1158</v>
      </c>
      <c r="G603" s="77" t="s">
        <v>1159</v>
      </c>
      <c r="H603" s="101" t="s">
        <v>1160</v>
      </c>
      <c r="I603" s="76" t="s">
        <v>1147</v>
      </c>
      <c r="J603" s="76" t="s">
        <v>1148</v>
      </c>
      <c r="K603" s="76">
        <v>801116</v>
      </c>
      <c r="L603" s="63" t="s">
        <v>1149</v>
      </c>
      <c r="M603" s="63" t="s">
        <v>58</v>
      </c>
      <c r="N603" s="63" t="s">
        <v>59</v>
      </c>
      <c r="O603" s="76" t="s">
        <v>1213</v>
      </c>
      <c r="P603" s="63" t="s">
        <v>1705</v>
      </c>
      <c r="Q603" s="83">
        <v>3553500</v>
      </c>
      <c r="R603" s="98">
        <v>1</v>
      </c>
      <c r="S603" s="80">
        <v>21321000</v>
      </c>
      <c r="T603" s="63" t="s">
        <v>888</v>
      </c>
      <c r="U603" s="63" t="s">
        <v>1163</v>
      </c>
      <c r="V603" s="81" t="s">
        <v>64</v>
      </c>
      <c r="W603" s="82">
        <v>6</v>
      </c>
      <c r="X603" s="63" t="s">
        <v>1706</v>
      </c>
      <c r="Y603" s="81">
        <v>43104</v>
      </c>
      <c r="Z603" s="83">
        <v>21321000</v>
      </c>
      <c r="AA603" s="84" t="s">
        <v>1703</v>
      </c>
      <c r="AB603" s="85">
        <v>462</v>
      </c>
      <c r="AC603" s="81">
        <v>43112</v>
      </c>
      <c r="AD603" s="86">
        <v>21321000</v>
      </c>
      <c r="AE603" s="86">
        <f t="shared" si="66"/>
        <v>0</v>
      </c>
      <c r="AF603" s="85">
        <v>505</v>
      </c>
      <c r="AG603" s="81">
        <v>43126</v>
      </c>
      <c r="AH603" s="86">
        <v>21321000</v>
      </c>
      <c r="AI603" s="63" t="s">
        <v>1707</v>
      </c>
      <c r="AJ603" s="63">
        <v>415</v>
      </c>
      <c r="AK603" s="87">
        <f t="shared" si="62"/>
        <v>0</v>
      </c>
      <c r="AL603" s="86">
        <v>21321000</v>
      </c>
      <c r="AM603" s="86">
        <f t="shared" si="63"/>
        <v>0</v>
      </c>
      <c r="AN603" s="63" t="s">
        <v>1155</v>
      </c>
      <c r="AO603" s="86">
        <f t="shared" si="64"/>
        <v>0</v>
      </c>
      <c r="AP603" s="63"/>
      <c r="AQ603" s="63"/>
      <c r="AR603" s="63"/>
      <c r="AS603" s="63"/>
      <c r="AT603" s="63"/>
      <c r="AU603" s="220"/>
      <c r="AV603" s="220"/>
      <c r="AW603" s="220"/>
    </row>
    <row r="604" spans="1:49" s="221" customFormat="1" ht="409.5" x14ac:dyDescent="0.25">
      <c r="A604" s="63">
        <v>190</v>
      </c>
      <c r="B604" s="63" t="str">
        <f t="shared" si="61"/>
        <v>3075-190</v>
      </c>
      <c r="C604" s="76" t="s">
        <v>1141</v>
      </c>
      <c r="D604" s="76" t="s">
        <v>1142</v>
      </c>
      <c r="E604" s="76" t="s">
        <v>1424</v>
      </c>
      <c r="F604" s="76" t="s">
        <v>1158</v>
      </c>
      <c r="G604" s="77" t="s">
        <v>1159</v>
      </c>
      <c r="H604" s="101" t="s">
        <v>1160</v>
      </c>
      <c r="I604" s="76" t="s">
        <v>1147</v>
      </c>
      <c r="J604" s="76" t="s">
        <v>1148</v>
      </c>
      <c r="K604" s="76">
        <v>801116</v>
      </c>
      <c r="L604" s="63" t="s">
        <v>1149</v>
      </c>
      <c r="M604" s="63" t="s">
        <v>58</v>
      </c>
      <c r="N604" s="63" t="s">
        <v>59</v>
      </c>
      <c r="O604" s="76" t="s">
        <v>1213</v>
      </c>
      <c r="P604" s="63" t="s">
        <v>1516</v>
      </c>
      <c r="Q604" s="83">
        <v>5253000</v>
      </c>
      <c r="R604" s="98">
        <v>1</v>
      </c>
      <c r="S604" s="80">
        <v>31518000</v>
      </c>
      <c r="T604" s="63" t="s">
        <v>888</v>
      </c>
      <c r="U604" s="63" t="s">
        <v>1163</v>
      </c>
      <c r="V604" s="81" t="s">
        <v>64</v>
      </c>
      <c r="W604" s="82">
        <v>6</v>
      </c>
      <c r="X604" s="63" t="s">
        <v>1708</v>
      </c>
      <c r="Y604" s="81">
        <v>43104</v>
      </c>
      <c r="Z604" s="83">
        <v>31518000</v>
      </c>
      <c r="AA604" s="84" t="s">
        <v>1692</v>
      </c>
      <c r="AB604" s="85">
        <v>491</v>
      </c>
      <c r="AC604" s="81">
        <v>43116</v>
      </c>
      <c r="AD604" s="86">
        <v>31518000</v>
      </c>
      <c r="AE604" s="86">
        <f t="shared" si="66"/>
        <v>0</v>
      </c>
      <c r="AF604" s="85">
        <v>265</v>
      </c>
      <c r="AG604" s="81">
        <v>43119</v>
      </c>
      <c r="AH604" s="86">
        <v>31518000</v>
      </c>
      <c r="AI604" s="63" t="s">
        <v>1709</v>
      </c>
      <c r="AJ604" s="63">
        <v>235</v>
      </c>
      <c r="AK604" s="87">
        <f t="shared" si="62"/>
        <v>0</v>
      </c>
      <c r="AL604" s="86">
        <v>31518000</v>
      </c>
      <c r="AM604" s="86">
        <f t="shared" si="63"/>
        <v>0</v>
      </c>
      <c r="AN604" s="63" t="s">
        <v>1155</v>
      </c>
      <c r="AO604" s="86">
        <f t="shared" si="64"/>
        <v>0</v>
      </c>
      <c r="AP604" s="63"/>
      <c r="AQ604" s="63"/>
      <c r="AR604" s="63"/>
      <c r="AS604" s="63"/>
      <c r="AT604" s="63"/>
      <c r="AU604" s="220"/>
      <c r="AV604" s="220"/>
      <c r="AW604" s="220"/>
    </row>
    <row r="605" spans="1:49" s="221" customFormat="1" ht="409.5" x14ac:dyDescent="0.25">
      <c r="A605" s="63">
        <v>191</v>
      </c>
      <c r="B605" s="63" t="str">
        <f t="shared" si="61"/>
        <v>3075-191</v>
      </c>
      <c r="C605" s="76" t="s">
        <v>1141</v>
      </c>
      <c r="D605" s="76" t="s">
        <v>1142</v>
      </c>
      <c r="E605" s="76" t="s">
        <v>1424</v>
      </c>
      <c r="F605" s="76" t="s">
        <v>1158</v>
      </c>
      <c r="G605" s="77" t="s">
        <v>1159</v>
      </c>
      <c r="H605" s="101" t="s">
        <v>1160</v>
      </c>
      <c r="I605" s="76" t="s">
        <v>1147</v>
      </c>
      <c r="J605" s="76" t="s">
        <v>1148</v>
      </c>
      <c r="K605" s="76">
        <v>801116</v>
      </c>
      <c r="L605" s="63" t="s">
        <v>1149</v>
      </c>
      <c r="M605" s="63" t="s">
        <v>58</v>
      </c>
      <c r="N605" s="63" t="s">
        <v>59</v>
      </c>
      <c r="O605" s="76" t="s">
        <v>1213</v>
      </c>
      <c r="P605" s="63" t="s">
        <v>1513</v>
      </c>
      <c r="Q605" s="83">
        <v>3553500</v>
      </c>
      <c r="R605" s="98">
        <v>1</v>
      </c>
      <c r="S605" s="80">
        <v>21321000</v>
      </c>
      <c r="T605" s="63" t="s">
        <v>888</v>
      </c>
      <c r="U605" s="63" t="s">
        <v>1163</v>
      </c>
      <c r="V605" s="81" t="s">
        <v>64</v>
      </c>
      <c r="W605" s="82">
        <v>6</v>
      </c>
      <c r="X605" s="63" t="s">
        <v>1710</v>
      </c>
      <c r="Y605" s="81">
        <v>43104</v>
      </c>
      <c r="Z605" s="83">
        <v>21321000</v>
      </c>
      <c r="AA605" s="84" t="s">
        <v>1703</v>
      </c>
      <c r="AB605" s="85">
        <v>414</v>
      </c>
      <c r="AC605" s="81">
        <v>43111</v>
      </c>
      <c r="AD605" s="86">
        <v>21321000</v>
      </c>
      <c r="AE605" s="86">
        <f t="shared" si="66"/>
        <v>0</v>
      </c>
      <c r="AF605" s="85">
        <v>340</v>
      </c>
      <c r="AG605" s="81">
        <v>43123</v>
      </c>
      <c r="AH605" s="86">
        <v>21321000</v>
      </c>
      <c r="AI605" s="63" t="s">
        <v>1711</v>
      </c>
      <c r="AJ605" s="63">
        <v>345</v>
      </c>
      <c r="AK605" s="87">
        <f t="shared" si="62"/>
        <v>0</v>
      </c>
      <c r="AL605" s="86">
        <v>21321000</v>
      </c>
      <c r="AM605" s="86">
        <f t="shared" si="63"/>
        <v>0</v>
      </c>
      <c r="AN605" s="63" t="s">
        <v>1155</v>
      </c>
      <c r="AO605" s="86">
        <f t="shared" si="64"/>
        <v>0</v>
      </c>
      <c r="AP605" s="63"/>
      <c r="AQ605" s="63"/>
      <c r="AR605" s="63"/>
      <c r="AS605" s="63"/>
      <c r="AT605" s="63"/>
      <c r="AU605" s="220"/>
      <c r="AV605" s="220"/>
      <c r="AW605" s="220"/>
    </row>
    <row r="606" spans="1:49" s="221" customFormat="1" ht="409.5" x14ac:dyDescent="0.25">
      <c r="A606" s="63">
        <v>192</v>
      </c>
      <c r="B606" s="63" t="str">
        <f t="shared" si="61"/>
        <v>3075-192</v>
      </c>
      <c r="C606" s="76" t="s">
        <v>1141</v>
      </c>
      <c r="D606" s="76" t="s">
        <v>1142</v>
      </c>
      <c r="E606" s="76" t="s">
        <v>1424</v>
      </c>
      <c r="F606" s="76" t="s">
        <v>1158</v>
      </c>
      <c r="G606" s="77" t="s">
        <v>1159</v>
      </c>
      <c r="H606" s="101" t="s">
        <v>1160</v>
      </c>
      <c r="I606" s="76" t="s">
        <v>1147</v>
      </c>
      <c r="J606" s="76" t="s">
        <v>1148</v>
      </c>
      <c r="K606" s="76">
        <v>801116</v>
      </c>
      <c r="L606" s="63" t="s">
        <v>1149</v>
      </c>
      <c r="M606" s="63" t="s">
        <v>58</v>
      </c>
      <c r="N606" s="63" t="s">
        <v>59</v>
      </c>
      <c r="O606" s="76" t="s">
        <v>1213</v>
      </c>
      <c r="P606" s="63" t="s">
        <v>1674</v>
      </c>
      <c r="Q606" s="83">
        <v>3553500</v>
      </c>
      <c r="R606" s="98">
        <v>1</v>
      </c>
      <c r="S606" s="80">
        <v>21321000</v>
      </c>
      <c r="T606" s="63" t="s">
        <v>888</v>
      </c>
      <c r="U606" s="63" t="s">
        <v>1163</v>
      </c>
      <c r="V606" s="81" t="s">
        <v>64</v>
      </c>
      <c r="W606" s="82">
        <v>6</v>
      </c>
      <c r="X606" s="63" t="s">
        <v>1712</v>
      </c>
      <c r="Y606" s="81">
        <v>43104</v>
      </c>
      <c r="Z606" s="83">
        <v>21321000</v>
      </c>
      <c r="AA606" s="84" t="s">
        <v>1713</v>
      </c>
      <c r="AB606" s="85">
        <v>415</v>
      </c>
      <c r="AC606" s="81">
        <v>43111</v>
      </c>
      <c r="AD606" s="86">
        <v>21321000</v>
      </c>
      <c r="AE606" s="86">
        <f t="shared" si="66"/>
        <v>0</v>
      </c>
      <c r="AF606" s="85">
        <v>337</v>
      </c>
      <c r="AG606" s="81">
        <v>43123</v>
      </c>
      <c r="AH606" s="86">
        <v>21321000</v>
      </c>
      <c r="AI606" s="63" t="s">
        <v>1714</v>
      </c>
      <c r="AJ606" s="63">
        <v>342</v>
      </c>
      <c r="AK606" s="87">
        <f t="shared" si="62"/>
        <v>0</v>
      </c>
      <c r="AL606" s="86">
        <v>21321000</v>
      </c>
      <c r="AM606" s="86">
        <f t="shared" si="63"/>
        <v>0</v>
      </c>
      <c r="AN606" s="63" t="s">
        <v>1155</v>
      </c>
      <c r="AO606" s="86">
        <f t="shared" si="64"/>
        <v>0</v>
      </c>
      <c r="AP606" s="63"/>
      <c r="AQ606" s="63"/>
      <c r="AR606" s="63"/>
      <c r="AS606" s="63"/>
      <c r="AT606" s="63"/>
      <c r="AU606" s="220"/>
      <c r="AV606" s="220"/>
      <c r="AW606" s="220"/>
    </row>
    <row r="607" spans="1:49" s="221" customFormat="1" ht="409.5" x14ac:dyDescent="0.25">
      <c r="A607" s="63">
        <v>193</v>
      </c>
      <c r="B607" s="63" t="str">
        <f t="shared" ref="B607:B670" si="67">CONCATENATE("3075","-",A607)</f>
        <v>3075-193</v>
      </c>
      <c r="C607" s="76" t="s">
        <v>1141</v>
      </c>
      <c r="D607" s="76" t="s">
        <v>1142</v>
      </c>
      <c r="E607" s="76" t="s">
        <v>1424</v>
      </c>
      <c r="F607" s="76" t="s">
        <v>1158</v>
      </c>
      <c r="G607" s="77" t="s">
        <v>1159</v>
      </c>
      <c r="H607" s="101" t="s">
        <v>1160</v>
      </c>
      <c r="I607" s="76" t="s">
        <v>1147</v>
      </c>
      <c r="J607" s="76" t="s">
        <v>1148</v>
      </c>
      <c r="K607" s="76">
        <v>801116</v>
      </c>
      <c r="L607" s="63" t="s">
        <v>1149</v>
      </c>
      <c r="M607" s="63" t="s">
        <v>58</v>
      </c>
      <c r="N607" s="63" t="s">
        <v>59</v>
      </c>
      <c r="O607" s="76" t="s">
        <v>1213</v>
      </c>
      <c r="P607" s="63" t="s">
        <v>1443</v>
      </c>
      <c r="Q607" s="83">
        <v>5253000</v>
      </c>
      <c r="R607" s="98">
        <v>1</v>
      </c>
      <c r="S607" s="80">
        <v>31518000</v>
      </c>
      <c r="T607" s="63" t="s">
        <v>888</v>
      </c>
      <c r="U607" s="63" t="s">
        <v>1163</v>
      </c>
      <c r="V607" s="81" t="s">
        <v>64</v>
      </c>
      <c r="W607" s="82">
        <v>6</v>
      </c>
      <c r="X607" s="63" t="s">
        <v>1715</v>
      </c>
      <c r="Y607" s="81">
        <v>43104</v>
      </c>
      <c r="Z607" s="83">
        <v>31518000</v>
      </c>
      <c r="AA607" s="84" t="s">
        <v>1716</v>
      </c>
      <c r="AB607" s="85">
        <v>416</v>
      </c>
      <c r="AC607" s="81">
        <v>43111</v>
      </c>
      <c r="AD607" s="86">
        <v>31518000</v>
      </c>
      <c r="AE607" s="86">
        <f t="shared" si="66"/>
        <v>0</v>
      </c>
      <c r="AF607" s="85">
        <v>408</v>
      </c>
      <c r="AG607" s="81">
        <v>43124</v>
      </c>
      <c r="AH607" s="86">
        <v>31518000</v>
      </c>
      <c r="AI607" s="63" t="s">
        <v>1717</v>
      </c>
      <c r="AJ607" s="63">
        <v>357</v>
      </c>
      <c r="AK607" s="87">
        <f t="shared" ref="AK607:AK670" si="68">AD607-AH607</f>
        <v>0</v>
      </c>
      <c r="AL607" s="86">
        <v>31518000</v>
      </c>
      <c r="AM607" s="86">
        <f t="shared" ref="AM607:AM670" si="69">AH607-AL607</f>
        <v>0</v>
      </c>
      <c r="AN607" s="63" t="s">
        <v>1155</v>
      </c>
      <c r="AO607" s="86">
        <f t="shared" ref="AO607:AO670" si="70">S607-AH607</f>
        <v>0</v>
      </c>
      <c r="AP607" s="63"/>
      <c r="AQ607" s="63"/>
      <c r="AR607" s="63"/>
      <c r="AS607" s="63"/>
      <c r="AT607" s="63"/>
      <c r="AU607" s="220"/>
      <c r="AV607" s="220"/>
      <c r="AW607" s="220"/>
    </row>
    <row r="608" spans="1:49" s="221" customFormat="1" ht="409.5" x14ac:dyDescent="0.25">
      <c r="A608" s="63">
        <v>194</v>
      </c>
      <c r="B608" s="63" t="str">
        <f t="shared" si="67"/>
        <v>3075-194</v>
      </c>
      <c r="C608" s="76" t="s">
        <v>1141</v>
      </c>
      <c r="D608" s="76" t="s">
        <v>1142</v>
      </c>
      <c r="E608" s="76" t="s">
        <v>1424</v>
      </c>
      <c r="F608" s="76" t="s">
        <v>1158</v>
      </c>
      <c r="G608" s="77" t="s">
        <v>1159</v>
      </c>
      <c r="H608" s="101" t="s">
        <v>1160</v>
      </c>
      <c r="I608" s="76" t="s">
        <v>1147</v>
      </c>
      <c r="J608" s="76" t="s">
        <v>1148</v>
      </c>
      <c r="K608" s="76">
        <v>801116</v>
      </c>
      <c r="L608" s="63" t="s">
        <v>1149</v>
      </c>
      <c r="M608" s="63" t="s">
        <v>58</v>
      </c>
      <c r="N608" s="63" t="s">
        <v>59</v>
      </c>
      <c r="O608" s="76" t="s">
        <v>1213</v>
      </c>
      <c r="P608" s="63" t="s">
        <v>1516</v>
      </c>
      <c r="Q608" s="83">
        <v>5253000</v>
      </c>
      <c r="R608" s="98">
        <v>1</v>
      </c>
      <c r="S608" s="80">
        <v>31518000</v>
      </c>
      <c r="T608" s="63" t="s">
        <v>888</v>
      </c>
      <c r="U608" s="63" t="s">
        <v>1163</v>
      </c>
      <c r="V608" s="81" t="s">
        <v>64</v>
      </c>
      <c r="W608" s="82">
        <v>6.444444444444442</v>
      </c>
      <c r="X608" s="63" t="s">
        <v>1718</v>
      </c>
      <c r="Y608" s="81">
        <v>43104</v>
      </c>
      <c r="Z608" s="83">
        <v>31518000</v>
      </c>
      <c r="AA608" s="84" t="s">
        <v>1692</v>
      </c>
      <c r="AB608" s="85">
        <v>418</v>
      </c>
      <c r="AC608" s="81">
        <v>43111</v>
      </c>
      <c r="AD608" s="86">
        <v>31518000</v>
      </c>
      <c r="AE608" s="86">
        <f t="shared" si="66"/>
        <v>0</v>
      </c>
      <c r="AF608" s="85">
        <v>501</v>
      </c>
      <c r="AG608" s="81">
        <v>43126</v>
      </c>
      <c r="AH608" s="86">
        <v>31518000</v>
      </c>
      <c r="AI608" s="63" t="s">
        <v>1719</v>
      </c>
      <c r="AJ608" s="63">
        <v>411</v>
      </c>
      <c r="AK608" s="87">
        <f t="shared" si="68"/>
        <v>0</v>
      </c>
      <c r="AL608" s="86">
        <v>26615200</v>
      </c>
      <c r="AM608" s="86">
        <f t="shared" si="69"/>
        <v>4902800</v>
      </c>
      <c r="AN608" s="63" t="s">
        <v>1155</v>
      </c>
      <c r="AO608" s="86">
        <f t="shared" si="70"/>
        <v>0</v>
      </c>
      <c r="AP608" s="63"/>
      <c r="AQ608" s="63"/>
      <c r="AR608" s="63"/>
      <c r="AS608" s="63"/>
      <c r="AT608" s="63"/>
      <c r="AU608" s="220"/>
      <c r="AV608" s="220"/>
      <c r="AW608" s="220"/>
    </row>
    <row r="609" spans="1:49" s="221" customFormat="1" ht="409.5" x14ac:dyDescent="0.25">
      <c r="A609" s="63">
        <v>195</v>
      </c>
      <c r="B609" s="63" t="str">
        <f t="shared" si="67"/>
        <v>3075-195</v>
      </c>
      <c r="C609" s="76" t="s">
        <v>1141</v>
      </c>
      <c r="D609" s="76" t="s">
        <v>1142</v>
      </c>
      <c r="E609" s="76" t="s">
        <v>1424</v>
      </c>
      <c r="F609" s="76" t="s">
        <v>1158</v>
      </c>
      <c r="G609" s="77" t="s">
        <v>1159</v>
      </c>
      <c r="H609" s="101" t="s">
        <v>1160</v>
      </c>
      <c r="I609" s="76" t="s">
        <v>1147</v>
      </c>
      <c r="J609" s="76" t="s">
        <v>1148</v>
      </c>
      <c r="K609" s="76">
        <v>801116</v>
      </c>
      <c r="L609" s="63" t="s">
        <v>1149</v>
      </c>
      <c r="M609" s="63" t="s">
        <v>58</v>
      </c>
      <c r="N609" s="63" t="s">
        <v>59</v>
      </c>
      <c r="O609" s="76" t="s">
        <v>1213</v>
      </c>
      <c r="P609" s="63" t="s">
        <v>1472</v>
      </c>
      <c r="Q609" s="83">
        <v>1751000</v>
      </c>
      <c r="R609" s="98">
        <v>1</v>
      </c>
      <c r="S609" s="80">
        <v>10506000</v>
      </c>
      <c r="T609" s="63" t="s">
        <v>928</v>
      </c>
      <c r="U609" s="63" t="s">
        <v>1163</v>
      </c>
      <c r="V609" s="81" t="s">
        <v>64</v>
      </c>
      <c r="W609" s="82">
        <v>6</v>
      </c>
      <c r="X609" s="63" t="s">
        <v>1720</v>
      </c>
      <c r="Y609" s="81">
        <v>43104</v>
      </c>
      <c r="Z609" s="83">
        <v>10506000</v>
      </c>
      <c r="AA609" s="84" t="s">
        <v>1680</v>
      </c>
      <c r="AB609" s="85">
        <v>419</v>
      </c>
      <c r="AC609" s="81">
        <v>43111</v>
      </c>
      <c r="AD609" s="86">
        <v>10506000</v>
      </c>
      <c r="AE609" s="86">
        <f t="shared" si="66"/>
        <v>0</v>
      </c>
      <c r="AF609" s="85">
        <v>407</v>
      </c>
      <c r="AG609" s="81">
        <v>43124</v>
      </c>
      <c r="AH609" s="86">
        <v>10506000</v>
      </c>
      <c r="AI609" s="63" t="s">
        <v>1721</v>
      </c>
      <c r="AJ609" s="63">
        <v>356</v>
      </c>
      <c r="AK609" s="87">
        <f t="shared" si="68"/>
        <v>0</v>
      </c>
      <c r="AL609" s="86">
        <v>10506000</v>
      </c>
      <c r="AM609" s="86">
        <f t="shared" si="69"/>
        <v>0</v>
      </c>
      <c r="AN609" s="63" t="s">
        <v>1155</v>
      </c>
      <c r="AO609" s="86">
        <f t="shared" si="70"/>
        <v>0</v>
      </c>
      <c r="AP609" s="63"/>
      <c r="AQ609" s="63"/>
      <c r="AR609" s="63"/>
      <c r="AS609" s="63"/>
      <c r="AT609" s="63"/>
      <c r="AU609" s="220"/>
      <c r="AV609" s="220"/>
      <c r="AW609" s="220"/>
    </row>
    <row r="610" spans="1:49" s="221" customFormat="1" ht="409.5" x14ac:dyDescent="0.25">
      <c r="A610" s="63">
        <v>196</v>
      </c>
      <c r="B610" s="63" t="str">
        <f t="shared" si="67"/>
        <v>3075-196</v>
      </c>
      <c r="C610" s="76" t="s">
        <v>1141</v>
      </c>
      <c r="D610" s="76" t="s">
        <v>1142</v>
      </c>
      <c r="E610" s="76" t="s">
        <v>1424</v>
      </c>
      <c r="F610" s="76" t="s">
        <v>1158</v>
      </c>
      <c r="G610" s="77" t="s">
        <v>1159</v>
      </c>
      <c r="H610" s="101" t="s">
        <v>1160</v>
      </c>
      <c r="I610" s="76" t="s">
        <v>1147</v>
      </c>
      <c r="J610" s="76" t="s">
        <v>1148</v>
      </c>
      <c r="K610" s="76">
        <v>801116</v>
      </c>
      <c r="L610" s="63" t="s">
        <v>1149</v>
      </c>
      <c r="M610" s="63" t="s">
        <v>58</v>
      </c>
      <c r="N610" s="63" t="s">
        <v>59</v>
      </c>
      <c r="O610" s="76" t="s">
        <v>1213</v>
      </c>
      <c r="P610" s="63" t="s">
        <v>1516</v>
      </c>
      <c r="Q610" s="83">
        <v>4120000</v>
      </c>
      <c r="R610" s="98">
        <v>1</v>
      </c>
      <c r="S610" s="80">
        <v>24720000</v>
      </c>
      <c r="T610" s="63" t="s">
        <v>888</v>
      </c>
      <c r="U610" s="63" t="s">
        <v>1163</v>
      </c>
      <c r="V610" s="81" t="s">
        <v>64</v>
      </c>
      <c r="W610" s="82">
        <v>6</v>
      </c>
      <c r="X610" s="63" t="s">
        <v>1722</v>
      </c>
      <c r="Y610" s="81">
        <v>43104</v>
      </c>
      <c r="Z610" s="83">
        <v>24720000</v>
      </c>
      <c r="AA610" s="84" t="s">
        <v>1723</v>
      </c>
      <c r="AB610" s="85">
        <v>420</v>
      </c>
      <c r="AC610" s="81">
        <v>43111</v>
      </c>
      <c r="AD610" s="86">
        <v>24720000</v>
      </c>
      <c r="AE610" s="86">
        <f t="shared" si="66"/>
        <v>0</v>
      </c>
      <c r="AF610" s="85">
        <v>320</v>
      </c>
      <c r="AG610" s="81">
        <v>43123</v>
      </c>
      <c r="AH610" s="86">
        <v>24720000</v>
      </c>
      <c r="AI610" s="63" t="s">
        <v>1724</v>
      </c>
      <c r="AJ610" s="63">
        <v>272</v>
      </c>
      <c r="AK610" s="87">
        <f t="shared" si="68"/>
        <v>0</v>
      </c>
      <c r="AL610" s="86">
        <v>24720000</v>
      </c>
      <c r="AM610" s="86">
        <f t="shared" si="69"/>
        <v>0</v>
      </c>
      <c r="AN610" s="63" t="s">
        <v>1155</v>
      </c>
      <c r="AO610" s="86">
        <f t="shared" si="70"/>
        <v>0</v>
      </c>
      <c r="AP610" s="63"/>
      <c r="AQ610" s="63"/>
      <c r="AR610" s="63"/>
      <c r="AS610" s="63"/>
      <c r="AT610" s="63"/>
      <c r="AU610" s="220"/>
      <c r="AV610" s="220"/>
      <c r="AW610" s="220"/>
    </row>
    <row r="611" spans="1:49" s="221" customFormat="1" ht="409.5" x14ac:dyDescent="0.25">
      <c r="A611" s="63">
        <v>197</v>
      </c>
      <c r="B611" s="63" t="str">
        <f t="shared" si="67"/>
        <v>3075-197</v>
      </c>
      <c r="C611" s="76" t="s">
        <v>1141</v>
      </c>
      <c r="D611" s="76" t="s">
        <v>1142</v>
      </c>
      <c r="E611" s="76" t="s">
        <v>1424</v>
      </c>
      <c r="F611" s="76" t="s">
        <v>1158</v>
      </c>
      <c r="G611" s="77" t="s">
        <v>1159</v>
      </c>
      <c r="H611" s="101" t="s">
        <v>1160</v>
      </c>
      <c r="I611" s="76" t="s">
        <v>1147</v>
      </c>
      <c r="J611" s="76" t="s">
        <v>1148</v>
      </c>
      <c r="K611" s="76">
        <v>801116</v>
      </c>
      <c r="L611" s="63" t="s">
        <v>1149</v>
      </c>
      <c r="M611" s="63" t="s">
        <v>58</v>
      </c>
      <c r="N611" s="63" t="s">
        <v>59</v>
      </c>
      <c r="O611" s="76" t="s">
        <v>1213</v>
      </c>
      <c r="P611" s="63" t="s">
        <v>1513</v>
      </c>
      <c r="Q611" s="83">
        <v>5036700</v>
      </c>
      <c r="R611" s="98">
        <v>1</v>
      </c>
      <c r="S611" s="80">
        <v>30220200</v>
      </c>
      <c r="T611" s="63" t="s">
        <v>888</v>
      </c>
      <c r="U611" s="63" t="s">
        <v>1163</v>
      </c>
      <c r="V611" s="81" t="s">
        <v>64</v>
      </c>
      <c r="W611" s="82">
        <v>6</v>
      </c>
      <c r="X611" s="63" t="s">
        <v>1725</v>
      </c>
      <c r="Y611" s="81">
        <v>43104</v>
      </c>
      <c r="Z611" s="83">
        <v>30220200</v>
      </c>
      <c r="AA611" s="84" t="s">
        <v>1726</v>
      </c>
      <c r="AB611" s="85">
        <v>421</v>
      </c>
      <c r="AC611" s="81">
        <v>43111</v>
      </c>
      <c r="AD611" s="86">
        <v>30220200</v>
      </c>
      <c r="AE611" s="86">
        <f t="shared" si="66"/>
        <v>0</v>
      </c>
      <c r="AF611" s="85">
        <v>269</v>
      </c>
      <c r="AG611" s="81">
        <v>43119</v>
      </c>
      <c r="AH611" s="86">
        <v>30220200</v>
      </c>
      <c r="AI611" s="63" t="s">
        <v>1490</v>
      </c>
      <c r="AJ611" s="63">
        <v>239</v>
      </c>
      <c r="AK611" s="87">
        <f t="shared" si="68"/>
        <v>0</v>
      </c>
      <c r="AL611" s="86">
        <v>30220200</v>
      </c>
      <c r="AM611" s="86">
        <f t="shared" si="69"/>
        <v>0</v>
      </c>
      <c r="AN611" s="63" t="s">
        <v>1155</v>
      </c>
      <c r="AO611" s="86">
        <f t="shared" si="70"/>
        <v>0</v>
      </c>
      <c r="AP611" s="63"/>
      <c r="AQ611" s="63"/>
      <c r="AR611" s="63"/>
      <c r="AS611" s="63"/>
      <c r="AT611" s="63"/>
      <c r="AU611" s="220"/>
      <c r="AV611" s="220"/>
      <c r="AW611" s="220"/>
    </row>
    <row r="612" spans="1:49" s="221" customFormat="1" ht="409.5" x14ac:dyDescent="0.25">
      <c r="A612" s="63">
        <v>198</v>
      </c>
      <c r="B612" s="63" t="str">
        <f t="shared" si="67"/>
        <v>3075-198</v>
      </c>
      <c r="C612" s="76" t="s">
        <v>1141</v>
      </c>
      <c r="D612" s="76" t="s">
        <v>1142</v>
      </c>
      <c r="E612" s="76" t="s">
        <v>1424</v>
      </c>
      <c r="F612" s="76" t="s">
        <v>1158</v>
      </c>
      <c r="G612" s="77" t="s">
        <v>1159</v>
      </c>
      <c r="H612" s="101" t="s">
        <v>1160</v>
      </c>
      <c r="I612" s="76" t="s">
        <v>1147</v>
      </c>
      <c r="J612" s="76" t="s">
        <v>1148</v>
      </c>
      <c r="K612" s="76">
        <v>801116</v>
      </c>
      <c r="L612" s="63" t="s">
        <v>1149</v>
      </c>
      <c r="M612" s="63" t="s">
        <v>58</v>
      </c>
      <c r="N612" s="63" t="s">
        <v>59</v>
      </c>
      <c r="O612" s="76" t="s">
        <v>1213</v>
      </c>
      <c r="P612" s="63" t="s">
        <v>1513</v>
      </c>
      <c r="Q612" s="83">
        <v>4120000</v>
      </c>
      <c r="R612" s="98">
        <v>1</v>
      </c>
      <c r="S612" s="80">
        <v>24720000</v>
      </c>
      <c r="T612" s="63" t="s">
        <v>888</v>
      </c>
      <c r="U612" s="63" t="s">
        <v>1163</v>
      </c>
      <c r="V612" s="81" t="s">
        <v>64</v>
      </c>
      <c r="W612" s="82">
        <v>6</v>
      </c>
      <c r="X612" s="63" t="s">
        <v>1727</v>
      </c>
      <c r="Y612" s="81">
        <v>43104</v>
      </c>
      <c r="Z612" s="83">
        <v>24720000</v>
      </c>
      <c r="AA612" s="84" t="s">
        <v>1669</v>
      </c>
      <c r="AB612" s="85">
        <v>422</v>
      </c>
      <c r="AC612" s="81">
        <v>43111</v>
      </c>
      <c r="AD612" s="86">
        <v>24720000</v>
      </c>
      <c r="AE612" s="86">
        <f t="shared" si="66"/>
        <v>0</v>
      </c>
      <c r="AF612" s="85">
        <v>381</v>
      </c>
      <c r="AG612" s="81">
        <v>43124</v>
      </c>
      <c r="AH612" s="86">
        <v>24720000</v>
      </c>
      <c r="AI612" s="63" t="s">
        <v>1728</v>
      </c>
      <c r="AJ612" s="63">
        <v>359</v>
      </c>
      <c r="AK612" s="87">
        <f t="shared" si="68"/>
        <v>0</v>
      </c>
      <c r="AL612" s="86">
        <v>24720000</v>
      </c>
      <c r="AM612" s="86">
        <f t="shared" si="69"/>
        <v>0</v>
      </c>
      <c r="AN612" s="63" t="s">
        <v>1155</v>
      </c>
      <c r="AO612" s="86">
        <f t="shared" si="70"/>
        <v>0</v>
      </c>
      <c r="AP612" s="63"/>
      <c r="AQ612" s="63"/>
      <c r="AR612" s="63"/>
      <c r="AS612" s="63"/>
      <c r="AT612" s="63"/>
      <c r="AU612" s="220"/>
      <c r="AV612" s="220"/>
      <c r="AW612" s="220"/>
    </row>
    <row r="613" spans="1:49" s="221" customFormat="1" ht="409.5" x14ac:dyDescent="0.25">
      <c r="A613" s="63">
        <v>199</v>
      </c>
      <c r="B613" s="63" t="str">
        <f t="shared" si="67"/>
        <v>3075-199</v>
      </c>
      <c r="C613" s="76" t="s">
        <v>1141</v>
      </c>
      <c r="D613" s="76" t="s">
        <v>1142</v>
      </c>
      <c r="E613" s="76" t="s">
        <v>1424</v>
      </c>
      <c r="F613" s="76" t="s">
        <v>1158</v>
      </c>
      <c r="G613" s="77" t="s">
        <v>1159</v>
      </c>
      <c r="H613" s="101" t="s">
        <v>1160</v>
      </c>
      <c r="I613" s="76" t="s">
        <v>1147</v>
      </c>
      <c r="J613" s="76" t="s">
        <v>1148</v>
      </c>
      <c r="K613" s="76">
        <v>801116</v>
      </c>
      <c r="L613" s="63" t="s">
        <v>1149</v>
      </c>
      <c r="M613" s="63" t="s">
        <v>58</v>
      </c>
      <c r="N613" s="63" t="s">
        <v>59</v>
      </c>
      <c r="O613" s="76" t="s">
        <v>1213</v>
      </c>
      <c r="P613" s="63" t="s">
        <v>1458</v>
      </c>
      <c r="Q613" s="83">
        <v>5665000</v>
      </c>
      <c r="R613" s="98">
        <v>1</v>
      </c>
      <c r="S613" s="80">
        <v>33990000</v>
      </c>
      <c r="T613" s="63" t="s">
        <v>888</v>
      </c>
      <c r="U613" s="63" t="s">
        <v>1163</v>
      </c>
      <c r="V613" s="81" t="s">
        <v>64</v>
      </c>
      <c r="W613" s="82">
        <v>6</v>
      </c>
      <c r="X613" s="63" t="s">
        <v>1729</v>
      </c>
      <c r="Y613" s="81">
        <v>43104</v>
      </c>
      <c r="Z613" s="83">
        <v>33990000</v>
      </c>
      <c r="AA613" s="84" t="s">
        <v>1689</v>
      </c>
      <c r="AB613" s="85">
        <v>423</v>
      </c>
      <c r="AC613" s="81">
        <v>43111</v>
      </c>
      <c r="AD613" s="86">
        <v>33990000</v>
      </c>
      <c r="AE613" s="86">
        <f t="shared" si="66"/>
        <v>0</v>
      </c>
      <c r="AF613" s="85">
        <v>428</v>
      </c>
      <c r="AG613" s="81">
        <v>43124</v>
      </c>
      <c r="AH613" s="86">
        <v>33990000</v>
      </c>
      <c r="AI613" s="63" t="s">
        <v>1730</v>
      </c>
      <c r="AJ613" s="63">
        <v>363</v>
      </c>
      <c r="AK613" s="87">
        <f t="shared" si="68"/>
        <v>0</v>
      </c>
      <c r="AL613" s="86">
        <v>33990000</v>
      </c>
      <c r="AM613" s="86">
        <f t="shared" si="69"/>
        <v>0</v>
      </c>
      <c r="AN613" s="63" t="s">
        <v>1155</v>
      </c>
      <c r="AO613" s="86">
        <f t="shared" si="70"/>
        <v>0</v>
      </c>
      <c r="AP613" s="63"/>
      <c r="AQ613" s="63"/>
      <c r="AR613" s="63"/>
      <c r="AS613" s="63"/>
      <c r="AT613" s="63"/>
      <c r="AU613" s="220"/>
      <c r="AV613" s="220"/>
      <c r="AW613" s="220"/>
    </row>
    <row r="614" spans="1:49" s="221" customFormat="1" ht="409.5" x14ac:dyDescent="0.25">
      <c r="A614" s="63">
        <v>200</v>
      </c>
      <c r="B614" s="63" t="str">
        <f t="shared" si="67"/>
        <v>3075-200</v>
      </c>
      <c r="C614" s="76" t="s">
        <v>1141</v>
      </c>
      <c r="D614" s="76" t="s">
        <v>1142</v>
      </c>
      <c r="E614" s="76" t="s">
        <v>1424</v>
      </c>
      <c r="F614" s="76" t="s">
        <v>1158</v>
      </c>
      <c r="G614" s="77" t="s">
        <v>1159</v>
      </c>
      <c r="H614" s="101" t="s">
        <v>1160</v>
      </c>
      <c r="I614" s="76" t="s">
        <v>1147</v>
      </c>
      <c r="J614" s="76" t="s">
        <v>1148</v>
      </c>
      <c r="K614" s="76">
        <v>801116</v>
      </c>
      <c r="L614" s="63" t="s">
        <v>1149</v>
      </c>
      <c r="M614" s="63" t="s">
        <v>58</v>
      </c>
      <c r="N614" s="63" t="s">
        <v>59</v>
      </c>
      <c r="O614" s="76" t="s">
        <v>1213</v>
      </c>
      <c r="P614" s="63" t="s">
        <v>1458</v>
      </c>
      <c r="Q614" s="83">
        <v>7210000</v>
      </c>
      <c r="R614" s="98">
        <v>1</v>
      </c>
      <c r="S614" s="80">
        <v>43260000</v>
      </c>
      <c r="T614" s="63" t="s">
        <v>888</v>
      </c>
      <c r="U614" s="63" t="s">
        <v>1163</v>
      </c>
      <c r="V614" s="81" t="s">
        <v>64</v>
      </c>
      <c r="W614" s="82">
        <v>6</v>
      </c>
      <c r="X614" s="63" t="s">
        <v>1731</v>
      </c>
      <c r="Y614" s="81">
        <v>43104</v>
      </c>
      <c r="Z614" s="83">
        <v>43260000</v>
      </c>
      <c r="AA614" s="84" t="s">
        <v>1732</v>
      </c>
      <c r="AB614" s="85">
        <v>424</v>
      </c>
      <c r="AC614" s="81">
        <v>43111</v>
      </c>
      <c r="AD614" s="86">
        <v>43260000</v>
      </c>
      <c r="AE614" s="86">
        <f t="shared" si="66"/>
        <v>0</v>
      </c>
      <c r="AF614" s="85">
        <v>371</v>
      </c>
      <c r="AG614" s="81">
        <v>43124</v>
      </c>
      <c r="AH614" s="86">
        <v>43260000</v>
      </c>
      <c r="AI614" s="63" t="s">
        <v>1733</v>
      </c>
      <c r="AJ614" s="63">
        <v>325</v>
      </c>
      <c r="AK614" s="87">
        <f t="shared" si="68"/>
        <v>0</v>
      </c>
      <c r="AL614" s="86">
        <v>43260000</v>
      </c>
      <c r="AM614" s="86">
        <f t="shared" si="69"/>
        <v>0</v>
      </c>
      <c r="AN614" s="63" t="s">
        <v>1155</v>
      </c>
      <c r="AO614" s="86">
        <f t="shared" si="70"/>
        <v>0</v>
      </c>
      <c r="AP614" s="63"/>
      <c r="AQ614" s="63"/>
      <c r="AR614" s="63"/>
      <c r="AS614" s="63"/>
      <c r="AT614" s="63"/>
      <c r="AU614" s="220"/>
      <c r="AV614" s="220"/>
      <c r="AW614" s="220"/>
    </row>
    <row r="615" spans="1:49" s="221" customFormat="1" ht="409.5" x14ac:dyDescent="0.25">
      <c r="A615" s="63">
        <v>201</v>
      </c>
      <c r="B615" s="63" t="str">
        <f t="shared" si="67"/>
        <v>3075-201</v>
      </c>
      <c r="C615" s="76" t="s">
        <v>1141</v>
      </c>
      <c r="D615" s="76" t="s">
        <v>1142</v>
      </c>
      <c r="E615" s="76" t="s">
        <v>1424</v>
      </c>
      <c r="F615" s="76" t="s">
        <v>1158</v>
      </c>
      <c r="G615" s="77" t="s">
        <v>1159</v>
      </c>
      <c r="H615" s="101" t="s">
        <v>1160</v>
      </c>
      <c r="I615" s="76" t="s">
        <v>1147</v>
      </c>
      <c r="J615" s="76" t="s">
        <v>1148</v>
      </c>
      <c r="K615" s="76">
        <v>801116</v>
      </c>
      <c r="L615" s="63" t="s">
        <v>1149</v>
      </c>
      <c r="M615" s="63" t="s">
        <v>58</v>
      </c>
      <c r="N615" s="63" t="s">
        <v>59</v>
      </c>
      <c r="O615" s="76" t="s">
        <v>1213</v>
      </c>
      <c r="P615" s="63" t="s">
        <v>1458</v>
      </c>
      <c r="Q615" s="83">
        <v>7210000</v>
      </c>
      <c r="R615" s="98">
        <v>1</v>
      </c>
      <c r="S615" s="80">
        <v>43260000</v>
      </c>
      <c r="T615" s="63" t="s">
        <v>888</v>
      </c>
      <c r="U615" s="63" t="s">
        <v>1163</v>
      </c>
      <c r="V615" s="81" t="s">
        <v>64</v>
      </c>
      <c r="W615" s="82">
        <v>6</v>
      </c>
      <c r="X615" s="63" t="s">
        <v>1734</v>
      </c>
      <c r="Y615" s="81">
        <v>43104</v>
      </c>
      <c r="Z615" s="83">
        <v>43260000</v>
      </c>
      <c r="AA615" s="84" t="s">
        <v>1732</v>
      </c>
      <c r="AB615" s="85">
        <v>465</v>
      </c>
      <c r="AC615" s="81">
        <v>43112</v>
      </c>
      <c r="AD615" s="86">
        <v>43260000</v>
      </c>
      <c r="AE615" s="86">
        <f t="shared" si="66"/>
        <v>0</v>
      </c>
      <c r="AF615" s="85">
        <v>423</v>
      </c>
      <c r="AG615" s="81">
        <v>43124</v>
      </c>
      <c r="AH615" s="86">
        <v>43260000</v>
      </c>
      <c r="AI615" s="63" t="s">
        <v>1735</v>
      </c>
      <c r="AJ615" s="63">
        <v>366</v>
      </c>
      <c r="AK615" s="87">
        <f t="shared" si="68"/>
        <v>0</v>
      </c>
      <c r="AL615" s="86">
        <v>43260000</v>
      </c>
      <c r="AM615" s="86">
        <f t="shared" si="69"/>
        <v>0</v>
      </c>
      <c r="AN615" s="63" t="s">
        <v>1155</v>
      </c>
      <c r="AO615" s="86">
        <f t="shared" si="70"/>
        <v>0</v>
      </c>
      <c r="AP615" s="63"/>
      <c r="AQ615" s="63"/>
      <c r="AR615" s="63"/>
      <c r="AS615" s="63"/>
      <c r="AT615" s="63"/>
      <c r="AU615" s="220"/>
      <c r="AV615" s="220"/>
      <c r="AW615" s="220"/>
    </row>
    <row r="616" spans="1:49" s="221" customFormat="1" ht="409.5" x14ac:dyDescent="0.25">
      <c r="A616" s="63">
        <v>202</v>
      </c>
      <c r="B616" s="63" t="str">
        <f t="shared" si="67"/>
        <v>3075-202</v>
      </c>
      <c r="C616" s="76" t="s">
        <v>1141</v>
      </c>
      <c r="D616" s="76" t="s">
        <v>1142</v>
      </c>
      <c r="E616" s="76" t="s">
        <v>1424</v>
      </c>
      <c r="F616" s="76" t="s">
        <v>1158</v>
      </c>
      <c r="G616" s="77" t="s">
        <v>1159</v>
      </c>
      <c r="H616" s="101" t="s">
        <v>1160</v>
      </c>
      <c r="I616" s="76" t="s">
        <v>1147</v>
      </c>
      <c r="J616" s="76" t="s">
        <v>1148</v>
      </c>
      <c r="K616" s="76">
        <v>801116</v>
      </c>
      <c r="L616" s="63" t="s">
        <v>1149</v>
      </c>
      <c r="M616" s="63" t="s">
        <v>58</v>
      </c>
      <c r="N616" s="63" t="s">
        <v>59</v>
      </c>
      <c r="O616" s="76" t="s">
        <v>1213</v>
      </c>
      <c r="P616" s="63" t="s">
        <v>1458</v>
      </c>
      <c r="Q616" s="83">
        <v>7210000</v>
      </c>
      <c r="R616" s="98">
        <v>1</v>
      </c>
      <c r="S616" s="80">
        <f>43260000-743160-6466840</f>
        <v>36050000</v>
      </c>
      <c r="T616" s="63" t="s">
        <v>888</v>
      </c>
      <c r="U616" s="63" t="s">
        <v>1163</v>
      </c>
      <c r="V616" s="81" t="s">
        <v>64</v>
      </c>
      <c r="W616" s="82">
        <v>5</v>
      </c>
      <c r="X616" s="63" t="s">
        <v>1736</v>
      </c>
      <c r="Y616" s="81">
        <v>43104</v>
      </c>
      <c r="Z616" s="83">
        <v>36050000</v>
      </c>
      <c r="AA616" s="84" t="s">
        <v>1732</v>
      </c>
      <c r="AB616" s="85">
        <v>466</v>
      </c>
      <c r="AC616" s="81">
        <v>43112</v>
      </c>
      <c r="AD616" s="86">
        <v>36050000</v>
      </c>
      <c r="AE616" s="86">
        <f t="shared" si="66"/>
        <v>0</v>
      </c>
      <c r="AF616" s="85">
        <v>334</v>
      </c>
      <c r="AG616" s="81">
        <v>43123</v>
      </c>
      <c r="AH616" s="86">
        <v>36050000</v>
      </c>
      <c r="AI616" s="63" t="s">
        <v>1737</v>
      </c>
      <c r="AJ616" s="63">
        <v>339</v>
      </c>
      <c r="AK616" s="87">
        <f t="shared" si="68"/>
        <v>0</v>
      </c>
      <c r="AL616" s="86">
        <v>36050000</v>
      </c>
      <c r="AM616" s="86">
        <f t="shared" si="69"/>
        <v>0</v>
      </c>
      <c r="AN616" s="63" t="s">
        <v>1155</v>
      </c>
      <c r="AO616" s="86">
        <f t="shared" si="70"/>
        <v>0</v>
      </c>
      <c r="AP616" s="63"/>
      <c r="AQ616" s="63"/>
      <c r="AR616" s="63"/>
      <c r="AS616" s="63"/>
      <c r="AT616" s="63"/>
      <c r="AU616" s="220"/>
      <c r="AV616" s="220"/>
      <c r="AW616" s="220"/>
    </row>
    <row r="617" spans="1:49" s="221" customFormat="1" ht="409.5" x14ac:dyDescent="0.25">
      <c r="A617" s="63">
        <v>203</v>
      </c>
      <c r="B617" s="63" t="str">
        <f t="shared" si="67"/>
        <v>3075-203</v>
      </c>
      <c r="C617" s="76" t="s">
        <v>1141</v>
      </c>
      <c r="D617" s="76" t="s">
        <v>1142</v>
      </c>
      <c r="E617" s="76" t="s">
        <v>1424</v>
      </c>
      <c r="F617" s="76" t="s">
        <v>1158</v>
      </c>
      <c r="G617" s="77" t="s">
        <v>1159</v>
      </c>
      <c r="H617" s="101" t="s">
        <v>1160</v>
      </c>
      <c r="I617" s="76" t="s">
        <v>1147</v>
      </c>
      <c r="J617" s="76" t="s">
        <v>1148</v>
      </c>
      <c r="K617" s="76">
        <v>801116</v>
      </c>
      <c r="L617" s="63" t="s">
        <v>1149</v>
      </c>
      <c r="M617" s="63" t="s">
        <v>58</v>
      </c>
      <c r="N617" s="63" t="s">
        <v>59</v>
      </c>
      <c r="O617" s="76" t="s">
        <v>1213</v>
      </c>
      <c r="P617" s="63" t="s">
        <v>1458</v>
      </c>
      <c r="Q617" s="83">
        <v>6180000</v>
      </c>
      <c r="R617" s="98">
        <v>1</v>
      </c>
      <c r="S617" s="80">
        <v>37080000</v>
      </c>
      <c r="T617" s="63" t="s">
        <v>888</v>
      </c>
      <c r="U617" s="63" t="s">
        <v>1163</v>
      </c>
      <c r="V617" s="81" t="s">
        <v>64</v>
      </c>
      <c r="W617" s="82">
        <v>6</v>
      </c>
      <c r="X617" s="63" t="s">
        <v>1738</v>
      </c>
      <c r="Y617" s="81">
        <v>43104</v>
      </c>
      <c r="Z617" s="83">
        <v>37080000</v>
      </c>
      <c r="AA617" s="84" t="s">
        <v>1739</v>
      </c>
      <c r="AB617" s="85">
        <v>455</v>
      </c>
      <c r="AC617" s="81">
        <v>43111</v>
      </c>
      <c r="AD617" s="86">
        <v>37080000</v>
      </c>
      <c r="AE617" s="86">
        <f t="shared" si="66"/>
        <v>0</v>
      </c>
      <c r="AF617" s="85">
        <v>268</v>
      </c>
      <c r="AG617" s="81">
        <v>43119</v>
      </c>
      <c r="AH617" s="86">
        <v>37080000</v>
      </c>
      <c r="AI617" s="63" t="s">
        <v>1478</v>
      </c>
      <c r="AJ617" s="63">
        <v>238</v>
      </c>
      <c r="AK617" s="87">
        <f t="shared" si="68"/>
        <v>0</v>
      </c>
      <c r="AL617" s="86">
        <v>37080000</v>
      </c>
      <c r="AM617" s="86">
        <f t="shared" si="69"/>
        <v>0</v>
      </c>
      <c r="AN617" s="63" t="s">
        <v>1155</v>
      </c>
      <c r="AO617" s="86">
        <f t="shared" si="70"/>
        <v>0</v>
      </c>
      <c r="AP617" s="63"/>
      <c r="AQ617" s="63"/>
      <c r="AR617" s="63"/>
      <c r="AS617" s="63"/>
      <c r="AT617" s="63"/>
      <c r="AU617" s="220"/>
      <c r="AV617" s="220"/>
      <c r="AW617" s="220"/>
    </row>
    <row r="618" spans="1:49" s="221" customFormat="1" ht="342" x14ac:dyDescent="0.25">
      <c r="A618" s="63">
        <v>204</v>
      </c>
      <c r="B618" s="63" t="str">
        <f t="shared" si="67"/>
        <v>3075-204</v>
      </c>
      <c r="C618" s="76" t="s">
        <v>1141</v>
      </c>
      <c r="D618" s="76" t="s">
        <v>1142</v>
      </c>
      <c r="E618" s="76" t="s">
        <v>1424</v>
      </c>
      <c r="F618" s="76" t="s">
        <v>1175</v>
      </c>
      <c r="G618" s="77" t="s">
        <v>1176</v>
      </c>
      <c r="H618" s="78" t="s">
        <v>1425</v>
      </c>
      <c r="I618" s="76" t="s">
        <v>1147</v>
      </c>
      <c r="J618" s="76" t="s">
        <v>1148</v>
      </c>
      <c r="K618" s="76" t="s">
        <v>439</v>
      </c>
      <c r="L618" s="63" t="s">
        <v>1149</v>
      </c>
      <c r="M618" s="63" t="s">
        <v>58</v>
      </c>
      <c r="N618" s="63" t="s">
        <v>59</v>
      </c>
      <c r="O618" s="76" t="s">
        <v>1213</v>
      </c>
      <c r="P618" s="63" t="s">
        <v>1740</v>
      </c>
      <c r="Q618" s="83">
        <v>54686940</v>
      </c>
      <c r="R618" s="98">
        <v>1</v>
      </c>
      <c r="S618" s="80">
        <v>54686940</v>
      </c>
      <c r="T618" s="63" t="s">
        <v>1171</v>
      </c>
      <c r="U618" s="63" t="s">
        <v>1171</v>
      </c>
      <c r="V618" s="81" t="s">
        <v>64</v>
      </c>
      <c r="W618" s="82" t="s">
        <v>439</v>
      </c>
      <c r="X618" s="99" t="s">
        <v>1741</v>
      </c>
      <c r="Y618" s="81">
        <v>43109</v>
      </c>
      <c r="Z618" s="83">
        <v>54686940</v>
      </c>
      <c r="AA618" s="84" t="s">
        <v>1742</v>
      </c>
      <c r="AB618" s="85">
        <v>370</v>
      </c>
      <c r="AC618" s="81">
        <v>43110</v>
      </c>
      <c r="AD618" s="86">
        <v>54686940</v>
      </c>
      <c r="AE618" s="87">
        <f t="shared" si="66"/>
        <v>0</v>
      </c>
      <c r="AF618" s="85">
        <v>511</v>
      </c>
      <c r="AG618" s="81">
        <v>43129</v>
      </c>
      <c r="AH618" s="86">
        <v>54686940</v>
      </c>
      <c r="AI618" s="63" t="s">
        <v>1743</v>
      </c>
      <c r="AJ618" s="63">
        <v>201</v>
      </c>
      <c r="AK618" s="87">
        <f t="shared" si="68"/>
        <v>0</v>
      </c>
      <c r="AL618" s="86">
        <v>54686940</v>
      </c>
      <c r="AM618" s="86">
        <f t="shared" si="69"/>
        <v>0</v>
      </c>
      <c r="AN618" s="63" t="s">
        <v>1155</v>
      </c>
      <c r="AO618" s="86">
        <f t="shared" si="70"/>
        <v>0</v>
      </c>
      <c r="AP618" s="63"/>
      <c r="AQ618" s="63"/>
      <c r="AR618" s="63"/>
      <c r="AS618" s="63"/>
      <c r="AT618" s="63"/>
      <c r="AU618" s="220"/>
      <c r="AV618" s="220"/>
      <c r="AW618" s="220"/>
    </row>
    <row r="619" spans="1:49" s="221" customFormat="1" ht="342" x14ac:dyDescent="0.25">
      <c r="A619" s="63">
        <v>205</v>
      </c>
      <c r="B619" s="63" t="str">
        <f t="shared" si="67"/>
        <v>3075-205</v>
      </c>
      <c r="C619" s="76" t="s">
        <v>1141</v>
      </c>
      <c r="D619" s="76" t="s">
        <v>1142</v>
      </c>
      <c r="E619" s="76" t="s">
        <v>1424</v>
      </c>
      <c r="F619" s="76" t="s">
        <v>1175</v>
      </c>
      <c r="G619" s="77" t="s">
        <v>1176</v>
      </c>
      <c r="H619" s="78" t="s">
        <v>1425</v>
      </c>
      <c r="I619" s="76" t="s">
        <v>1147</v>
      </c>
      <c r="J619" s="76" t="s">
        <v>1148</v>
      </c>
      <c r="K619" s="76" t="s">
        <v>439</v>
      </c>
      <c r="L619" s="63" t="s">
        <v>1149</v>
      </c>
      <c r="M619" s="63" t="s">
        <v>58</v>
      </c>
      <c r="N619" s="63" t="s">
        <v>59</v>
      </c>
      <c r="O619" s="76" t="s">
        <v>1213</v>
      </c>
      <c r="P619" s="63" t="s">
        <v>1744</v>
      </c>
      <c r="Q619" s="83">
        <v>54686940</v>
      </c>
      <c r="R619" s="98">
        <v>1</v>
      </c>
      <c r="S619" s="80">
        <v>54686940</v>
      </c>
      <c r="T619" s="63" t="s">
        <v>1171</v>
      </c>
      <c r="U619" s="63" t="s">
        <v>1171</v>
      </c>
      <c r="V619" s="81" t="s">
        <v>64</v>
      </c>
      <c r="W619" s="82" t="s">
        <v>439</v>
      </c>
      <c r="X619" s="99" t="s">
        <v>1745</v>
      </c>
      <c r="Y619" s="81">
        <v>43109</v>
      </c>
      <c r="Z619" s="83">
        <v>54686940</v>
      </c>
      <c r="AA619" s="84" t="s">
        <v>1742</v>
      </c>
      <c r="AB619" s="85">
        <v>400</v>
      </c>
      <c r="AC619" s="81">
        <v>43110</v>
      </c>
      <c r="AD619" s="86">
        <v>54686940</v>
      </c>
      <c r="AE619" s="87">
        <f t="shared" si="66"/>
        <v>0</v>
      </c>
      <c r="AF619" s="85">
        <v>311</v>
      </c>
      <c r="AG619" s="81">
        <v>43122</v>
      </c>
      <c r="AH619" s="86">
        <v>54686940</v>
      </c>
      <c r="AI619" s="63" t="s">
        <v>1746</v>
      </c>
      <c r="AJ619" s="63">
        <v>34</v>
      </c>
      <c r="AK619" s="87">
        <f t="shared" si="68"/>
        <v>0</v>
      </c>
      <c r="AL619" s="86">
        <v>54686940</v>
      </c>
      <c r="AM619" s="86">
        <f t="shared" si="69"/>
        <v>0</v>
      </c>
      <c r="AN619" s="63" t="s">
        <v>1155</v>
      </c>
      <c r="AO619" s="86">
        <f t="shared" si="70"/>
        <v>0</v>
      </c>
      <c r="AP619" s="63"/>
      <c r="AQ619" s="63"/>
      <c r="AR619" s="63"/>
      <c r="AS619" s="63"/>
      <c r="AT619" s="63"/>
      <c r="AU619" s="220"/>
      <c r="AV619" s="220"/>
      <c r="AW619" s="220"/>
    </row>
    <row r="620" spans="1:49" s="221" customFormat="1" ht="342" x14ac:dyDescent="0.25">
      <c r="A620" s="63">
        <v>206</v>
      </c>
      <c r="B620" s="63" t="str">
        <f t="shared" si="67"/>
        <v>3075-206</v>
      </c>
      <c r="C620" s="76" t="s">
        <v>1141</v>
      </c>
      <c r="D620" s="76" t="s">
        <v>1142</v>
      </c>
      <c r="E620" s="76" t="s">
        <v>1424</v>
      </c>
      <c r="F620" s="76" t="s">
        <v>1175</v>
      </c>
      <c r="G620" s="77" t="s">
        <v>1176</v>
      </c>
      <c r="H620" s="78" t="s">
        <v>1425</v>
      </c>
      <c r="I620" s="76" t="s">
        <v>1147</v>
      </c>
      <c r="J620" s="76" t="s">
        <v>1148</v>
      </c>
      <c r="K620" s="76" t="s">
        <v>439</v>
      </c>
      <c r="L620" s="63" t="s">
        <v>1149</v>
      </c>
      <c r="M620" s="63" t="s">
        <v>58</v>
      </c>
      <c r="N620" s="63" t="s">
        <v>59</v>
      </c>
      <c r="O620" s="76" t="s">
        <v>1213</v>
      </c>
      <c r="P620" s="63" t="s">
        <v>1747</v>
      </c>
      <c r="Q620" s="83">
        <v>54686940</v>
      </c>
      <c r="R620" s="98">
        <v>1</v>
      </c>
      <c r="S620" s="80">
        <v>54686940</v>
      </c>
      <c r="T620" s="63" t="s">
        <v>1171</v>
      </c>
      <c r="U620" s="63" t="s">
        <v>1171</v>
      </c>
      <c r="V620" s="81" t="s">
        <v>64</v>
      </c>
      <c r="W620" s="82" t="s">
        <v>439</v>
      </c>
      <c r="X620" s="99" t="s">
        <v>1748</v>
      </c>
      <c r="Y620" s="81">
        <v>43109</v>
      </c>
      <c r="Z620" s="83">
        <v>54686940</v>
      </c>
      <c r="AA620" s="84" t="s">
        <v>1742</v>
      </c>
      <c r="AB620" s="85">
        <v>377</v>
      </c>
      <c r="AC620" s="81">
        <v>43110</v>
      </c>
      <c r="AD620" s="86">
        <v>54686940</v>
      </c>
      <c r="AE620" s="87">
        <f t="shared" si="66"/>
        <v>0</v>
      </c>
      <c r="AF620" s="85">
        <v>327</v>
      </c>
      <c r="AG620" s="81">
        <v>43123</v>
      </c>
      <c r="AH620" s="86">
        <v>54686940</v>
      </c>
      <c r="AI620" s="63" t="s">
        <v>1749</v>
      </c>
      <c r="AJ620" s="63">
        <v>35</v>
      </c>
      <c r="AK620" s="87">
        <f t="shared" si="68"/>
        <v>0</v>
      </c>
      <c r="AL620" s="86">
        <v>54686940</v>
      </c>
      <c r="AM620" s="86">
        <f t="shared" si="69"/>
        <v>0</v>
      </c>
      <c r="AN620" s="63" t="s">
        <v>1155</v>
      </c>
      <c r="AO620" s="86">
        <f t="shared" si="70"/>
        <v>0</v>
      </c>
      <c r="AP620" s="63"/>
      <c r="AQ620" s="63"/>
      <c r="AR620" s="63"/>
      <c r="AS620" s="63"/>
      <c r="AT620" s="63"/>
      <c r="AU620" s="220"/>
      <c r="AV620" s="220"/>
      <c r="AW620" s="220"/>
    </row>
    <row r="621" spans="1:49" s="221" customFormat="1" ht="342" x14ac:dyDescent="0.25">
      <c r="A621" s="63">
        <v>207</v>
      </c>
      <c r="B621" s="63" t="str">
        <f t="shared" si="67"/>
        <v>3075-207</v>
      </c>
      <c r="C621" s="76" t="s">
        <v>1141</v>
      </c>
      <c r="D621" s="76" t="s">
        <v>1142</v>
      </c>
      <c r="E621" s="76" t="s">
        <v>1424</v>
      </c>
      <c r="F621" s="76" t="s">
        <v>1175</v>
      </c>
      <c r="G621" s="77" t="s">
        <v>1176</v>
      </c>
      <c r="H621" s="78" t="s">
        <v>1425</v>
      </c>
      <c r="I621" s="76" t="s">
        <v>1147</v>
      </c>
      <c r="J621" s="76" t="s">
        <v>1148</v>
      </c>
      <c r="K621" s="76" t="s">
        <v>439</v>
      </c>
      <c r="L621" s="63" t="s">
        <v>1149</v>
      </c>
      <c r="M621" s="63" t="s">
        <v>58</v>
      </c>
      <c r="N621" s="63" t="s">
        <v>59</v>
      </c>
      <c r="O621" s="76" t="s">
        <v>1213</v>
      </c>
      <c r="P621" s="63" t="s">
        <v>1750</v>
      </c>
      <c r="Q621" s="83">
        <v>54686940</v>
      </c>
      <c r="R621" s="98">
        <v>1</v>
      </c>
      <c r="S621" s="80">
        <v>54686940</v>
      </c>
      <c r="T621" s="63" t="s">
        <v>1171</v>
      </c>
      <c r="U621" s="63" t="s">
        <v>1171</v>
      </c>
      <c r="V621" s="81" t="s">
        <v>493</v>
      </c>
      <c r="W621" s="82" t="s">
        <v>439</v>
      </c>
      <c r="X621" s="99" t="s">
        <v>1751</v>
      </c>
      <c r="Y621" s="81">
        <v>43109</v>
      </c>
      <c r="Z621" s="83">
        <v>54686940</v>
      </c>
      <c r="AA621" s="84" t="s">
        <v>1742</v>
      </c>
      <c r="AB621" s="85">
        <v>397</v>
      </c>
      <c r="AC621" s="81">
        <v>43110</v>
      </c>
      <c r="AD621" s="86">
        <v>54686940</v>
      </c>
      <c r="AE621" s="87">
        <f t="shared" si="66"/>
        <v>0</v>
      </c>
      <c r="AF621" s="85">
        <v>1332</v>
      </c>
      <c r="AG621" s="81">
        <v>43144</v>
      </c>
      <c r="AH621" s="86">
        <v>54686940</v>
      </c>
      <c r="AI621" s="63" t="s">
        <v>1752</v>
      </c>
      <c r="AJ621" s="63">
        <v>1102</v>
      </c>
      <c r="AK621" s="87">
        <f t="shared" si="68"/>
        <v>0</v>
      </c>
      <c r="AL621" s="86">
        <v>54686940</v>
      </c>
      <c r="AM621" s="86">
        <f t="shared" si="69"/>
        <v>0</v>
      </c>
      <c r="AN621" s="63" t="s">
        <v>1155</v>
      </c>
      <c r="AO621" s="86">
        <f t="shared" si="70"/>
        <v>0</v>
      </c>
      <c r="AP621" s="63"/>
      <c r="AQ621" s="63"/>
      <c r="AR621" s="63"/>
      <c r="AS621" s="63"/>
      <c r="AT621" s="63"/>
      <c r="AU621" s="220"/>
      <c r="AV621" s="220"/>
      <c r="AW621" s="220"/>
    </row>
    <row r="622" spans="1:49" s="221" customFormat="1" ht="342" x14ac:dyDescent="0.25">
      <c r="A622" s="63">
        <v>208</v>
      </c>
      <c r="B622" s="63" t="str">
        <f t="shared" si="67"/>
        <v>3075-208</v>
      </c>
      <c r="C622" s="76" t="s">
        <v>1141</v>
      </c>
      <c r="D622" s="76" t="s">
        <v>1142</v>
      </c>
      <c r="E622" s="76" t="s">
        <v>1424</v>
      </c>
      <c r="F622" s="76" t="s">
        <v>1175</v>
      </c>
      <c r="G622" s="77" t="s">
        <v>1176</v>
      </c>
      <c r="H622" s="78" t="s">
        <v>1425</v>
      </c>
      <c r="I622" s="76" t="s">
        <v>1147</v>
      </c>
      <c r="J622" s="76" t="s">
        <v>1148</v>
      </c>
      <c r="K622" s="76" t="s">
        <v>439</v>
      </c>
      <c r="L622" s="63" t="s">
        <v>1149</v>
      </c>
      <c r="M622" s="63" t="s">
        <v>58</v>
      </c>
      <c r="N622" s="63" t="s">
        <v>59</v>
      </c>
      <c r="O622" s="76" t="s">
        <v>1213</v>
      </c>
      <c r="P622" s="63" t="s">
        <v>1753</v>
      </c>
      <c r="Q622" s="83">
        <v>54686940</v>
      </c>
      <c r="R622" s="98">
        <v>1</v>
      </c>
      <c r="S622" s="80">
        <v>54686940</v>
      </c>
      <c r="T622" s="63" t="s">
        <v>1171</v>
      </c>
      <c r="U622" s="63" t="s">
        <v>1171</v>
      </c>
      <c r="V622" s="81" t="s">
        <v>64</v>
      </c>
      <c r="W622" s="82" t="s">
        <v>439</v>
      </c>
      <c r="X622" s="99" t="s">
        <v>1754</v>
      </c>
      <c r="Y622" s="81">
        <v>43109</v>
      </c>
      <c r="Z622" s="83">
        <v>54686940</v>
      </c>
      <c r="AA622" s="84" t="s">
        <v>1742</v>
      </c>
      <c r="AB622" s="85">
        <v>426</v>
      </c>
      <c r="AC622" s="81">
        <v>43111</v>
      </c>
      <c r="AD622" s="86">
        <v>54686940</v>
      </c>
      <c r="AE622" s="87">
        <f t="shared" si="66"/>
        <v>0</v>
      </c>
      <c r="AF622" s="85">
        <v>509</v>
      </c>
      <c r="AG622" s="81">
        <v>43129</v>
      </c>
      <c r="AH622" s="86">
        <v>54686940</v>
      </c>
      <c r="AI622" s="63" t="s">
        <v>1755</v>
      </c>
      <c r="AJ622" s="63">
        <v>202</v>
      </c>
      <c r="AK622" s="87">
        <f t="shared" si="68"/>
        <v>0</v>
      </c>
      <c r="AL622" s="86">
        <v>54686940</v>
      </c>
      <c r="AM622" s="86">
        <f t="shared" si="69"/>
        <v>0</v>
      </c>
      <c r="AN622" s="63" t="s">
        <v>1155</v>
      </c>
      <c r="AO622" s="86">
        <f t="shared" si="70"/>
        <v>0</v>
      </c>
      <c r="AP622" s="63"/>
      <c r="AQ622" s="63"/>
      <c r="AR622" s="63"/>
      <c r="AS622" s="63"/>
      <c r="AT622" s="63"/>
      <c r="AU622" s="220"/>
      <c r="AV622" s="220"/>
      <c r="AW622" s="220"/>
    </row>
    <row r="623" spans="1:49" s="221" customFormat="1" ht="342" x14ac:dyDescent="0.25">
      <c r="A623" s="63">
        <v>209</v>
      </c>
      <c r="B623" s="63" t="str">
        <f t="shared" si="67"/>
        <v>3075-209</v>
      </c>
      <c r="C623" s="76" t="s">
        <v>1141</v>
      </c>
      <c r="D623" s="76" t="s">
        <v>1142</v>
      </c>
      <c r="E623" s="76" t="s">
        <v>1424</v>
      </c>
      <c r="F623" s="76" t="s">
        <v>1175</v>
      </c>
      <c r="G623" s="77" t="s">
        <v>1176</v>
      </c>
      <c r="H623" s="78" t="s">
        <v>1425</v>
      </c>
      <c r="I623" s="76" t="s">
        <v>1147</v>
      </c>
      <c r="J623" s="76" t="s">
        <v>1148</v>
      </c>
      <c r="K623" s="76" t="s">
        <v>439</v>
      </c>
      <c r="L623" s="63" t="s">
        <v>1149</v>
      </c>
      <c r="M623" s="63" t="s">
        <v>58</v>
      </c>
      <c r="N623" s="63" t="s">
        <v>59</v>
      </c>
      <c r="O623" s="76" t="s">
        <v>1213</v>
      </c>
      <c r="P623" s="63" t="s">
        <v>1756</v>
      </c>
      <c r="Q623" s="83">
        <v>54686940</v>
      </c>
      <c r="R623" s="98">
        <v>1</v>
      </c>
      <c r="S623" s="80">
        <v>54686940</v>
      </c>
      <c r="T623" s="63" t="s">
        <v>1171</v>
      </c>
      <c r="U623" s="63" t="s">
        <v>1171</v>
      </c>
      <c r="V623" s="81" t="s">
        <v>64</v>
      </c>
      <c r="W623" s="82" t="s">
        <v>439</v>
      </c>
      <c r="X623" s="99" t="s">
        <v>1757</v>
      </c>
      <c r="Y623" s="81">
        <v>43109</v>
      </c>
      <c r="Z623" s="83">
        <v>54686940</v>
      </c>
      <c r="AA623" s="84" t="s">
        <v>1742</v>
      </c>
      <c r="AB623" s="85">
        <v>428</v>
      </c>
      <c r="AC623" s="81">
        <v>43111</v>
      </c>
      <c r="AD623" s="86">
        <v>54686940</v>
      </c>
      <c r="AE623" s="87">
        <f t="shared" si="66"/>
        <v>0</v>
      </c>
      <c r="AF623" s="85">
        <v>328</v>
      </c>
      <c r="AG623" s="81">
        <v>43123</v>
      </c>
      <c r="AH623" s="86">
        <v>54686940</v>
      </c>
      <c r="AI623" s="63" t="s">
        <v>1758</v>
      </c>
      <c r="AJ623" s="63">
        <v>33</v>
      </c>
      <c r="AK623" s="87">
        <f t="shared" si="68"/>
        <v>0</v>
      </c>
      <c r="AL623" s="86">
        <v>54686940</v>
      </c>
      <c r="AM623" s="86">
        <f t="shared" si="69"/>
        <v>0</v>
      </c>
      <c r="AN623" s="63" t="s">
        <v>1155</v>
      </c>
      <c r="AO623" s="86">
        <f t="shared" si="70"/>
        <v>0</v>
      </c>
      <c r="AP623" s="63"/>
      <c r="AQ623" s="63"/>
      <c r="AR623" s="63"/>
      <c r="AS623" s="63"/>
      <c r="AT623" s="63"/>
      <c r="AU623" s="220"/>
      <c r="AV623" s="220"/>
      <c r="AW623" s="220"/>
    </row>
    <row r="624" spans="1:49" s="221" customFormat="1" ht="342" x14ac:dyDescent="0.25">
      <c r="A624" s="63">
        <v>210</v>
      </c>
      <c r="B624" s="63" t="str">
        <f t="shared" si="67"/>
        <v>3075-210</v>
      </c>
      <c r="C624" s="76" t="s">
        <v>1141</v>
      </c>
      <c r="D624" s="76" t="s">
        <v>1142</v>
      </c>
      <c r="E624" s="76" t="s">
        <v>1424</v>
      </c>
      <c r="F624" s="76" t="s">
        <v>1175</v>
      </c>
      <c r="G624" s="77" t="s">
        <v>1176</v>
      </c>
      <c r="H624" s="78" t="s">
        <v>1425</v>
      </c>
      <c r="I624" s="76" t="s">
        <v>1147</v>
      </c>
      <c r="J624" s="76" t="s">
        <v>1148</v>
      </c>
      <c r="K624" s="76" t="s">
        <v>439</v>
      </c>
      <c r="L624" s="63" t="s">
        <v>1149</v>
      </c>
      <c r="M624" s="63" t="s">
        <v>58</v>
      </c>
      <c r="N624" s="63" t="s">
        <v>59</v>
      </c>
      <c r="O624" s="76" t="s">
        <v>1213</v>
      </c>
      <c r="P624" s="63" t="s">
        <v>1759</v>
      </c>
      <c r="Q624" s="83">
        <v>54686940</v>
      </c>
      <c r="R624" s="98">
        <v>1</v>
      </c>
      <c r="S624" s="80">
        <v>54686940</v>
      </c>
      <c r="T624" s="63" t="s">
        <v>1171</v>
      </c>
      <c r="U624" s="63" t="s">
        <v>1171</v>
      </c>
      <c r="V624" s="81" t="s">
        <v>64</v>
      </c>
      <c r="W624" s="82" t="s">
        <v>439</v>
      </c>
      <c r="X624" s="99" t="s">
        <v>1760</v>
      </c>
      <c r="Y624" s="81">
        <v>43109</v>
      </c>
      <c r="Z624" s="83">
        <v>54686940</v>
      </c>
      <c r="AA624" s="84" t="s">
        <v>1742</v>
      </c>
      <c r="AB624" s="85">
        <v>427</v>
      </c>
      <c r="AC624" s="81">
        <v>43111</v>
      </c>
      <c r="AD624" s="86">
        <v>54686940</v>
      </c>
      <c r="AE624" s="87">
        <f t="shared" si="66"/>
        <v>0</v>
      </c>
      <c r="AF624" s="85">
        <v>305</v>
      </c>
      <c r="AG624" s="81">
        <v>43122</v>
      </c>
      <c r="AH624" s="86">
        <v>54686940</v>
      </c>
      <c r="AI624" s="63" t="s">
        <v>1761</v>
      </c>
      <c r="AJ624" s="63">
        <v>36</v>
      </c>
      <c r="AK624" s="87">
        <f t="shared" si="68"/>
        <v>0</v>
      </c>
      <c r="AL624" s="86">
        <v>54686940</v>
      </c>
      <c r="AM624" s="86">
        <f t="shared" si="69"/>
        <v>0</v>
      </c>
      <c r="AN624" s="63" t="s">
        <v>1155</v>
      </c>
      <c r="AO624" s="86">
        <f t="shared" si="70"/>
        <v>0</v>
      </c>
      <c r="AP624" s="63"/>
      <c r="AQ624" s="63"/>
      <c r="AR624" s="63"/>
      <c r="AS624" s="63"/>
      <c r="AT624" s="63"/>
      <c r="AU624" s="220"/>
      <c r="AV624" s="220"/>
      <c r="AW624" s="220"/>
    </row>
    <row r="625" spans="1:49" s="221" customFormat="1" ht="342" x14ac:dyDescent="0.25">
      <c r="A625" s="63">
        <v>211</v>
      </c>
      <c r="B625" s="63" t="str">
        <f t="shared" si="67"/>
        <v>3075-211</v>
      </c>
      <c r="C625" s="76" t="s">
        <v>1141</v>
      </c>
      <c r="D625" s="76" t="s">
        <v>1142</v>
      </c>
      <c r="E625" s="76" t="s">
        <v>1424</v>
      </c>
      <c r="F625" s="76" t="s">
        <v>1175</v>
      </c>
      <c r="G625" s="77" t="s">
        <v>1176</v>
      </c>
      <c r="H625" s="78" t="s">
        <v>1425</v>
      </c>
      <c r="I625" s="76" t="s">
        <v>1147</v>
      </c>
      <c r="J625" s="76" t="s">
        <v>1148</v>
      </c>
      <c r="K625" s="76" t="s">
        <v>439</v>
      </c>
      <c r="L625" s="63" t="s">
        <v>1149</v>
      </c>
      <c r="M625" s="63" t="s">
        <v>58</v>
      </c>
      <c r="N625" s="63" t="s">
        <v>59</v>
      </c>
      <c r="O625" s="76" t="s">
        <v>1213</v>
      </c>
      <c r="P625" s="63" t="s">
        <v>1762</v>
      </c>
      <c r="Q625" s="83">
        <v>54686940</v>
      </c>
      <c r="R625" s="98">
        <v>1</v>
      </c>
      <c r="S625" s="80">
        <v>54686940</v>
      </c>
      <c r="T625" s="63" t="s">
        <v>1171</v>
      </c>
      <c r="U625" s="63" t="s">
        <v>1171</v>
      </c>
      <c r="V625" s="81" t="s">
        <v>64</v>
      </c>
      <c r="W625" s="82" t="s">
        <v>439</v>
      </c>
      <c r="X625" s="99" t="s">
        <v>1763</v>
      </c>
      <c r="Y625" s="81">
        <v>43109</v>
      </c>
      <c r="Z625" s="83">
        <v>54686940</v>
      </c>
      <c r="AA625" s="84" t="s">
        <v>1742</v>
      </c>
      <c r="AB625" s="85">
        <v>373</v>
      </c>
      <c r="AC625" s="81">
        <v>43110</v>
      </c>
      <c r="AD625" s="86">
        <v>54686940</v>
      </c>
      <c r="AE625" s="87">
        <f t="shared" si="66"/>
        <v>0</v>
      </c>
      <c r="AF625" s="85">
        <v>422</v>
      </c>
      <c r="AG625" s="81">
        <v>43124</v>
      </c>
      <c r="AH625" s="86">
        <v>54686940</v>
      </c>
      <c r="AI625" s="63" t="s">
        <v>1764</v>
      </c>
      <c r="AJ625" s="63">
        <v>100</v>
      </c>
      <c r="AK625" s="87">
        <f t="shared" si="68"/>
        <v>0</v>
      </c>
      <c r="AL625" s="86">
        <v>54686940</v>
      </c>
      <c r="AM625" s="86">
        <f t="shared" si="69"/>
        <v>0</v>
      </c>
      <c r="AN625" s="63" t="s">
        <v>1155</v>
      </c>
      <c r="AO625" s="86">
        <f t="shared" si="70"/>
        <v>0</v>
      </c>
      <c r="AP625" s="63"/>
      <c r="AQ625" s="63"/>
      <c r="AR625" s="63"/>
      <c r="AS625" s="63"/>
      <c r="AT625" s="63"/>
      <c r="AU625" s="220"/>
      <c r="AV625" s="220"/>
      <c r="AW625" s="220"/>
    </row>
    <row r="626" spans="1:49" s="221" customFormat="1" ht="342" x14ac:dyDescent="0.25">
      <c r="A626" s="63">
        <v>212</v>
      </c>
      <c r="B626" s="63" t="str">
        <f t="shared" si="67"/>
        <v>3075-212</v>
      </c>
      <c r="C626" s="76" t="s">
        <v>1141</v>
      </c>
      <c r="D626" s="76" t="s">
        <v>1142</v>
      </c>
      <c r="E626" s="76" t="s">
        <v>1424</v>
      </c>
      <c r="F626" s="76" t="s">
        <v>1175</v>
      </c>
      <c r="G626" s="77" t="s">
        <v>1176</v>
      </c>
      <c r="H626" s="78" t="s">
        <v>1425</v>
      </c>
      <c r="I626" s="76" t="s">
        <v>1147</v>
      </c>
      <c r="J626" s="76" t="s">
        <v>1148</v>
      </c>
      <c r="K626" s="76" t="s">
        <v>439</v>
      </c>
      <c r="L626" s="63" t="s">
        <v>1149</v>
      </c>
      <c r="M626" s="63" t="s">
        <v>58</v>
      </c>
      <c r="N626" s="63" t="s">
        <v>59</v>
      </c>
      <c r="O626" s="76" t="s">
        <v>1213</v>
      </c>
      <c r="P626" s="63" t="s">
        <v>1765</v>
      </c>
      <c r="Q626" s="83">
        <v>54686940</v>
      </c>
      <c r="R626" s="98">
        <v>1</v>
      </c>
      <c r="S626" s="80">
        <v>54686940</v>
      </c>
      <c r="T626" s="63" t="s">
        <v>1171</v>
      </c>
      <c r="U626" s="63" t="s">
        <v>1171</v>
      </c>
      <c r="V626" s="81" t="s">
        <v>64</v>
      </c>
      <c r="W626" s="82" t="s">
        <v>439</v>
      </c>
      <c r="X626" s="99" t="s">
        <v>1766</v>
      </c>
      <c r="Y626" s="81">
        <v>43109</v>
      </c>
      <c r="Z626" s="83">
        <v>54686940</v>
      </c>
      <c r="AA626" s="84" t="s">
        <v>1742</v>
      </c>
      <c r="AB626" s="85">
        <v>378</v>
      </c>
      <c r="AC626" s="81">
        <v>43110</v>
      </c>
      <c r="AD626" s="86">
        <v>54686940</v>
      </c>
      <c r="AE626" s="87">
        <f t="shared" si="66"/>
        <v>0</v>
      </c>
      <c r="AF626" s="85">
        <v>424</v>
      </c>
      <c r="AG626" s="81">
        <v>43124</v>
      </c>
      <c r="AH626" s="86">
        <v>54686940</v>
      </c>
      <c r="AI626" s="63" t="s">
        <v>1767</v>
      </c>
      <c r="AJ626" s="63">
        <v>101</v>
      </c>
      <c r="AK626" s="87">
        <f t="shared" si="68"/>
        <v>0</v>
      </c>
      <c r="AL626" s="86">
        <v>54686940</v>
      </c>
      <c r="AM626" s="86">
        <f t="shared" si="69"/>
        <v>0</v>
      </c>
      <c r="AN626" s="63" t="s">
        <v>1155</v>
      </c>
      <c r="AO626" s="86">
        <f t="shared" si="70"/>
        <v>0</v>
      </c>
      <c r="AP626" s="63"/>
      <c r="AQ626" s="63"/>
      <c r="AR626" s="63"/>
      <c r="AS626" s="63"/>
      <c r="AT626" s="63"/>
      <c r="AU626" s="220"/>
      <c r="AV626" s="220"/>
      <c r="AW626" s="220"/>
    </row>
    <row r="627" spans="1:49" s="221" customFormat="1" ht="342" x14ac:dyDescent="0.25">
      <c r="A627" s="63">
        <v>213</v>
      </c>
      <c r="B627" s="63" t="str">
        <f t="shared" si="67"/>
        <v>3075-213</v>
      </c>
      <c r="C627" s="76" t="s">
        <v>1141</v>
      </c>
      <c r="D627" s="76" t="s">
        <v>1142</v>
      </c>
      <c r="E627" s="76" t="s">
        <v>1424</v>
      </c>
      <c r="F627" s="76" t="s">
        <v>1175</v>
      </c>
      <c r="G627" s="77" t="s">
        <v>1176</v>
      </c>
      <c r="H627" s="78" t="s">
        <v>1425</v>
      </c>
      <c r="I627" s="76" t="s">
        <v>1147</v>
      </c>
      <c r="J627" s="76" t="s">
        <v>1148</v>
      </c>
      <c r="K627" s="76" t="s">
        <v>439</v>
      </c>
      <c r="L627" s="63" t="s">
        <v>1149</v>
      </c>
      <c r="M627" s="63" t="s">
        <v>58</v>
      </c>
      <c r="N627" s="63" t="s">
        <v>59</v>
      </c>
      <c r="O627" s="76" t="s">
        <v>1213</v>
      </c>
      <c r="P627" s="63" t="s">
        <v>1768</v>
      </c>
      <c r="Q627" s="83">
        <v>54686940</v>
      </c>
      <c r="R627" s="98">
        <v>1</v>
      </c>
      <c r="S627" s="80">
        <v>54686940</v>
      </c>
      <c r="T627" s="63" t="s">
        <v>1171</v>
      </c>
      <c r="U627" s="63" t="s">
        <v>1171</v>
      </c>
      <c r="V627" s="81" t="s">
        <v>64</v>
      </c>
      <c r="W627" s="82" t="s">
        <v>439</v>
      </c>
      <c r="X627" s="99" t="s">
        <v>1769</v>
      </c>
      <c r="Y627" s="81">
        <v>43111</v>
      </c>
      <c r="Z627" s="83">
        <v>54686940</v>
      </c>
      <c r="AA627" s="84" t="s">
        <v>1742</v>
      </c>
      <c r="AB627" s="85">
        <v>474</v>
      </c>
      <c r="AC627" s="81">
        <v>43112</v>
      </c>
      <c r="AD627" s="86">
        <v>54686940</v>
      </c>
      <c r="AE627" s="87">
        <f t="shared" si="66"/>
        <v>0</v>
      </c>
      <c r="AF627" s="85">
        <v>510</v>
      </c>
      <c r="AG627" s="81">
        <v>43129</v>
      </c>
      <c r="AH627" s="86">
        <v>54686940</v>
      </c>
      <c r="AI627" s="63" t="s">
        <v>1770</v>
      </c>
      <c r="AJ627" s="63">
        <v>203</v>
      </c>
      <c r="AK627" s="87">
        <f t="shared" si="68"/>
        <v>0</v>
      </c>
      <c r="AL627" s="86">
        <v>54686940</v>
      </c>
      <c r="AM627" s="86">
        <f t="shared" si="69"/>
        <v>0</v>
      </c>
      <c r="AN627" s="63" t="s">
        <v>1155</v>
      </c>
      <c r="AO627" s="86">
        <f t="shared" si="70"/>
        <v>0</v>
      </c>
      <c r="AP627" s="63"/>
      <c r="AQ627" s="63"/>
      <c r="AR627" s="63"/>
      <c r="AS627" s="63"/>
      <c r="AT627" s="63"/>
      <c r="AU627" s="220"/>
      <c r="AV627" s="220"/>
      <c r="AW627" s="220"/>
    </row>
    <row r="628" spans="1:49" s="221" customFormat="1" ht="342" x14ac:dyDescent="0.25">
      <c r="A628" s="63">
        <v>214</v>
      </c>
      <c r="B628" s="63" t="str">
        <f t="shared" si="67"/>
        <v>3075-214</v>
      </c>
      <c r="C628" s="76" t="s">
        <v>1141</v>
      </c>
      <c r="D628" s="76" t="s">
        <v>1142</v>
      </c>
      <c r="E628" s="76" t="s">
        <v>1424</v>
      </c>
      <c r="F628" s="76" t="s">
        <v>1175</v>
      </c>
      <c r="G628" s="77" t="s">
        <v>1176</v>
      </c>
      <c r="H628" s="78" t="s">
        <v>1425</v>
      </c>
      <c r="I628" s="76" t="s">
        <v>1147</v>
      </c>
      <c r="J628" s="76" t="s">
        <v>1148</v>
      </c>
      <c r="K628" s="76" t="s">
        <v>439</v>
      </c>
      <c r="L628" s="63" t="s">
        <v>1149</v>
      </c>
      <c r="M628" s="63" t="s">
        <v>58</v>
      </c>
      <c r="N628" s="63" t="s">
        <v>59</v>
      </c>
      <c r="O628" s="76" t="s">
        <v>1213</v>
      </c>
      <c r="P628" s="63" t="s">
        <v>1771</v>
      </c>
      <c r="Q628" s="83">
        <v>54686940</v>
      </c>
      <c r="R628" s="98">
        <v>1</v>
      </c>
      <c r="S628" s="80">
        <v>54686940</v>
      </c>
      <c r="T628" s="63" t="s">
        <v>1171</v>
      </c>
      <c r="U628" s="63" t="s">
        <v>1171</v>
      </c>
      <c r="V628" s="81" t="s">
        <v>493</v>
      </c>
      <c r="W628" s="82" t="s">
        <v>439</v>
      </c>
      <c r="X628" s="99" t="s">
        <v>1772</v>
      </c>
      <c r="Y628" s="81">
        <v>43111</v>
      </c>
      <c r="Z628" s="83">
        <v>54686940</v>
      </c>
      <c r="AA628" s="84" t="s">
        <v>1742</v>
      </c>
      <c r="AB628" s="85">
        <v>475</v>
      </c>
      <c r="AC628" s="81">
        <v>43112</v>
      </c>
      <c r="AD628" s="86">
        <v>54686940</v>
      </c>
      <c r="AE628" s="87">
        <f t="shared" si="66"/>
        <v>0</v>
      </c>
      <c r="AF628" s="85">
        <v>522</v>
      </c>
      <c r="AG628" s="81">
        <v>43132</v>
      </c>
      <c r="AH628" s="86">
        <v>54686940</v>
      </c>
      <c r="AI628" s="63" t="s">
        <v>1773</v>
      </c>
      <c r="AJ628" s="63">
        <v>339</v>
      </c>
      <c r="AK628" s="87">
        <f t="shared" si="68"/>
        <v>0</v>
      </c>
      <c r="AL628" s="86">
        <v>54686940</v>
      </c>
      <c r="AM628" s="86">
        <f t="shared" si="69"/>
        <v>0</v>
      </c>
      <c r="AN628" s="63" t="s">
        <v>1155</v>
      </c>
      <c r="AO628" s="86">
        <f t="shared" si="70"/>
        <v>0</v>
      </c>
      <c r="AP628" s="63"/>
      <c r="AQ628" s="63"/>
      <c r="AR628" s="63"/>
      <c r="AS628" s="63"/>
      <c r="AT628" s="63"/>
      <c r="AU628" s="220"/>
      <c r="AV628" s="220"/>
      <c r="AW628" s="220"/>
    </row>
    <row r="629" spans="1:49" s="221" customFormat="1" ht="342" x14ac:dyDescent="0.25">
      <c r="A629" s="63">
        <v>215</v>
      </c>
      <c r="B629" s="63" t="str">
        <f t="shared" si="67"/>
        <v>3075-215</v>
      </c>
      <c r="C629" s="76" t="s">
        <v>1141</v>
      </c>
      <c r="D629" s="76" t="s">
        <v>1142</v>
      </c>
      <c r="E629" s="76" t="s">
        <v>1424</v>
      </c>
      <c r="F629" s="76" t="s">
        <v>1175</v>
      </c>
      <c r="G629" s="77" t="s">
        <v>1176</v>
      </c>
      <c r="H629" s="78" t="s">
        <v>1425</v>
      </c>
      <c r="I629" s="76" t="s">
        <v>1147</v>
      </c>
      <c r="J629" s="76" t="s">
        <v>1148</v>
      </c>
      <c r="K629" s="76" t="s">
        <v>439</v>
      </c>
      <c r="L629" s="63" t="s">
        <v>1149</v>
      </c>
      <c r="M629" s="63" t="s">
        <v>58</v>
      </c>
      <c r="N629" s="63" t="s">
        <v>59</v>
      </c>
      <c r="O629" s="76" t="s">
        <v>1213</v>
      </c>
      <c r="P629" s="63" t="s">
        <v>1774</v>
      </c>
      <c r="Q629" s="83">
        <v>54686940</v>
      </c>
      <c r="R629" s="98">
        <v>1</v>
      </c>
      <c r="S629" s="80">
        <v>54686940</v>
      </c>
      <c r="T629" s="63" t="s">
        <v>1171</v>
      </c>
      <c r="U629" s="63" t="s">
        <v>1171</v>
      </c>
      <c r="V629" s="81" t="s">
        <v>493</v>
      </c>
      <c r="W629" s="82" t="s">
        <v>439</v>
      </c>
      <c r="X629" s="99" t="s">
        <v>1775</v>
      </c>
      <c r="Y629" s="81">
        <v>43111</v>
      </c>
      <c r="Z629" s="83">
        <v>54686940</v>
      </c>
      <c r="AA629" s="84" t="s">
        <v>1742</v>
      </c>
      <c r="AB629" s="85">
        <v>478</v>
      </c>
      <c r="AC629" s="81">
        <v>43112</v>
      </c>
      <c r="AD629" s="86">
        <v>54686940</v>
      </c>
      <c r="AE629" s="87">
        <f t="shared" si="66"/>
        <v>0</v>
      </c>
      <c r="AF629" s="85">
        <v>520</v>
      </c>
      <c r="AG629" s="81">
        <v>43132</v>
      </c>
      <c r="AH629" s="86">
        <v>54686940</v>
      </c>
      <c r="AI629" s="63" t="s">
        <v>1776</v>
      </c>
      <c r="AJ629" s="63">
        <v>335</v>
      </c>
      <c r="AK629" s="87">
        <f t="shared" si="68"/>
        <v>0</v>
      </c>
      <c r="AL629" s="86">
        <v>54686940</v>
      </c>
      <c r="AM629" s="86">
        <f t="shared" si="69"/>
        <v>0</v>
      </c>
      <c r="AN629" s="63" t="s">
        <v>1155</v>
      </c>
      <c r="AO629" s="86">
        <f t="shared" si="70"/>
        <v>0</v>
      </c>
      <c r="AP629" s="63"/>
      <c r="AQ629" s="63"/>
      <c r="AR629" s="63"/>
      <c r="AS629" s="63"/>
      <c r="AT629" s="63"/>
      <c r="AU629" s="220"/>
      <c r="AV629" s="220"/>
      <c r="AW629" s="220"/>
    </row>
    <row r="630" spans="1:49" s="221" customFormat="1" ht="342" x14ac:dyDescent="0.25">
      <c r="A630" s="63">
        <v>216</v>
      </c>
      <c r="B630" s="63" t="str">
        <f t="shared" si="67"/>
        <v>3075-216</v>
      </c>
      <c r="C630" s="76" t="s">
        <v>1141</v>
      </c>
      <c r="D630" s="76" t="s">
        <v>1142</v>
      </c>
      <c r="E630" s="76" t="s">
        <v>1424</v>
      </c>
      <c r="F630" s="76" t="s">
        <v>1175</v>
      </c>
      <c r="G630" s="77" t="s">
        <v>1176</v>
      </c>
      <c r="H630" s="78" t="s">
        <v>1425</v>
      </c>
      <c r="I630" s="76" t="s">
        <v>1147</v>
      </c>
      <c r="J630" s="76" t="s">
        <v>1148</v>
      </c>
      <c r="K630" s="76" t="s">
        <v>439</v>
      </c>
      <c r="L630" s="63" t="s">
        <v>1149</v>
      </c>
      <c r="M630" s="63" t="s">
        <v>58</v>
      </c>
      <c r="N630" s="63" t="s">
        <v>59</v>
      </c>
      <c r="O630" s="76" t="s">
        <v>1213</v>
      </c>
      <c r="P630" s="63" t="s">
        <v>1777</v>
      </c>
      <c r="Q630" s="83">
        <v>54686940</v>
      </c>
      <c r="R630" s="98">
        <v>1</v>
      </c>
      <c r="S630" s="80">
        <v>54686940</v>
      </c>
      <c r="T630" s="63" t="s">
        <v>1171</v>
      </c>
      <c r="U630" s="63" t="s">
        <v>1171</v>
      </c>
      <c r="V630" s="81" t="s">
        <v>64</v>
      </c>
      <c r="W630" s="82" t="s">
        <v>439</v>
      </c>
      <c r="X630" s="99" t="s">
        <v>1778</v>
      </c>
      <c r="Y630" s="81">
        <v>43111</v>
      </c>
      <c r="Z630" s="83">
        <v>54686940</v>
      </c>
      <c r="AA630" s="84" t="s">
        <v>1742</v>
      </c>
      <c r="AB630" s="85">
        <v>477</v>
      </c>
      <c r="AC630" s="81">
        <v>43112</v>
      </c>
      <c r="AD630" s="86">
        <v>54686940</v>
      </c>
      <c r="AE630" s="87">
        <f t="shared" si="66"/>
        <v>0</v>
      </c>
      <c r="AF630" s="85">
        <v>513</v>
      </c>
      <c r="AG630" s="81">
        <v>43129</v>
      </c>
      <c r="AH630" s="86">
        <v>54686940</v>
      </c>
      <c r="AI630" s="63" t="s">
        <v>1779</v>
      </c>
      <c r="AJ630" s="63">
        <v>204</v>
      </c>
      <c r="AK630" s="87">
        <f t="shared" si="68"/>
        <v>0</v>
      </c>
      <c r="AL630" s="86">
        <v>54686940</v>
      </c>
      <c r="AM630" s="86">
        <f t="shared" si="69"/>
        <v>0</v>
      </c>
      <c r="AN630" s="63" t="s">
        <v>1155</v>
      </c>
      <c r="AO630" s="86">
        <f t="shared" si="70"/>
        <v>0</v>
      </c>
      <c r="AP630" s="63"/>
      <c r="AQ630" s="63"/>
      <c r="AR630" s="63"/>
      <c r="AS630" s="63"/>
      <c r="AT630" s="63"/>
      <c r="AU630" s="220"/>
      <c r="AV630" s="220"/>
      <c r="AW630" s="220"/>
    </row>
    <row r="631" spans="1:49" s="221" customFormat="1" ht="185.25" x14ac:dyDescent="0.25">
      <c r="A631" s="63">
        <v>217</v>
      </c>
      <c r="B631" s="63" t="str">
        <f t="shared" si="67"/>
        <v>3075-217</v>
      </c>
      <c r="C631" s="76" t="s">
        <v>1141</v>
      </c>
      <c r="D631" s="76" t="s">
        <v>1142</v>
      </c>
      <c r="E631" s="76" t="s">
        <v>1165</v>
      </c>
      <c r="F631" s="76" t="s">
        <v>1166</v>
      </c>
      <c r="G631" s="77" t="s">
        <v>1167</v>
      </c>
      <c r="H631" s="78" t="s">
        <v>1168</v>
      </c>
      <c r="I631" s="76" t="s">
        <v>1147</v>
      </c>
      <c r="J631" s="76" t="s">
        <v>1148</v>
      </c>
      <c r="K631" s="76" t="s">
        <v>439</v>
      </c>
      <c r="L631" s="63" t="s">
        <v>1149</v>
      </c>
      <c r="M631" s="63" t="s">
        <v>58</v>
      </c>
      <c r="N631" s="63" t="s">
        <v>59</v>
      </c>
      <c r="O631" s="76" t="s">
        <v>1169</v>
      </c>
      <c r="P631" s="63" t="s">
        <v>1780</v>
      </c>
      <c r="Q631" s="79">
        <v>24984000</v>
      </c>
      <c r="R631" s="63">
        <v>1</v>
      </c>
      <c r="S631" s="80">
        <v>24984000</v>
      </c>
      <c r="T631" s="63" t="s">
        <v>1171</v>
      </c>
      <c r="U631" s="63" t="s">
        <v>1171</v>
      </c>
      <c r="V631" s="81" t="s">
        <v>411</v>
      </c>
      <c r="W631" s="82" t="s">
        <v>439</v>
      </c>
      <c r="X631" s="99" t="s">
        <v>1781</v>
      </c>
      <c r="Y631" s="81">
        <v>43111</v>
      </c>
      <c r="Z631" s="83">
        <v>24984000</v>
      </c>
      <c r="AA631" s="84" t="s">
        <v>1782</v>
      </c>
      <c r="AB631" s="85">
        <v>476</v>
      </c>
      <c r="AC631" s="81">
        <v>43112</v>
      </c>
      <c r="AD631" s="86">
        <v>24984000</v>
      </c>
      <c r="AE631" s="87">
        <f t="shared" si="66"/>
        <v>0</v>
      </c>
      <c r="AF631" s="85">
        <v>1664</v>
      </c>
      <c r="AG631" s="81">
        <v>43192</v>
      </c>
      <c r="AH631" s="86">
        <v>24984000</v>
      </c>
      <c r="AI631" s="63" t="s">
        <v>1783</v>
      </c>
      <c r="AJ631" s="63">
        <v>1689</v>
      </c>
      <c r="AK631" s="87">
        <f t="shared" si="68"/>
        <v>0</v>
      </c>
      <c r="AL631" s="86">
        <v>0</v>
      </c>
      <c r="AM631" s="86">
        <f t="shared" si="69"/>
        <v>24984000</v>
      </c>
      <c r="AN631" s="63" t="s">
        <v>1155</v>
      </c>
      <c r="AO631" s="86">
        <f t="shared" si="70"/>
        <v>0</v>
      </c>
      <c r="AP631" s="63"/>
      <c r="AQ631" s="63"/>
      <c r="AR631" s="63"/>
      <c r="AS631" s="63"/>
      <c r="AT631" s="63"/>
      <c r="AU631" s="220"/>
      <c r="AV631" s="220"/>
      <c r="AW631" s="220"/>
    </row>
    <row r="632" spans="1:49" s="221" customFormat="1" ht="171" x14ac:dyDescent="0.25">
      <c r="A632" s="63">
        <v>218</v>
      </c>
      <c r="B632" s="63" t="str">
        <f t="shared" si="67"/>
        <v>3075-218</v>
      </c>
      <c r="C632" s="76" t="s">
        <v>1141</v>
      </c>
      <c r="D632" s="76" t="s">
        <v>1142</v>
      </c>
      <c r="E632" s="76" t="s">
        <v>1174</v>
      </c>
      <c r="F632" s="76" t="s">
        <v>1175</v>
      </c>
      <c r="G632" s="77" t="s">
        <v>1176</v>
      </c>
      <c r="H632" s="78" t="s">
        <v>1177</v>
      </c>
      <c r="I632" s="76" t="s">
        <v>1147</v>
      </c>
      <c r="J632" s="76" t="s">
        <v>1148</v>
      </c>
      <c r="K632" s="76" t="s">
        <v>439</v>
      </c>
      <c r="L632" s="63" t="s">
        <v>1149</v>
      </c>
      <c r="M632" s="63" t="s">
        <v>58</v>
      </c>
      <c r="N632" s="63" t="s">
        <v>59</v>
      </c>
      <c r="O632" s="76" t="s">
        <v>1169</v>
      </c>
      <c r="P632" s="76" t="s">
        <v>1784</v>
      </c>
      <c r="Q632" s="79">
        <v>39062100</v>
      </c>
      <c r="R632" s="63">
        <v>1</v>
      </c>
      <c r="S632" s="80">
        <v>39062100</v>
      </c>
      <c r="T632" s="63" t="s">
        <v>1171</v>
      </c>
      <c r="U632" s="63" t="s">
        <v>1171</v>
      </c>
      <c r="V632" s="81" t="s">
        <v>493</v>
      </c>
      <c r="W632" s="82" t="s">
        <v>439</v>
      </c>
      <c r="X632" s="99" t="s">
        <v>1785</v>
      </c>
      <c r="Y632" s="81">
        <v>43111</v>
      </c>
      <c r="Z632" s="83">
        <v>39062100</v>
      </c>
      <c r="AA632" s="84" t="s">
        <v>1786</v>
      </c>
      <c r="AB632" s="85">
        <v>481</v>
      </c>
      <c r="AC632" s="81">
        <v>43112</v>
      </c>
      <c r="AD632" s="86">
        <v>39062100</v>
      </c>
      <c r="AE632" s="87">
        <f t="shared" si="66"/>
        <v>0</v>
      </c>
      <c r="AF632" s="85">
        <v>1013</v>
      </c>
      <c r="AG632" s="81">
        <v>43140</v>
      </c>
      <c r="AH632" s="86">
        <v>39062100</v>
      </c>
      <c r="AI632" s="63" t="s">
        <v>1787</v>
      </c>
      <c r="AJ632" s="63">
        <v>883</v>
      </c>
      <c r="AK632" s="87">
        <f t="shared" si="68"/>
        <v>0</v>
      </c>
      <c r="AL632" s="86">
        <v>39062100</v>
      </c>
      <c r="AM632" s="86">
        <f t="shared" si="69"/>
        <v>0</v>
      </c>
      <c r="AN632" s="63" t="s">
        <v>1155</v>
      </c>
      <c r="AO632" s="86">
        <f t="shared" si="70"/>
        <v>0</v>
      </c>
      <c r="AP632" s="63"/>
      <c r="AQ632" s="63"/>
      <c r="AR632" s="63"/>
      <c r="AS632" s="63"/>
      <c r="AT632" s="63"/>
      <c r="AU632" s="220"/>
      <c r="AV632" s="220"/>
      <c r="AW632" s="220"/>
    </row>
    <row r="633" spans="1:49" s="221" customFormat="1" ht="156.75" x14ac:dyDescent="0.25">
      <c r="A633" s="63">
        <v>219</v>
      </c>
      <c r="B633" s="63" t="str">
        <f t="shared" si="67"/>
        <v>3075-219</v>
      </c>
      <c r="C633" s="76" t="s">
        <v>1141</v>
      </c>
      <c r="D633" s="76" t="s">
        <v>1142</v>
      </c>
      <c r="E633" s="76" t="s">
        <v>1174</v>
      </c>
      <c r="F633" s="76" t="s">
        <v>1175</v>
      </c>
      <c r="G633" s="77" t="s">
        <v>1176</v>
      </c>
      <c r="H633" s="78" t="s">
        <v>1177</v>
      </c>
      <c r="I633" s="76" t="s">
        <v>1147</v>
      </c>
      <c r="J633" s="76" t="s">
        <v>1148</v>
      </c>
      <c r="K633" s="76" t="s">
        <v>439</v>
      </c>
      <c r="L633" s="63" t="s">
        <v>1149</v>
      </c>
      <c r="M633" s="63" t="s">
        <v>58</v>
      </c>
      <c r="N633" s="63" t="s">
        <v>59</v>
      </c>
      <c r="O633" s="76" t="s">
        <v>1169</v>
      </c>
      <c r="P633" s="76" t="s">
        <v>1788</v>
      </c>
      <c r="Q633" s="79">
        <v>39062100</v>
      </c>
      <c r="R633" s="63">
        <v>1</v>
      </c>
      <c r="S633" s="80">
        <v>39062100</v>
      </c>
      <c r="T633" s="63" t="s">
        <v>1171</v>
      </c>
      <c r="U633" s="63" t="s">
        <v>1171</v>
      </c>
      <c r="V633" s="81" t="s">
        <v>493</v>
      </c>
      <c r="W633" s="82" t="s">
        <v>439</v>
      </c>
      <c r="X633" s="99" t="s">
        <v>1789</v>
      </c>
      <c r="Y633" s="81">
        <v>43111</v>
      </c>
      <c r="Z633" s="83">
        <v>39062100</v>
      </c>
      <c r="AA633" s="84" t="s">
        <v>1786</v>
      </c>
      <c r="AB633" s="85">
        <v>482</v>
      </c>
      <c r="AC633" s="81">
        <v>43112</v>
      </c>
      <c r="AD633" s="86">
        <v>39062100</v>
      </c>
      <c r="AE633" s="87">
        <f t="shared" si="66"/>
        <v>0</v>
      </c>
      <c r="AF633" s="85">
        <v>1027</v>
      </c>
      <c r="AG633" s="81">
        <v>43140</v>
      </c>
      <c r="AH633" s="86">
        <v>39062100</v>
      </c>
      <c r="AI633" s="63" t="s">
        <v>1790</v>
      </c>
      <c r="AJ633" s="63">
        <v>757</v>
      </c>
      <c r="AK633" s="87">
        <f t="shared" si="68"/>
        <v>0</v>
      </c>
      <c r="AL633" s="86">
        <v>39062100</v>
      </c>
      <c r="AM633" s="86">
        <f t="shared" si="69"/>
        <v>0</v>
      </c>
      <c r="AN633" s="63" t="s">
        <v>1155</v>
      </c>
      <c r="AO633" s="86">
        <f t="shared" si="70"/>
        <v>0</v>
      </c>
      <c r="AP633" s="63"/>
      <c r="AQ633" s="63"/>
      <c r="AR633" s="63"/>
      <c r="AS633" s="63"/>
      <c r="AT633" s="63"/>
      <c r="AU633" s="220"/>
      <c r="AV633" s="220"/>
      <c r="AW633" s="220"/>
    </row>
    <row r="634" spans="1:49" s="221" customFormat="1" ht="185.25" x14ac:dyDescent="0.25">
      <c r="A634" s="63">
        <v>220</v>
      </c>
      <c r="B634" s="63" t="str">
        <f t="shared" si="67"/>
        <v>3075-220</v>
      </c>
      <c r="C634" s="76" t="s">
        <v>1141</v>
      </c>
      <c r="D634" s="76" t="s">
        <v>1142</v>
      </c>
      <c r="E634" s="76" t="s">
        <v>1174</v>
      </c>
      <c r="F634" s="76" t="s">
        <v>1175</v>
      </c>
      <c r="G634" s="77" t="s">
        <v>1176</v>
      </c>
      <c r="H634" s="78" t="s">
        <v>1177</v>
      </c>
      <c r="I634" s="76" t="s">
        <v>1147</v>
      </c>
      <c r="J634" s="76" t="s">
        <v>1148</v>
      </c>
      <c r="K634" s="76" t="s">
        <v>439</v>
      </c>
      <c r="L634" s="63" t="s">
        <v>1149</v>
      </c>
      <c r="M634" s="63" t="s">
        <v>58</v>
      </c>
      <c r="N634" s="63" t="s">
        <v>59</v>
      </c>
      <c r="O634" s="76" t="s">
        <v>1169</v>
      </c>
      <c r="P634" s="76" t="s">
        <v>1791</v>
      </c>
      <c r="Q634" s="79">
        <v>420100300</v>
      </c>
      <c r="R634" s="63">
        <v>1</v>
      </c>
      <c r="S634" s="80">
        <v>420100300</v>
      </c>
      <c r="T634" s="63" t="s">
        <v>1171</v>
      </c>
      <c r="U634" s="63" t="s">
        <v>1171</v>
      </c>
      <c r="V634" s="81" t="s">
        <v>724</v>
      </c>
      <c r="W634" s="82" t="s">
        <v>439</v>
      </c>
      <c r="X634" s="63" t="s">
        <v>1792</v>
      </c>
      <c r="Y634" s="81">
        <v>43115</v>
      </c>
      <c r="Z634" s="83">
        <v>420100300</v>
      </c>
      <c r="AA634" s="84" t="s">
        <v>1786</v>
      </c>
      <c r="AB634" s="85">
        <v>492</v>
      </c>
      <c r="AC634" s="81">
        <v>43116</v>
      </c>
      <c r="AD634" s="86">
        <v>420100300</v>
      </c>
      <c r="AE634" s="87">
        <f t="shared" si="66"/>
        <v>0</v>
      </c>
      <c r="AF634" s="85">
        <v>1496</v>
      </c>
      <c r="AG634" s="81">
        <v>43161</v>
      </c>
      <c r="AH634" s="86">
        <v>420100300</v>
      </c>
      <c r="AI634" s="63" t="s">
        <v>1793</v>
      </c>
      <c r="AJ634" s="63">
        <v>1463</v>
      </c>
      <c r="AK634" s="87">
        <f t="shared" si="68"/>
        <v>0</v>
      </c>
      <c r="AL634" s="86">
        <v>420100300</v>
      </c>
      <c r="AM634" s="86">
        <f t="shared" si="69"/>
        <v>0</v>
      </c>
      <c r="AN634" s="63" t="s">
        <v>1155</v>
      </c>
      <c r="AO634" s="86">
        <f t="shared" si="70"/>
        <v>0</v>
      </c>
      <c r="AP634" s="63"/>
      <c r="AQ634" s="63"/>
      <c r="AR634" s="63"/>
      <c r="AS634" s="63"/>
      <c r="AT634" s="63"/>
      <c r="AU634" s="220"/>
      <c r="AV634" s="220"/>
      <c r="AW634" s="220"/>
    </row>
    <row r="635" spans="1:49" s="221" customFormat="1" ht="171" x14ac:dyDescent="0.25">
      <c r="A635" s="63">
        <v>221</v>
      </c>
      <c r="B635" s="63" t="str">
        <f t="shared" si="67"/>
        <v>3075-221</v>
      </c>
      <c r="C635" s="76" t="s">
        <v>1141</v>
      </c>
      <c r="D635" s="76" t="s">
        <v>1142</v>
      </c>
      <c r="E635" s="76" t="s">
        <v>1174</v>
      </c>
      <c r="F635" s="76" t="s">
        <v>1175</v>
      </c>
      <c r="G635" s="77" t="s">
        <v>1176</v>
      </c>
      <c r="H635" s="78" t="s">
        <v>1177</v>
      </c>
      <c r="I635" s="76" t="s">
        <v>1147</v>
      </c>
      <c r="J635" s="76" t="s">
        <v>1148</v>
      </c>
      <c r="K635" s="76" t="s">
        <v>439</v>
      </c>
      <c r="L635" s="63" t="s">
        <v>1149</v>
      </c>
      <c r="M635" s="63" t="s">
        <v>58</v>
      </c>
      <c r="N635" s="63" t="s">
        <v>59</v>
      </c>
      <c r="O635" s="76" t="s">
        <v>1169</v>
      </c>
      <c r="P635" s="76" t="s">
        <v>1794</v>
      </c>
      <c r="Q635" s="79">
        <v>25211940</v>
      </c>
      <c r="R635" s="63">
        <v>1</v>
      </c>
      <c r="S635" s="80">
        <f>25211940-25211940</f>
        <v>0</v>
      </c>
      <c r="T635" s="63"/>
      <c r="U635" s="63"/>
      <c r="V635" s="81"/>
      <c r="W635" s="82"/>
      <c r="X635" s="63" t="s">
        <v>1795</v>
      </c>
      <c r="Y635" s="81">
        <v>43115</v>
      </c>
      <c r="Z635" s="83">
        <f>25211940-25211940</f>
        <v>0</v>
      </c>
      <c r="AA635" s="84" t="s">
        <v>1786</v>
      </c>
      <c r="AB635" s="85"/>
      <c r="AC635" s="81">
        <v>43116</v>
      </c>
      <c r="AD635" s="86">
        <v>0</v>
      </c>
      <c r="AE635" s="87">
        <f t="shared" si="66"/>
        <v>0</v>
      </c>
      <c r="AF635" s="85"/>
      <c r="AG635" s="81"/>
      <c r="AH635" s="86"/>
      <c r="AI635" s="63"/>
      <c r="AJ635" s="63"/>
      <c r="AK635" s="87">
        <f t="shared" si="68"/>
        <v>0</v>
      </c>
      <c r="AL635" s="86"/>
      <c r="AM635" s="86">
        <f t="shared" si="69"/>
        <v>0</v>
      </c>
      <c r="AN635" s="63" t="s">
        <v>1155</v>
      </c>
      <c r="AO635" s="86">
        <f t="shared" si="70"/>
        <v>0</v>
      </c>
      <c r="AP635" s="63"/>
      <c r="AQ635" s="63"/>
      <c r="AR635" s="63" t="s">
        <v>1157</v>
      </c>
      <c r="AS635" s="63"/>
      <c r="AT635" s="63"/>
      <c r="AU635" s="220"/>
      <c r="AV635" s="220"/>
      <c r="AW635" s="220"/>
    </row>
    <row r="636" spans="1:49" s="221" customFormat="1" ht="171" x14ac:dyDescent="0.25">
      <c r="A636" s="63">
        <v>222</v>
      </c>
      <c r="B636" s="63" t="str">
        <f t="shared" si="67"/>
        <v>3075-222</v>
      </c>
      <c r="C636" s="76" t="s">
        <v>1141</v>
      </c>
      <c r="D636" s="76" t="s">
        <v>1142</v>
      </c>
      <c r="E636" s="76" t="s">
        <v>1174</v>
      </c>
      <c r="F636" s="76" t="s">
        <v>1175</v>
      </c>
      <c r="G636" s="77" t="s">
        <v>1176</v>
      </c>
      <c r="H636" s="78" t="s">
        <v>1177</v>
      </c>
      <c r="I636" s="76" t="s">
        <v>1147</v>
      </c>
      <c r="J636" s="76" t="s">
        <v>1148</v>
      </c>
      <c r="K636" s="76" t="s">
        <v>439</v>
      </c>
      <c r="L636" s="63" t="s">
        <v>1149</v>
      </c>
      <c r="M636" s="63" t="s">
        <v>58</v>
      </c>
      <c r="N636" s="63" t="s">
        <v>59</v>
      </c>
      <c r="O636" s="76" t="s">
        <v>1169</v>
      </c>
      <c r="P636" s="76" t="s">
        <v>1796</v>
      </c>
      <c r="Q636" s="79">
        <v>30003100</v>
      </c>
      <c r="R636" s="63">
        <v>1</v>
      </c>
      <c r="S636" s="80">
        <v>30003100</v>
      </c>
      <c r="T636" s="63" t="s">
        <v>1171</v>
      </c>
      <c r="U636" s="63" t="s">
        <v>1171</v>
      </c>
      <c r="V636" s="81" t="s">
        <v>64</v>
      </c>
      <c r="W636" s="82" t="s">
        <v>439</v>
      </c>
      <c r="X636" s="63" t="s">
        <v>1797</v>
      </c>
      <c r="Y636" s="81">
        <v>43115</v>
      </c>
      <c r="Z636" s="83">
        <v>30003100</v>
      </c>
      <c r="AA636" s="84" t="s">
        <v>1786</v>
      </c>
      <c r="AB636" s="85">
        <v>494</v>
      </c>
      <c r="AC636" s="81">
        <v>43116</v>
      </c>
      <c r="AD636" s="86">
        <v>30003100</v>
      </c>
      <c r="AE636" s="87">
        <f t="shared" si="66"/>
        <v>0</v>
      </c>
      <c r="AF636" s="85">
        <v>515</v>
      </c>
      <c r="AG636" s="81">
        <v>43131</v>
      </c>
      <c r="AH636" s="86">
        <v>30003100</v>
      </c>
      <c r="AI636" s="63" t="s">
        <v>1798</v>
      </c>
      <c r="AJ636" s="63">
        <v>220</v>
      </c>
      <c r="AK636" s="87">
        <f t="shared" si="68"/>
        <v>0</v>
      </c>
      <c r="AL636" s="86">
        <v>30003100</v>
      </c>
      <c r="AM636" s="86">
        <f t="shared" si="69"/>
        <v>0</v>
      </c>
      <c r="AN636" s="63" t="s">
        <v>1155</v>
      </c>
      <c r="AO636" s="86">
        <f t="shared" si="70"/>
        <v>0</v>
      </c>
      <c r="AP636" s="63"/>
      <c r="AQ636" s="63"/>
      <c r="AR636" s="63"/>
      <c r="AS636" s="63"/>
      <c r="AT636" s="63"/>
      <c r="AU636" s="220"/>
      <c r="AV636" s="220"/>
      <c r="AW636" s="220"/>
    </row>
    <row r="637" spans="1:49" s="221" customFormat="1" ht="171" x14ac:dyDescent="0.25">
      <c r="A637" s="63">
        <v>223</v>
      </c>
      <c r="B637" s="63" t="str">
        <f t="shared" si="67"/>
        <v>3075-223</v>
      </c>
      <c r="C637" s="76" t="s">
        <v>1141</v>
      </c>
      <c r="D637" s="76" t="s">
        <v>1142</v>
      </c>
      <c r="E637" s="76" t="s">
        <v>1174</v>
      </c>
      <c r="F637" s="76" t="s">
        <v>1175</v>
      </c>
      <c r="G637" s="77" t="s">
        <v>1176</v>
      </c>
      <c r="H637" s="78" t="s">
        <v>1177</v>
      </c>
      <c r="I637" s="76" t="s">
        <v>1147</v>
      </c>
      <c r="J637" s="76" t="s">
        <v>1148</v>
      </c>
      <c r="K637" s="76" t="s">
        <v>439</v>
      </c>
      <c r="L637" s="63" t="s">
        <v>1149</v>
      </c>
      <c r="M637" s="63" t="s">
        <v>58</v>
      </c>
      <c r="N637" s="63" t="s">
        <v>59</v>
      </c>
      <c r="O637" s="76" t="s">
        <v>1169</v>
      </c>
      <c r="P637" s="76" t="s">
        <v>1799</v>
      </c>
      <c r="Q637" s="79">
        <v>39062100</v>
      </c>
      <c r="R637" s="63">
        <v>1</v>
      </c>
      <c r="S637" s="80">
        <v>39062100</v>
      </c>
      <c r="T637" s="63" t="s">
        <v>1171</v>
      </c>
      <c r="U637" s="63" t="s">
        <v>1171</v>
      </c>
      <c r="V637" s="81" t="s">
        <v>493</v>
      </c>
      <c r="W637" s="82" t="s">
        <v>439</v>
      </c>
      <c r="X637" s="63" t="s">
        <v>1800</v>
      </c>
      <c r="Y637" s="81">
        <v>43115</v>
      </c>
      <c r="Z637" s="83">
        <v>39062100</v>
      </c>
      <c r="AA637" s="84" t="s">
        <v>1786</v>
      </c>
      <c r="AB637" s="85">
        <v>496</v>
      </c>
      <c r="AC637" s="81">
        <v>43116</v>
      </c>
      <c r="AD637" s="86">
        <v>39062100</v>
      </c>
      <c r="AE637" s="87">
        <f t="shared" si="66"/>
        <v>0</v>
      </c>
      <c r="AF637" s="85">
        <v>1361</v>
      </c>
      <c r="AG637" s="81">
        <v>43146</v>
      </c>
      <c r="AH637" s="86">
        <v>39062100</v>
      </c>
      <c r="AI637" s="63" t="s">
        <v>1801</v>
      </c>
      <c r="AJ637" s="63">
        <v>1266</v>
      </c>
      <c r="AK637" s="87">
        <f t="shared" si="68"/>
        <v>0</v>
      </c>
      <c r="AL637" s="86">
        <v>39062100</v>
      </c>
      <c r="AM637" s="86">
        <f t="shared" si="69"/>
        <v>0</v>
      </c>
      <c r="AN637" s="63" t="s">
        <v>1155</v>
      </c>
      <c r="AO637" s="86">
        <f t="shared" si="70"/>
        <v>0</v>
      </c>
      <c r="AP637" s="63"/>
      <c r="AQ637" s="63"/>
      <c r="AR637" s="63"/>
      <c r="AS637" s="63"/>
      <c r="AT637" s="63"/>
      <c r="AU637" s="220"/>
      <c r="AV637" s="220"/>
      <c r="AW637" s="220"/>
    </row>
    <row r="638" spans="1:49" s="221" customFormat="1" ht="199.5" x14ac:dyDescent="0.25">
      <c r="A638" s="63">
        <v>224</v>
      </c>
      <c r="B638" s="63" t="str">
        <f t="shared" si="67"/>
        <v>3075-224</v>
      </c>
      <c r="C638" s="76" t="s">
        <v>1141</v>
      </c>
      <c r="D638" s="76" t="s">
        <v>1142</v>
      </c>
      <c r="E638" s="76" t="s">
        <v>1174</v>
      </c>
      <c r="F638" s="76" t="s">
        <v>1175</v>
      </c>
      <c r="G638" s="77" t="s">
        <v>1176</v>
      </c>
      <c r="H638" s="78" t="s">
        <v>1177</v>
      </c>
      <c r="I638" s="76" t="s">
        <v>1147</v>
      </c>
      <c r="J638" s="76" t="s">
        <v>1148</v>
      </c>
      <c r="K638" s="76" t="s">
        <v>439</v>
      </c>
      <c r="L638" s="63" t="s">
        <v>1149</v>
      </c>
      <c r="M638" s="63" t="s">
        <v>58</v>
      </c>
      <c r="N638" s="63" t="s">
        <v>59</v>
      </c>
      <c r="O638" s="76" t="s">
        <v>1169</v>
      </c>
      <c r="P638" s="76" t="s">
        <v>1802</v>
      </c>
      <c r="Q638" s="79">
        <v>16367330</v>
      </c>
      <c r="R638" s="63">
        <v>1</v>
      </c>
      <c r="S638" s="80">
        <v>16367330</v>
      </c>
      <c r="T638" s="63" t="s">
        <v>1171</v>
      </c>
      <c r="U638" s="63" t="s">
        <v>1171</v>
      </c>
      <c r="V638" s="81" t="s">
        <v>64</v>
      </c>
      <c r="W638" s="82" t="s">
        <v>439</v>
      </c>
      <c r="X638" s="63" t="s">
        <v>1803</v>
      </c>
      <c r="Y638" s="81">
        <v>43115</v>
      </c>
      <c r="Z638" s="83">
        <v>16367330</v>
      </c>
      <c r="AA638" s="84" t="s">
        <v>1786</v>
      </c>
      <c r="AB638" s="85">
        <v>497</v>
      </c>
      <c r="AC638" s="81">
        <v>43116</v>
      </c>
      <c r="AD638" s="86">
        <v>16367330</v>
      </c>
      <c r="AE638" s="87">
        <f t="shared" si="66"/>
        <v>0</v>
      </c>
      <c r="AF638" s="85">
        <v>516</v>
      </c>
      <c r="AG638" s="81">
        <v>43131</v>
      </c>
      <c r="AH638" s="86">
        <v>16367330</v>
      </c>
      <c r="AI638" s="63" t="s">
        <v>1804</v>
      </c>
      <c r="AJ638" s="63">
        <v>221</v>
      </c>
      <c r="AK638" s="87">
        <f t="shared" si="68"/>
        <v>0</v>
      </c>
      <c r="AL638" s="86">
        <v>16367330</v>
      </c>
      <c r="AM638" s="86">
        <f t="shared" si="69"/>
        <v>0</v>
      </c>
      <c r="AN638" s="63" t="s">
        <v>1155</v>
      </c>
      <c r="AO638" s="86">
        <f t="shared" si="70"/>
        <v>0</v>
      </c>
      <c r="AP638" s="63"/>
      <c r="AQ638" s="63"/>
      <c r="AR638" s="63"/>
      <c r="AS638" s="63"/>
      <c r="AT638" s="63"/>
      <c r="AU638" s="220"/>
      <c r="AV638" s="220"/>
      <c r="AW638" s="220"/>
    </row>
    <row r="639" spans="1:49" s="221" customFormat="1" ht="156.75" x14ac:dyDescent="0.25">
      <c r="A639" s="63">
        <v>225</v>
      </c>
      <c r="B639" s="63" t="str">
        <f t="shared" si="67"/>
        <v>3075-225</v>
      </c>
      <c r="C639" s="76" t="s">
        <v>1141</v>
      </c>
      <c r="D639" s="76" t="s">
        <v>1142</v>
      </c>
      <c r="E639" s="76" t="s">
        <v>1174</v>
      </c>
      <c r="F639" s="76" t="s">
        <v>1175</v>
      </c>
      <c r="G639" s="77" t="s">
        <v>1176</v>
      </c>
      <c r="H639" s="78" t="s">
        <v>1177</v>
      </c>
      <c r="I639" s="76" t="s">
        <v>1147</v>
      </c>
      <c r="J639" s="76" t="s">
        <v>1148</v>
      </c>
      <c r="K639" s="76" t="s">
        <v>439</v>
      </c>
      <c r="L639" s="63" t="s">
        <v>1149</v>
      </c>
      <c r="M639" s="63" t="s">
        <v>58</v>
      </c>
      <c r="N639" s="63" t="s">
        <v>59</v>
      </c>
      <c r="O639" s="76" t="s">
        <v>1169</v>
      </c>
      <c r="P639" s="76" t="s">
        <v>1805</v>
      </c>
      <c r="Q639" s="79">
        <v>39062100</v>
      </c>
      <c r="R639" s="63">
        <v>1</v>
      </c>
      <c r="S639" s="80">
        <v>39062100</v>
      </c>
      <c r="T639" s="63" t="s">
        <v>1171</v>
      </c>
      <c r="U639" s="63" t="s">
        <v>1171</v>
      </c>
      <c r="V639" s="81" t="s">
        <v>493</v>
      </c>
      <c r="W639" s="82" t="s">
        <v>439</v>
      </c>
      <c r="X639" s="63" t="s">
        <v>1806</v>
      </c>
      <c r="Y639" s="81">
        <v>43115</v>
      </c>
      <c r="Z639" s="83">
        <v>39062100</v>
      </c>
      <c r="AA639" s="84" t="s">
        <v>1786</v>
      </c>
      <c r="AB639" s="85">
        <v>498</v>
      </c>
      <c r="AC639" s="81">
        <v>43116</v>
      </c>
      <c r="AD639" s="86">
        <v>39062100</v>
      </c>
      <c r="AE639" s="87">
        <f t="shared" si="66"/>
        <v>0</v>
      </c>
      <c r="AF639" s="85">
        <v>998</v>
      </c>
      <c r="AG639" s="81">
        <v>43140</v>
      </c>
      <c r="AH639" s="86">
        <v>39062100</v>
      </c>
      <c r="AI639" s="63" t="s">
        <v>1807</v>
      </c>
      <c r="AJ639" s="63">
        <v>606</v>
      </c>
      <c r="AK639" s="87">
        <f t="shared" si="68"/>
        <v>0</v>
      </c>
      <c r="AL639" s="86">
        <v>39062100</v>
      </c>
      <c r="AM639" s="86">
        <f t="shared" si="69"/>
        <v>0</v>
      </c>
      <c r="AN639" s="63" t="s">
        <v>1155</v>
      </c>
      <c r="AO639" s="86">
        <f t="shared" si="70"/>
        <v>0</v>
      </c>
      <c r="AP639" s="63"/>
      <c r="AQ639" s="63"/>
      <c r="AR639" s="63"/>
      <c r="AS639" s="63"/>
      <c r="AT639" s="63"/>
      <c r="AU639" s="220"/>
      <c r="AV639" s="220"/>
      <c r="AW639" s="220"/>
    </row>
    <row r="640" spans="1:49" s="221" customFormat="1" ht="156.75" x14ac:dyDescent="0.25">
      <c r="A640" s="63">
        <v>226</v>
      </c>
      <c r="B640" s="63" t="str">
        <f t="shared" si="67"/>
        <v>3075-226</v>
      </c>
      <c r="C640" s="76" t="s">
        <v>1141</v>
      </c>
      <c r="D640" s="76" t="s">
        <v>1142</v>
      </c>
      <c r="E640" s="76" t="s">
        <v>1174</v>
      </c>
      <c r="F640" s="76" t="s">
        <v>1175</v>
      </c>
      <c r="G640" s="77" t="s">
        <v>1176</v>
      </c>
      <c r="H640" s="78" t="s">
        <v>1177</v>
      </c>
      <c r="I640" s="76" t="s">
        <v>1147</v>
      </c>
      <c r="J640" s="76" t="s">
        <v>1148</v>
      </c>
      <c r="K640" s="76" t="s">
        <v>439</v>
      </c>
      <c r="L640" s="63" t="s">
        <v>1149</v>
      </c>
      <c r="M640" s="63" t="s">
        <v>58</v>
      </c>
      <c r="N640" s="63" t="s">
        <v>59</v>
      </c>
      <c r="O640" s="76" t="s">
        <v>1169</v>
      </c>
      <c r="P640" s="76" t="s">
        <v>1808</v>
      </c>
      <c r="Q640" s="79">
        <v>39062100</v>
      </c>
      <c r="R640" s="63">
        <v>1</v>
      </c>
      <c r="S640" s="80">
        <v>39062100</v>
      </c>
      <c r="T640" s="63" t="s">
        <v>1171</v>
      </c>
      <c r="U640" s="63" t="s">
        <v>1171</v>
      </c>
      <c r="V640" s="81" t="s">
        <v>493</v>
      </c>
      <c r="W640" s="82" t="s">
        <v>439</v>
      </c>
      <c r="X640" s="63" t="s">
        <v>1809</v>
      </c>
      <c r="Y640" s="81">
        <v>43115</v>
      </c>
      <c r="Z640" s="83">
        <v>39062100</v>
      </c>
      <c r="AA640" s="84" t="s">
        <v>1786</v>
      </c>
      <c r="AB640" s="85">
        <v>503</v>
      </c>
      <c r="AC640" s="81">
        <v>43116</v>
      </c>
      <c r="AD640" s="86">
        <v>39062100</v>
      </c>
      <c r="AE640" s="87">
        <f t="shared" si="66"/>
        <v>0</v>
      </c>
      <c r="AF640" s="85">
        <v>752</v>
      </c>
      <c r="AG640" s="81">
        <v>43137</v>
      </c>
      <c r="AH640" s="86">
        <v>39062100</v>
      </c>
      <c r="AI640" s="63" t="s">
        <v>1810</v>
      </c>
      <c r="AJ640" s="63">
        <v>520</v>
      </c>
      <c r="AK640" s="87">
        <f t="shared" si="68"/>
        <v>0</v>
      </c>
      <c r="AL640" s="86">
        <v>39062100</v>
      </c>
      <c r="AM640" s="86">
        <f t="shared" si="69"/>
        <v>0</v>
      </c>
      <c r="AN640" s="63" t="s">
        <v>1155</v>
      </c>
      <c r="AO640" s="86">
        <f t="shared" si="70"/>
        <v>0</v>
      </c>
      <c r="AP640" s="63"/>
      <c r="AQ640" s="63"/>
      <c r="AR640" s="63"/>
      <c r="AS640" s="63"/>
      <c r="AT640" s="63"/>
      <c r="AU640" s="220"/>
      <c r="AV640" s="220"/>
      <c r="AW640" s="220"/>
    </row>
    <row r="641" spans="1:49" s="221" customFormat="1" ht="156.75" x14ac:dyDescent="0.25">
      <c r="A641" s="63">
        <v>227</v>
      </c>
      <c r="B641" s="63" t="str">
        <f t="shared" si="67"/>
        <v>3075-227</v>
      </c>
      <c r="C641" s="76" t="s">
        <v>1141</v>
      </c>
      <c r="D641" s="76" t="s">
        <v>1142</v>
      </c>
      <c r="E641" s="76" t="s">
        <v>1174</v>
      </c>
      <c r="F641" s="76" t="s">
        <v>1175</v>
      </c>
      <c r="G641" s="77" t="s">
        <v>1176</v>
      </c>
      <c r="H641" s="78" t="s">
        <v>1177</v>
      </c>
      <c r="I641" s="76" t="s">
        <v>1147</v>
      </c>
      <c r="J641" s="76" t="s">
        <v>1148</v>
      </c>
      <c r="K641" s="76" t="s">
        <v>439</v>
      </c>
      <c r="L641" s="63" t="s">
        <v>1149</v>
      </c>
      <c r="M641" s="63" t="s">
        <v>58</v>
      </c>
      <c r="N641" s="63" t="s">
        <v>59</v>
      </c>
      <c r="O641" s="76" t="s">
        <v>1169</v>
      </c>
      <c r="P641" s="76" t="s">
        <v>1811</v>
      </c>
      <c r="Q641" s="79">
        <v>39062100</v>
      </c>
      <c r="R641" s="63">
        <v>1</v>
      </c>
      <c r="S641" s="80">
        <v>39062100</v>
      </c>
      <c r="T641" s="63" t="s">
        <v>1171</v>
      </c>
      <c r="U641" s="63" t="s">
        <v>1171</v>
      </c>
      <c r="V641" s="81" t="s">
        <v>493</v>
      </c>
      <c r="W641" s="82" t="s">
        <v>439</v>
      </c>
      <c r="X641" s="63" t="s">
        <v>1812</v>
      </c>
      <c r="Y641" s="81">
        <v>43115</v>
      </c>
      <c r="Z641" s="83">
        <v>39062100</v>
      </c>
      <c r="AA641" s="84" t="s">
        <v>1786</v>
      </c>
      <c r="AB641" s="85">
        <v>504</v>
      </c>
      <c r="AC641" s="81">
        <v>43116</v>
      </c>
      <c r="AD641" s="86">
        <v>39062100</v>
      </c>
      <c r="AE641" s="87">
        <f t="shared" si="66"/>
        <v>0</v>
      </c>
      <c r="AF641" s="85">
        <v>517</v>
      </c>
      <c r="AG641" s="81">
        <v>43132</v>
      </c>
      <c r="AH641" s="86">
        <v>39062100</v>
      </c>
      <c r="AI641" s="63" t="s">
        <v>1813</v>
      </c>
      <c r="AJ641" s="63">
        <v>342</v>
      </c>
      <c r="AK641" s="87">
        <f t="shared" si="68"/>
        <v>0</v>
      </c>
      <c r="AL641" s="86">
        <v>39062100</v>
      </c>
      <c r="AM641" s="86">
        <f t="shared" si="69"/>
        <v>0</v>
      </c>
      <c r="AN641" s="63" t="s">
        <v>1155</v>
      </c>
      <c r="AO641" s="86">
        <f t="shared" si="70"/>
        <v>0</v>
      </c>
      <c r="AP641" s="63"/>
      <c r="AQ641" s="63"/>
      <c r="AR641" s="63"/>
      <c r="AS641" s="63"/>
      <c r="AT641" s="63"/>
      <c r="AU641" s="220"/>
      <c r="AV641" s="220"/>
      <c r="AW641" s="220"/>
    </row>
    <row r="642" spans="1:49" s="221" customFormat="1" ht="128.25" x14ac:dyDescent="0.25">
      <c r="A642" s="63">
        <v>228</v>
      </c>
      <c r="B642" s="63" t="str">
        <f t="shared" si="67"/>
        <v>3075-228</v>
      </c>
      <c r="C642" s="76" t="s">
        <v>1141</v>
      </c>
      <c r="D642" s="76" t="s">
        <v>1142</v>
      </c>
      <c r="E642" s="76" t="s">
        <v>1165</v>
      </c>
      <c r="F642" s="76" t="s">
        <v>1166</v>
      </c>
      <c r="G642" s="77" t="s">
        <v>1167</v>
      </c>
      <c r="H642" s="78" t="s">
        <v>1168</v>
      </c>
      <c r="I642" s="76" t="s">
        <v>1147</v>
      </c>
      <c r="J642" s="76" t="s">
        <v>1148</v>
      </c>
      <c r="K642" s="76" t="s">
        <v>439</v>
      </c>
      <c r="L642" s="63" t="s">
        <v>1149</v>
      </c>
      <c r="M642" s="63" t="s">
        <v>58</v>
      </c>
      <c r="N642" s="63" t="s">
        <v>59</v>
      </c>
      <c r="O642" s="76" t="s">
        <v>1169</v>
      </c>
      <c r="P642" s="63" t="s">
        <v>1814</v>
      </c>
      <c r="Q642" s="79">
        <v>113366000</v>
      </c>
      <c r="R642" s="63">
        <v>1</v>
      </c>
      <c r="S642" s="80">
        <v>113366000</v>
      </c>
      <c r="T642" s="63" t="s">
        <v>1171</v>
      </c>
      <c r="U642" s="63" t="s">
        <v>1171</v>
      </c>
      <c r="V642" s="81" t="s">
        <v>493</v>
      </c>
      <c r="W642" s="82" t="s">
        <v>439</v>
      </c>
      <c r="X642" s="63" t="s">
        <v>1815</v>
      </c>
      <c r="Y642" s="81">
        <v>43115</v>
      </c>
      <c r="Z642" s="83">
        <v>113366000</v>
      </c>
      <c r="AA642" s="84" t="s">
        <v>1782</v>
      </c>
      <c r="AB642" s="85">
        <v>505</v>
      </c>
      <c r="AC642" s="81">
        <v>43116</v>
      </c>
      <c r="AD642" s="86">
        <v>113366000</v>
      </c>
      <c r="AE642" s="87">
        <f t="shared" si="66"/>
        <v>0</v>
      </c>
      <c r="AF642" s="85">
        <v>999</v>
      </c>
      <c r="AG642" s="81">
        <v>43140</v>
      </c>
      <c r="AH642" s="86">
        <v>113366000</v>
      </c>
      <c r="AI642" s="63" t="s">
        <v>1816</v>
      </c>
      <c r="AJ642" s="63">
        <v>605</v>
      </c>
      <c r="AK642" s="87">
        <f t="shared" si="68"/>
        <v>0</v>
      </c>
      <c r="AL642" s="86">
        <v>113366000</v>
      </c>
      <c r="AM642" s="86">
        <f t="shared" si="69"/>
        <v>0</v>
      </c>
      <c r="AN642" s="63" t="s">
        <v>1155</v>
      </c>
      <c r="AO642" s="86">
        <f t="shared" si="70"/>
        <v>0</v>
      </c>
      <c r="AP642" s="63"/>
      <c r="AQ642" s="63"/>
      <c r="AR642" s="63"/>
      <c r="AS642" s="63"/>
      <c r="AT642" s="63"/>
      <c r="AU642" s="220"/>
      <c r="AV642" s="220"/>
      <c r="AW642" s="220"/>
    </row>
    <row r="643" spans="1:49" s="221" customFormat="1" ht="342" x14ac:dyDescent="0.25">
      <c r="A643" s="63">
        <v>229</v>
      </c>
      <c r="B643" s="63" t="str">
        <f t="shared" si="67"/>
        <v>3075-229</v>
      </c>
      <c r="C643" s="76" t="s">
        <v>1141</v>
      </c>
      <c r="D643" s="76" t="s">
        <v>1142</v>
      </c>
      <c r="E643" s="76" t="s">
        <v>1424</v>
      </c>
      <c r="F643" s="76" t="s">
        <v>1175</v>
      </c>
      <c r="G643" s="77" t="s">
        <v>1176</v>
      </c>
      <c r="H643" s="78" t="s">
        <v>1425</v>
      </c>
      <c r="I643" s="76" t="s">
        <v>1147</v>
      </c>
      <c r="J643" s="76" t="s">
        <v>1148</v>
      </c>
      <c r="K643" s="76" t="s">
        <v>439</v>
      </c>
      <c r="L643" s="63" t="s">
        <v>1149</v>
      </c>
      <c r="M643" s="63" t="s">
        <v>58</v>
      </c>
      <c r="N643" s="63" t="s">
        <v>59</v>
      </c>
      <c r="O643" s="76" t="s">
        <v>1213</v>
      </c>
      <c r="P643" s="63" t="s">
        <v>1817</v>
      </c>
      <c r="Q643" s="83">
        <v>54686940</v>
      </c>
      <c r="R643" s="98">
        <v>1</v>
      </c>
      <c r="S643" s="80">
        <v>54686940</v>
      </c>
      <c r="T643" s="63" t="s">
        <v>1171</v>
      </c>
      <c r="U643" s="63" t="s">
        <v>1171</v>
      </c>
      <c r="V643" s="81" t="s">
        <v>493</v>
      </c>
      <c r="W643" s="82" t="s">
        <v>439</v>
      </c>
      <c r="X643" s="63" t="s">
        <v>1818</v>
      </c>
      <c r="Y643" s="81">
        <v>43115</v>
      </c>
      <c r="Z643" s="86">
        <v>54686940</v>
      </c>
      <c r="AA643" s="84" t="s">
        <v>1742</v>
      </c>
      <c r="AB643" s="85">
        <v>510</v>
      </c>
      <c r="AC643" s="81">
        <v>43116</v>
      </c>
      <c r="AD643" s="86">
        <v>54686940</v>
      </c>
      <c r="AE643" s="87">
        <f t="shared" si="66"/>
        <v>0</v>
      </c>
      <c r="AF643" s="85">
        <v>518</v>
      </c>
      <c r="AG643" s="81">
        <v>43132</v>
      </c>
      <c r="AH643" s="86">
        <v>54686940</v>
      </c>
      <c r="AI643" s="63" t="s">
        <v>1819</v>
      </c>
      <c r="AJ643" s="63">
        <v>341</v>
      </c>
      <c r="AK643" s="87">
        <f t="shared" si="68"/>
        <v>0</v>
      </c>
      <c r="AL643" s="86">
        <v>54686940</v>
      </c>
      <c r="AM643" s="86">
        <f t="shared" si="69"/>
        <v>0</v>
      </c>
      <c r="AN643" s="63" t="s">
        <v>1155</v>
      </c>
      <c r="AO643" s="86">
        <f t="shared" si="70"/>
        <v>0</v>
      </c>
      <c r="AP643" s="63"/>
      <c r="AQ643" s="63"/>
      <c r="AR643" s="63"/>
      <c r="AS643" s="63"/>
      <c r="AT643" s="63"/>
      <c r="AU643" s="220"/>
      <c r="AV643" s="220"/>
      <c r="AW643" s="220"/>
    </row>
    <row r="644" spans="1:49" s="221" customFormat="1" ht="342" x14ac:dyDescent="0.25">
      <c r="A644" s="63">
        <v>230</v>
      </c>
      <c r="B644" s="63" t="str">
        <f t="shared" si="67"/>
        <v>3075-230</v>
      </c>
      <c r="C644" s="76" t="s">
        <v>1141</v>
      </c>
      <c r="D644" s="76" t="s">
        <v>1142</v>
      </c>
      <c r="E644" s="76" t="s">
        <v>1424</v>
      </c>
      <c r="F644" s="76" t="s">
        <v>1175</v>
      </c>
      <c r="G644" s="77" t="s">
        <v>1176</v>
      </c>
      <c r="H644" s="78" t="s">
        <v>1425</v>
      </c>
      <c r="I644" s="76" t="s">
        <v>1147</v>
      </c>
      <c r="J644" s="76" t="s">
        <v>1148</v>
      </c>
      <c r="K644" s="76" t="s">
        <v>439</v>
      </c>
      <c r="L644" s="63" t="s">
        <v>1149</v>
      </c>
      <c r="M644" s="63" t="s">
        <v>58</v>
      </c>
      <c r="N644" s="63" t="s">
        <v>59</v>
      </c>
      <c r="O644" s="76" t="s">
        <v>1213</v>
      </c>
      <c r="P644" s="63" t="s">
        <v>1820</v>
      </c>
      <c r="Q644" s="83">
        <v>54686940</v>
      </c>
      <c r="R644" s="98">
        <v>1</v>
      </c>
      <c r="S644" s="80">
        <v>54686940</v>
      </c>
      <c r="T644" s="63" t="s">
        <v>1171</v>
      </c>
      <c r="U644" s="63" t="s">
        <v>1171</v>
      </c>
      <c r="V644" s="81" t="s">
        <v>1023</v>
      </c>
      <c r="W644" s="82" t="s">
        <v>439</v>
      </c>
      <c r="X644" s="63" t="s">
        <v>1821</v>
      </c>
      <c r="Y644" s="81">
        <v>43115</v>
      </c>
      <c r="Z644" s="86">
        <v>54686940</v>
      </c>
      <c r="AA644" s="84" t="s">
        <v>1742</v>
      </c>
      <c r="AB644" s="85">
        <v>511</v>
      </c>
      <c r="AC644" s="81">
        <v>43116</v>
      </c>
      <c r="AD644" s="86">
        <v>54686940</v>
      </c>
      <c r="AE644" s="87">
        <f t="shared" si="66"/>
        <v>0</v>
      </c>
      <c r="AF644" s="85">
        <v>1916</v>
      </c>
      <c r="AG644" s="81">
        <v>43237</v>
      </c>
      <c r="AH644" s="86">
        <v>54686940</v>
      </c>
      <c r="AI644" s="63" t="s">
        <v>1822</v>
      </c>
      <c r="AJ644" s="63">
        <v>2065</v>
      </c>
      <c r="AK644" s="87">
        <f t="shared" si="68"/>
        <v>0</v>
      </c>
      <c r="AL644" s="86">
        <v>54686940</v>
      </c>
      <c r="AM644" s="86">
        <f t="shared" si="69"/>
        <v>0</v>
      </c>
      <c r="AN644" s="63" t="s">
        <v>1155</v>
      </c>
      <c r="AO644" s="86">
        <f t="shared" si="70"/>
        <v>0</v>
      </c>
      <c r="AP644" s="63"/>
      <c r="AQ644" s="63"/>
      <c r="AR644" s="63"/>
      <c r="AS644" s="63"/>
      <c r="AT644" s="63"/>
      <c r="AU644" s="220"/>
      <c r="AV644" s="220"/>
      <c r="AW644" s="220"/>
    </row>
    <row r="645" spans="1:49" s="221" customFormat="1" ht="342" x14ac:dyDescent="0.25">
      <c r="A645" s="63">
        <v>231</v>
      </c>
      <c r="B645" s="63" t="str">
        <f t="shared" si="67"/>
        <v>3075-231</v>
      </c>
      <c r="C645" s="76" t="s">
        <v>1141</v>
      </c>
      <c r="D645" s="76" t="s">
        <v>1142</v>
      </c>
      <c r="E645" s="76" t="s">
        <v>1424</v>
      </c>
      <c r="F645" s="76" t="s">
        <v>1175</v>
      </c>
      <c r="G645" s="77" t="s">
        <v>1176</v>
      </c>
      <c r="H645" s="78" t="s">
        <v>1425</v>
      </c>
      <c r="I645" s="76" t="s">
        <v>1147</v>
      </c>
      <c r="J645" s="76" t="s">
        <v>1148</v>
      </c>
      <c r="K645" s="76" t="s">
        <v>439</v>
      </c>
      <c r="L645" s="63" t="s">
        <v>1149</v>
      </c>
      <c r="M645" s="63" t="s">
        <v>58</v>
      </c>
      <c r="N645" s="63" t="s">
        <v>59</v>
      </c>
      <c r="O645" s="76" t="s">
        <v>1213</v>
      </c>
      <c r="P645" s="63" t="s">
        <v>1823</v>
      </c>
      <c r="Q645" s="83">
        <v>54686940</v>
      </c>
      <c r="R645" s="98">
        <v>1</v>
      </c>
      <c r="S645" s="80">
        <v>54686940</v>
      </c>
      <c r="T645" s="63" t="s">
        <v>1171</v>
      </c>
      <c r="U645" s="63" t="s">
        <v>1171</v>
      </c>
      <c r="V645" s="81" t="s">
        <v>493</v>
      </c>
      <c r="W645" s="82" t="s">
        <v>439</v>
      </c>
      <c r="X645" s="63" t="s">
        <v>1824</v>
      </c>
      <c r="Y645" s="81">
        <v>43115</v>
      </c>
      <c r="Z645" s="86">
        <v>54686940</v>
      </c>
      <c r="AA645" s="84" t="s">
        <v>1742</v>
      </c>
      <c r="AB645" s="85">
        <v>512</v>
      </c>
      <c r="AC645" s="81">
        <v>43116</v>
      </c>
      <c r="AD645" s="86">
        <v>54686940</v>
      </c>
      <c r="AE645" s="87">
        <f t="shared" si="66"/>
        <v>0</v>
      </c>
      <c r="AF645" s="85">
        <v>526</v>
      </c>
      <c r="AG645" s="81">
        <v>43132</v>
      </c>
      <c r="AH645" s="86">
        <v>54686940</v>
      </c>
      <c r="AI645" s="63" t="s">
        <v>1825</v>
      </c>
      <c r="AJ645" s="63">
        <v>334</v>
      </c>
      <c r="AK645" s="87">
        <f t="shared" si="68"/>
        <v>0</v>
      </c>
      <c r="AL645" s="86">
        <v>54686940</v>
      </c>
      <c r="AM645" s="86">
        <f t="shared" si="69"/>
        <v>0</v>
      </c>
      <c r="AN645" s="63" t="s">
        <v>1155</v>
      </c>
      <c r="AO645" s="86">
        <f t="shared" si="70"/>
        <v>0</v>
      </c>
      <c r="AP645" s="63"/>
      <c r="AQ645" s="63"/>
      <c r="AR645" s="63"/>
      <c r="AS645" s="63"/>
      <c r="AT645" s="63"/>
      <c r="AU645" s="220"/>
      <c r="AV645" s="220"/>
      <c r="AW645" s="220"/>
    </row>
    <row r="646" spans="1:49" s="221" customFormat="1" ht="342" x14ac:dyDescent="0.25">
      <c r="A646" s="63">
        <v>232</v>
      </c>
      <c r="B646" s="63" t="str">
        <f t="shared" si="67"/>
        <v>3075-232</v>
      </c>
      <c r="C646" s="76" t="s">
        <v>1141</v>
      </c>
      <c r="D646" s="76" t="s">
        <v>1142</v>
      </c>
      <c r="E646" s="76" t="s">
        <v>1424</v>
      </c>
      <c r="F646" s="76" t="s">
        <v>1175</v>
      </c>
      <c r="G646" s="77" t="s">
        <v>1176</v>
      </c>
      <c r="H646" s="78" t="s">
        <v>1425</v>
      </c>
      <c r="I646" s="76" t="s">
        <v>1147</v>
      </c>
      <c r="J646" s="76" t="s">
        <v>1148</v>
      </c>
      <c r="K646" s="76" t="s">
        <v>439</v>
      </c>
      <c r="L646" s="63" t="s">
        <v>1149</v>
      </c>
      <c r="M646" s="63" t="s">
        <v>58</v>
      </c>
      <c r="N646" s="63" t="s">
        <v>59</v>
      </c>
      <c r="O646" s="76" t="s">
        <v>1213</v>
      </c>
      <c r="P646" s="63" t="s">
        <v>1826</v>
      </c>
      <c r="Q646" s="83">
        <v>54686940</v>
      </c>
      <c r="R646" s="98">
        <v>1</v>
      </c>
      <c r="S646" s="80">
        <v>54686940</v>
      </c>
      <c r="T646" s="63" t="s">
        <v>1171</v>
      </c>
      <c r="U646" s="63" t="s">
        <v>1171</v>
      </c>
      <c r="V646" s="81" t="s">
        <v>64</v>
      </c>
      <c r="W646" s="82" t="s">
        <v>439</v>
      </c>
      <c r="X646" s="63" t="s">
        <v>1827</v>
      </c>
      <c r="Y646" s="81">
        <v>43115</v>
      </c>
      <c r="Z646" s="86">
        <v>54686940</v>
      </c>
      <c r="AA646" s="84" t="s">
        <v>1742</v>
      </c>
      <c r="AB646" s="85">
        <v>513</v>
      </c>
      <c r="AC646" s="81">
        <v>43116</v>
      </c>
      <c r="AD646" s="86">
        <v>54686940</v>
      </c>
      <c r="AE646" s="87">
        <f t="shared" si="66"/>
        <v>0</v>
      </c>
      <c r="AF646" s="85">
        <v>512</v>
      </c>
      <c r="AG646" s="81">
        <v>43129</v>
      </c>
      <c r="AH646" s="86">
        <v>54686940</v>
      </c>
      <c r="AI646" s="63" t="s">
        <v>1828</v>
      </c>
      <c r="AJ646" s="63">
        <v>205</v>
      </c>
      <c r="AK646" s="87">
        <f t="shared" si="68"/>
        <v>0</v>
      </c>
      <c r="AL646" s="86">
        <v>54686940</v>
      </c>
      <c r="AM646" s="86">
        <f t="shared" si="69"/>
        <v>0</v>
      </c>
      <c r="AN646" s="63" t="s">
        <v>1155</v>
      </c>
      <c r="AO646" s="86">
        <f t="shared" si="70"/>
        <v>0</v>
      </c>
      <c r="AP646" s="63"/>
      <c r="AQ646" s="63"/>
      <c r="AR646" s="63"/>
      <c r="AS646" s="63"/>
      <c r="AT646" s="63"/>
      <c r="AU646" s="220"/>
      <c r="AV646" s="220"/>
      <c r="AW646" s="220"/>
    </row>
    <row r="647" spans="1:49" s="221" customFormat="1" ht="342" x14ac:dyDescent="0.25">
      <c r="A647" s="63">
        <v>233</v>
      </c>
      <c r="B647" s="63" t="str">
        <f t="shared" si="67"/>
        <v>3075-233</v>
      </c>
      <c r="C647" s="76" t="s">
        <v>1141</v>
      </c>
      <c r="D647" s="76" t="s">
        <v>1142</v>
      </c>
      <c r="E647" s="76" t="s">
        <v>1424</v>
      </c>
      <c r="F647" s="76" t="s">
        <v>1175</v>
      </c>
      <c r="G647" s="77" t="s">
        <v>1176</v>
      </c>
      <c r="H647" s="78" t="s">
        <v>1425</v>
      </c>
      <c r="I647" s="76" t="s">
        <v>1147</v>
      </c>
      <c r="J647" s="76" t="s">
        <v>1148</v>
      </c>
      <c r="K647" s="76" t="s">
        <v>439</v>
      </c>
      <c r="L647" s="63" t="s">
        <v>1149</v>
      </c>
      <c r="M647" s="63" t="s">
        <v>58</v>
      </c>
      <c r="N647" s="63" t="s">
        <v>59</v>
      </c>
      <c r="O647" s="76" t="s">
        <v>1213</v>
      </c>
      <c r="P647" s="63" t="s">
        <v>1829</v>
      </c>
      <c r="Q647" s="83">
        <v>54686940</v>
      </c>
      <c r="R647" s="98">
        <v>1</v>
      </c>
      <c r="S647" s="80">
        <v>54686940</v>
      </c>
      <c r="T647" s="63" t="s">
        <v>1171</v>
      </c>
      <c r="U647" s="63" t="s">
        <v>1171</v>
      </c>
      <c r="V647" s="81" t="s">
        <v>493</v>
      </c>
      <c r="W647" s="82" t="s">
        <v>439</v>
      </c>
      <c r="X647" s="63" t="s">
        <v>1830</v>
      </c>
      <c r="Y647" s="81">
        <v>43115</v>
      </c>
      <c r="Z647" s="86">
        <v>54686940</v>
      </c>
      <c r="AA647" s="84" t="s">
        <v>1742</v>
      </c>
      <c r="AB647" s="85">
        <v>514</v>
      </c>
      <c r="AC647" s="81">
        <v>43116</v>
      </c>
      <c r="AD647" s="86">
        <v>54686940</v>
      </c>
      <c r="AE647" s="87">
        <f t="shared" si="66"/>
        <v>0</v>
      </c>
      <c r="AF647" s="85">
        <v>809</v>
      </c>
      <c r="AG647" s="81">
        <v>43138</v>
      </c>
      <c r="AH647" s="86">
        <v>54686940</v>
      </c>
      <c r="AI647" s="63" t="s">
        <v>1831</v>
      </c>
      <c r="AJ647" s="63">
        <v>597</v>
      </c>
      <c r="AK647" s="87">
        <f t="shared" si="68"/>
        <v>0</v>
      </c>
      <c r="AL647" s="86">
        <v>54686940</v>
      </c>
      <c r="AM647" s="86">
        <f t="shared" si="69"/>
        <v>0</v>
      </c>
      <c r="AN647" s="63" t="s">
        <v>1155</v>
      </c>
      <c r="AO647" s="86">
        <f t="shared" si="70"/>
        <v>0</v>
      </c>
      <c r="AP647" s="63"/>
      <c r="AQ647" s="63"/>
      <c r="AR647" s="63"/>
      <c r="AS647" s="63"/>
      <c r="AT647" s="63"/>
      <c r="AU647" s="220"/>
      <c r="AV647" s="220"/>
      <c r="AW647" s="220"/>
    </row>
    <row r="648" spans="1:49" s="221" customFormat="1" ht="342" x14ac:dyDescent="0.25">
      <c r="A648" s="63">
        <v>234</v>
      </c>
      <c r="B648" s="63" t="str">
        <f t="shared" si="67"/>
        <v>3075-234</v>
      </c>
      <c r="C648" s="76" t="s">
        <v>1141</v>
      </c>
      <c r="D648" s="76" t="s">
        <v>1142</v>
      </c>
      <c r="E648" s="76" t="s">
        <v>1424</v>
      </c>
      <c r="F648" s="76" t="s">
        <v>1175</v>
      </c>
      <c r="G648" s="77" t="s">
        <v>1176</v>
      </c>
      <c r="H648" s="78" t="s">
        <v>1425</v>
      </c>
      <c r="I648" s="76" t="s">
        <v>1147</v>
      </c>
      <c r="J648" s="76" t="s">
        <v>1148</v>
      </c>
      <c r="K648" s="76" t="s">
        <v>439</v>
      </c>
      <c r="L648" s="63" t="s">
        <v>1149</v>
      </c>
      <c r="M648" s="63" t="s">
        <v>58</v>
      </c>
      <c r="N648" s="63" t="s">
        <v>59</v>
      </c>
      <c r="O648" s="76" t="s">
        <v>1213</v>
      </c>
      <c r="P648" s="63" t="s">
        <v>1829</v>
      </c>
      <c r="Q648" s="83">
        <v>54686940</v>
      </c>
      <c r="R648" s="98">
        <v>1</v>
      </c>
      <c r="S648" s="80">
        <v>54686940</v>
      </c>
      <c r="T648" s="63" t="s">
        <v>1171</v>
      </c>
      <c r="U648" s="63" t="s">
        <v>1171</v>
      </c>
      <c r="V648" s="81" t="s">
        <v>493</v>
      </c>
      <c r="W648" s="82" t="s">
        <v>439</v>
      </c>
      <c r="X648" s="63" t="s">
        <v>1832</v>
      </c>
      <c r="Y648" s="81">
        <v>43117</v>
      </c>
      <c r="Z648" s="86">
        <v>54686940</v>
      </c>
      <c r="AA648" s="84" t="s">
        <v>1742</v>
      </c>
      <c r="AB648" s="85">
        <v>533</v>
      </c>
      <c r="AC648" s="81">
        <v>43118</v>
      </c>
      <c r="AD648" s="86">
        <v>54686940</v>
      </c>
      <c r="AE648" s="87">
        <f t="shared" ref="AE648:AE704" si="71">S648-Z648</f>
        <v>0</v>
      </c>
      <c r="AF648" s="85">
        <v>521</v>
      </c>
      <c r="AG648" s="81">
        <v>43132</v>
      </c>
      <c r="AH648" s="86">
        <v>54686940</v>
      </c>
      <c r="AI648" s="63" t="s">
        <v>1833</v>
      </c>
      <c r="AJ648" s="63">
        <v>336</v>
      </c>
      <c r="AK648" s="87">
        <f t="shared" si="68"/>
        <v>0</v>
      </c>
      <c r="AL648" s="86">
        <v>54686940</v>
      </c>
      <c r="AM648" s="86">
        <f t="shared" si="69"/>
        <v>0</v>
      </c>
      <c r="AN648" s="63" t="s">
        <v>1155</v>
      </c>
      <c r="AO648" s="86">
        <f t="shared" si="70"/>
        <v>0</v>
      </c>
      <c r="AP648" s="63"/>
      <c r="AQ648" s="63"/>
      <c r="AR648" s="63"/>
      <c r="AS648" s="63"/>
      <c r="AT648" s="63"/>
      <c r="AU648" s="220"/>
      <c r="AV648" s="220"/>
      <c r="AW648" s="220"/>
    </row>
    <row r="649" spans="1:49" s="221" customFormat="1" ht="342" x14ac:dyDescent="0.25">
      <c r="A649" s="63">
        <v>235</v>
      </c>
      <c r="B649" s="63" t="str">
        <f t="shared" si="67"/>
        <v>3075-235</v>
      </c>
      <c r="C649" s="76" t="s">
        <v>1141</v>
      </c>
      <c r="D649" s="76" t="s">
        <v>1142</v>
      </c>
      <c r="E649" s="76" t="s">
        <v>1424</v>
      </c>
      <c r="F649" s="76" t="s">
        <v>1175</v>
      </c>
      <c r="G649" s="77" t="s">
        <v>1176</v>
      </c>
      <c r="H649" s="78" t="s">
        <v>1425</v>
      </c>
      <c r="I649" s="76" t="s">
        <v>1147</v>
      </c>
      <c r="J649" s="76" t="s">
        <v>1148</v>
      </c>
      <c r="K649" s="76" t="s">
        <v>439</v>
      </c>
      <c r="L649" s="63" t="s">
        <v>1149</v>
      </c>
      <c r="M649" s="63" t="s">
        <v>58</v>
      </c>
      <c r="N649" s="63" t="s">
        <v>59</v>
      </c>
      <c r="O649" s="76" t="s">
        <v>1213</v>
      </c>
      <c r="P649" s="63" t="s">
        <v>1834</v>
      </c>
      <c r="Q649" s="83">
        <v>54686940</v>
      </c>
      <c r="R649" s="98">
        <v>1</v>
      </c>
      <c r="S649" s="80">
        <v>54686940</v>
      </c>
      <c r="T649" s="63" t="s">
        <v>1171</v>
      </c>
      <c r="U649" s="63" t="s">
        <v>1171</v>
      </c>
      <c r="V649" s="81" t="s">
        <v>493</v>
      </c>
      <c r="W649" s="82" t="s">
        <v>439</v>
      </c>
      <c r="X649" s="63" t="s">
        <v>1835</v>
      </c>
      <c r="Y649" s="81">
        <v>43117</v>
      </c>
      <c r="Z649" s="86">
        <v>54686940</v>
      </c>
      <c r="AA649" s="84" t="s">
        <v>1742</v>
      </c>
      <c r="AB649" s="85">
        <v>534</v>
      </c>
      <c r="AC649" s="81">
        <v>43118</v>
      </c>
      <c r="AD649" s="86">
        <v>54686940</v>
      </c>
      <c r="AE649" s="87">
        <f t="shared" si="71"/>
        <v>0</v>
      </c>
      <c r="AF649" s="85">
        <v>519</v>
      </c>
      <c r="AG649" s="81">
        <v>43132</v>
      </c>
      <c r="AH649" s="86">
        <v>54686940</v>
      </c>
      <c r="AI649" s="63" t="s">
        <v>1836</v>
      </c>
      <c r="AJ649" s="63">
        <v>340</v>
      </c>
      <c r="AK649" s="87">
        <f t="shared" si="68"/>
        <v>0</v>
      </c>
      <c r="AL649" s="86">
        <v>54686940</v>
      </c>
      <c r="AM649" s="86">
        <f t="shared" si="69"/>
        <v>0</v>
      </c>
      <c r="AN649" s="63" t="s">
        <v>1155</v>
      </c>
      <c r="AO649" s="86">
        <f t="shared" si="70"/>
        <v>0</v>
      </c>
      <c r="AP649" s="63"/>
      <c r="AQ649" s="63"/>
      <c r="AR649" s="63"/>
      <c r="AS649" s="63"/>
      <c r="AT649" s="63"/>
      <c r="AU649" s="220"/>
      <c r="AV649" s="220"/>
      <c r="AW649" s="220"/>
    </row>
    <row r="650" spans="1:49" s="221" customFormat="1" ht="342" x14ac:dyDescent="0.25">
      <c r="A650" s="63">
        <v>236</v>
      </c>
      <c r="B650" s="63" t="str">
        <f t="shared" si="67"/>
        <v>3075-236</v>
      </c>
      <c r="C650" s="76" t="s">
        <v>1141</v>
      </c>
      <c r="D650" s="76" t="s">
        <v>1142</v>
      </c>
      <c r="E650" s="76" t="s">
        <v>1424</v>
      </c>
      <c r="F650" s="76" t="s">
        <v>1175</v>
      </c>
      <c r="G650" s="77" t="s">
        <v>1176</v>
      </c>
      <c r="H650" s="78" t="s">
        <v>1425</v>
      </c>
      <c r="I650" s="76" t="s">
        <v>1147</v>
      </c>
      <c r="J650" s="76" t="s">
        <v>1148</v>
      </c>
      <c r="K650" s="76" t="s">
        <v>439</v>
      </c>
      <c r="L650" s="63" t="s">
        <v>1149</v>
      </c>
      <c r="M650" s="63" t="s">
        <v>58</v>
      </c>
      <c r="N650" s="63" t="s">
        <v>59</v>
      </c>
      <c r="O650" s="76" t="s">
        <v>1213</v>
      </c>
      <c r="P650" s="63" t="s">
        <v>1837</v>
      </c>
      <c r="Q650" s="83">
        <v>54686940</v>
      </c>
      <c r="R650" s="98">
        <v>1</v>
      </c>
      <c r="S650" s="80">
        <v>54686940</v>
      </c>
      <c r="T650" s="63" t="s">
        <v>1171</v>
      </c>
      <c r="U650" s="63" t="s">
        <v>1171</v>
      </c>
      <c r="V650" s="81" t="s">
        <v>493</v>
      </c>
      <c r="W650" s="82" t="s">
        <v>439</v>
      </c>
      <c r="X650" s="63" t="s">
        <v>1838</v>
      </c>
      <c r="Y650" s="81">
        <v>43117</v>
      </c>
      <c r="Z650" s="86">
        <v>54686940</v>
      </c>
      <c r="AA650" s="84" t="s">
        <v>1742</v>
      </c>
      <c r="AB650" s="85">
        <v>535</v>
      </c>
      <c r="AC650" s="81">
        <v>43118</v>
      </c>
      <c r="AD650" s="86">
        <v>54686940</v>
      </c>
      <c r="AE650" s="87">
        <f t="shared" si="71"/>
        <v>0</v>
      </c>
      <c r="AF650" s="85">
        <v>524</v>
      </c>
      <c r="AG650" s="81">
        <v>43132</v>
      </c>
      <c r="AH650" s="86">
        <v>54686940</v>
      </c>
      <c r="AI650" s="63" t="s">
        <v>1839</v>
      </c>
      <c r="AJ650" s="63">
        <v>338</v>
      </c>
      <c r="AK650" s="87">
        <f t="shared" si="68"/>
        <v>0</v>
      </c>
      <c r="AL650" s="86">
        <v>54686940</v>
      </c>
      <c r="AM650" s="86">
        <f t="shared" si="69"/>
        <v>0</v>
      </c>
      <c r="AN650" s="63" t="s">
        <v>1155</v>
      </c>
      <c r="AO650" s="86">
        <f t="shared" si="70"/>
        <v>0</v>
      </c>
      <c r="AP650" s="63"/>
      <c r="AQ650" s="63"/>
      <c r="AR650" s="63"/>
      <c r="AS650" s="63"/>
      <c r="AT650" s="63"/>
      <c r="AU650" s="220"/>
      <c r="AV650" s="220"/>
      <c r="AW650" s="220"/>
    </row>
    <row r="651" spans="1:49" s="221" customFormat="1" ht="342" x14ac:dyDescent="0.25">
      <c r="A651" s="63">
        <v>237</v>
      </c>
      <c r="B651" s="63" t="str">
        <f t="shared" si="67"/>
        <v>3075-237</v>
      </c>
      <c r="C651" s="76" t="s">
        <v>1141</v>
      </c>
      <c r="D651" s="76" t="s">
        <v>1142</v>
      </c>
      <c r="E651" s="76" t="s">
        <v>1424</v>
      </c>
      <c r="F651" s="76" t="s">
        <v>1175</v>
      </c>
      <c r="G651" s="77" t="s">
        <v>1176</v>
      </c>
      <c r="H651" s="78" t="s">
        <v>1425</v>
      </c>
      <c r="I651" s="76" t="s">
        <v>1147</v>
      </c>
      <c r="J651" s="76" t="s">
        <v>1148</v>
      </c>
      <c r="K651" s="76" t="s">
        <v>439</v>
      </c>
      <c r="L651" s="63" t="s">
        <v>1149</v>
      </c>
      <c r="M651" s="63" t="s">
        <v>58</v>
      </c>
      <c r="N651" s="63" t="s">
        <v>59</v>
      </c>
      <c r="O651" s="76" t="s">
        <v>1213</v>
      </c>
      <c r="P651" s="63" t="s">
        <v>1840</v>
      </c>
      <c r="Q651" s="83">
        <v>54686940</v>
      </c>
      <c r="R651" s="98">
        <v>1</v>
      </c>
      <c r="S651" s="80">
        <v>54686940</v>
      </c>
      <c r="T651" s="63" t="s">
        <v>1171</v>
      </c>
      <c r="U651" s="63" t="s">
        <v>1171</v>
      </c>
      <c r="V651" s="81" t="s">
        <v>493</v>
      </c>
      <c r="W651" s="82" t="s">
        <v>439</v>
      </c>
      <c r="X651" s="63" t="s">
        <v>1841</v>
      </c>
      <c r="Y651" s="81">
        <v>43117</v>
      </c>
      <c r="Z651" s="86">
        <v>54686940</v>
      </c>
      <c r="AA651" s="84" t="s">
        <v>1742</v>
      </c>
      <c r="AB651" s="85">
        <v>537</v>
      </c>
      <c r="AC651" s="81">
        <v>43118</v>
      </c>
      <c r="AD651" s="86">
        <v>54686940</v>
      </c>
      <c r="AE651" s="87">
        <f t="shared" si="71"/>
        <v>0</v>
      </c>
      <c r="AF651" s="85">
        <v>523</v>
      </c>
      <c r="AG651" s="81">
        <v>43132</v>
      </c>
      <c r="AH651" s="86">
        <v>54686940</v>
      </c>
      <c r="AI651" s="63" t="s">
        <v>1842</v>
      </c>
      <c r="AJ651" s="63">
        <v>337</v>
      </c>
      <c r="AK651" s="87">
        <f t="shared" si="68"/>
        <v>0</v>
      </c>
      <c r="AL651" s="86">
        <v>54686940</v>
      </c>
      <c r="AM651" s="86">
        <f t="shared" si="69"/>
        <v>0</v>
      </c>
      <c r="AN651" s="63" t="s">
        <v>1155</v>
      </c>
      <c r="AO651" s="86">
        <f t="shared" si="70"/>
        <v>0</v>
      </c>
      <c r="AP651" s="63"/>
      <c r="AQ651" s="63"/>
      <c r="AR651" s="63"/>
      <c r="AS651" s="63"/>
      <c r="AT651" s="63"/>
      <c r="AU651" s="220"/>
      <c r="AV651" s="220"/>
      <c r="AW651" s="220"/>
    </row>
    <row r="652" spans="1:49" s="221" customFormat="1" ht="342" x14ac:dyDescent="0.25">
      <c r="A652" s="63">
        <v>238</v>
      </c>
      <c r="B652" s="63" t="str">
        <f t="shared" si="67"/>
        <v>3075-238</v>
      </c>
      <c r="C652" s="76" t="s">
        <v>1141</v>
      </c>
      <c r="D652" s="76" t="s">
        <v>1142</v>
      </c>
      <c r="E652" s="76" t="s">
        <v>1424</v>
      </c>
      <c r="F652" s="76" t="s">
        <v>1175</v>
      </c>
      <c r="G652" s="77" t="s">
        <v>1176</v>
      </c>
      <c r="H652" s="78" t="s">
        <v>1425</v>
      </c>
      <c r="I652" s="76" t="s">
        <v>1147</v>
      </c>
      <c r="J652" s="76" t="s">
        <v>1148</v>
      </c>
      <c r="K652" s="76" t="s">
        <v>439</v>
      </c>
      <c r="L652" s="63" t="s">
        <v>1149</v>
      </c>
      <c r="M652" s="63" t="s">
        <v>58</v>
      </c>
      <c r="N652" s="63" t="s">
        <v>59</v>
      </c>
      <c r="O652" s="76" t="s">
        <v>1213</v>
      </c>
      <c r="P652" s="63" t="s">
        <v>1843</v>
      </c>
      <c r="Q652" s="83">
        <v>54686940</v>
      </c>
      <c r="R652" s="98">
        <v>1</v>
      </c>
      <c r="S652" s="80">
        <v>54686940</v>
      </c>
      <c r="T652" s="63" t="s">
        <v>1171</v>
      </c>
      <c r="U652" s="63" t="s">
        <v>1171</v>
      </c>
      <c r="V652" s="81" t="s">
        <v>493</v>
      </c>
      <c r="W652" s="82" t="s">
        <v>439</v>
      </c>
      <c r="X652" s="63" t="s">
        <v>1844</v>
      </c>
      <c r="Y652" s="81">
        <v>43117</v>
      </c>
      <c r="Z652" s="86">
        <v>54686940</v>
      </c>
      <c r="AA652" s="84" t="s">
        <v>1742</v>
      </c>
      <c r="AB652" s="85">
        <v>538</v>
      </c>
      <c r="AC652" s="81">
        <v>43118</v>
      </c>
      <c r="AD652" s="86">
        <v>54686940</v>
      </c>
      <c r="AE652" s="87">
        <f t="shared" si="71"/>
        <v>0</v>
      </c>
      <c r="AF652" s="85">
        <v>1333</v>
      </c>
      <c r="AG652" s="81">
        <v>43144</v>
      </c>
      <c r="AH652" s="86">
        <v>54686940</v>
      </c>
      <c r="AI652" s="63" t="s">
        <v>1845</v>
      </c>
      <c r="AJ652" s="63">
        <v>762</v>
      </c>
      <c r="AK652" s="87">
        <f t="shared" si="68"/>
        <v>0</v>
      </c>
      <c r="AL652" s="86">
        <v>54686940</v>
      </c>
      <c r="AM652" s="86">
        <f t="shared" si="69"/>
        <v>0</v>
      </c>
      <c r="AN652" s="63" t="s">
        <v>1155</v>
      </c>
      <c r="AO652" s="86">
        <f t="shared" si="70"/>
        <v>0</v>
      </c>
      <c r="AP652" s="63"/>
      <c r="AQ652" s="63"/>
      <c r="AR652" s="63"/>
      <c r="AS652" s="63"/>
      <c r="AT652" s="63"/>
      <c r="AU652" s="220"/>
      <c r="AV652" s="220"/>
      <c r="AW652" s="220"/>
    </row>
    <row r="653" spans="1:49" s="221" customFormat="1" ht="342" x14ac:dyDescent="0.25">
      <c r="A653" s="63">
        <v>239</v>
      </c>
      <c r="B653" s="63" t="str">
        <f t="shared" si="67"/>
        <v>3075-239</v>
      </c>
      <c r="C653" s="76" t="s">
        <v>1141</v>
      </c>
      <c r="D653" s="76" t="s">
        <v>1142</v>
      </c>
      <c r="E653" s="76" t="s">
        <v>1424</v>
      </c>
      <c r="F653" s="76" t="s">
        <v>1175</v>
      </c>
      <c r="G653" s="77" t="s">
        <v>1176</v>
      </c>
      <c r="H653" s="78" t="s">
        <v>1425</v>
      </c>
      <c r="I653" s="76" t="s">
        <v>1147</v>
      </c>
      <c r="J653" s="76" t="s">
        <v>1148</v>
      </c>
      <c r="K653" s="76" t="s">
        <v>439</v>
      </c>
      <c r="L653" s="63" t="s">
        <v>1149</v>
      </c>
      <c r="M653" s="63" t="s">
        <v>58</v>
      </c>
      <c r="N653" s="63" t="s">
        <v>59</v>
      </c>
      <c r="O653" s="76" t="s">
        <v>1213</v>
      </c>
      <c r="P653" s="63" t="s">
        <v>1846</v>
      </c>
      <c r="Q653" s="83">
        <v>54686940</v>
      </c>
      <c r="R653" s="98">
        <v>1</v>
      </c>
      <c r="S653" s="80">
        <v>54686940</v>
      </c>
      <c r="T653" s="63" t="s">
        <v>1171</v>
      </c>
      <c r="U653" s="63" t="s">
        <v>1171</v>
      </c>
      <c r="V653" s="81" t="s">
        <v>493</v>
      </c>
      <c r="W653" s="82" t="s">
        <v>439</v>
      </c>
      <c r="X653" s="63" t="s">
        <v>1847</v>
      </c>
      <c r="Y653" s="81">
        <v>43117</v>
      </c>
      <c r="Z653" s="86">
        <v>54686940</v>
      </c>
      <c r="AA653" s="84" t="s">
        <v>1742</v>
      </c>
      <c r="AB653" s="85">
        <v>539</v>
      </c>
      <c r="AC653" s="81">
        <v>43118</v>
      </c>
      <c r="AD653" s="86">
        <v>54686940</v>
      </c>
      <c r="AE653" s="87">
        <f t="shared" si="71"/>
        <v>0</v>
      </c>
      <c r="AF653" s="85">
        <v>638</v>
      </c>
      <c r="AG653" s="81">
        <v>43133</v>
      </c>
      <c r="AH653" s="86">
        <v>54686940</v>
      </c>
      <c r="AI653" s="63" t="s">
        <v>1848</v>
      </c>
      <c r="AJ653" s="63">
        <v>512</v>
      </c>
      <c r="AK653" s="87">
        <f t="shared" si="68"/>
        <v>0</v>
      </c>
      <c r="AL653" s="86">
        <v>54686940</v>
      </c>
      <c r="AM653" s="86">
        <f t="shared" si="69"/>
        <v>0</v>
      </c>
      <c r="AN653" s="63" t="s">
        <v>1155</v>
      </c>
      <c r="AO653" s="86">
        <f t="shared" si="70"/>
        <v>0</v>
      </c>
      <c r="AP653" s="63"/>
      <c r="AQ653" s="63"/>
      <c r="AR653" s="63"/>
      <c r="AS653" s="63"/>
      <c r="AT653" s="63"/>
      <c r="AU653" s="220"/>
      <c r="AV653" s="220"/>
      <c r="AW653" s="220"/>
    </row>
    <row r="654" spans="1:49" s="221" customFormat="1" ht="342" x14ac:dyDescent="0.25">
      <c r="A654" s="63">
        <v>240</v>
      </c>
      <c r="B654" s="63" t="str">
        <f t="shared" si="67"/>
        <v>3075-240</v>
      </c>
      <c r="C654" s="76" t="s">
        <v>1141</v>
      </c>
      <c r="D654" s="76" t="s">
        <v>1142</v>
      </c>
      <c r="E654" s="76" t="s">
        <v>1424</v>
      </c>
      <c r="F654" s="76" t="s">
        <v>1175</v>
      </c>
      <c r="G654" s="77" t="s">
        <v>1176</v>
      </c>
      <c r="H654" s="78" t="s">
        <v>1425</v>
      </c>
      <c r="I654" s="76" t="s">
        <v>1147</v>
      </c>
      <c r="J654" s="76" t="s">
        <v>1148</v>
      </c>
      <c r="K654" s="76" t="s">
        <v>439</v>
      </c>
      <c r="L654" s="63" t="s">
        <v>1149</v>
      </c>
      <c r="M654" s="63" t="s">
        <v>58</v>
      </c>
      <c r="N654" s="63" t="s">
        <v>59</v>
      </c>
      <c r="O654" s="76" t="s">
        <v>1213</v>
      </c>
      <c r="P654" s="63" t="s">
        <v>1849</v>
      </c>
      <c r="Q654" s="83">
        <v>54686940</v>
      </c>
      <c r="R654" s="98">
        <v>1</v>
      </c>
      <c r="S654" s="80">
        <v>54686940</v>
      </c>
      <c r="T654" s="63" t="s">
        <v>1171</v>
      </c>
      <c r="U654" s="63" t="s">
        <v>1171</v>
      </c>
      <c r="V654" s="81" t="s">
        <v>493</v>
      </c>
      <c r="W654" s="82" t="s">
        <v>439</v>
      </c>
      <c r="X654" s="63" t="s">
        <v>1850</v>
      </c>
      <c r="Y654" s="81">
        <v>43117</v>
      </c>
      <c r="Z654" s="86">
        <v>54686940</v>
      </c>
      <c r="AA654" s="84" t="s">
        <v>1742</v>
      </c>
      <c r="AB654" s="85">
        <v>540</v>
      </c>
      <c r="AC654" s="81">
        <v>43118</v>
      </c>
      <c r="AD654" s="86">
        <v>54686940</v>
      </c>
      <c r="AE654" s="87">
        <f t="shared" si="71"/>
        <v>0</v>
      </c>
      <c r="AF654" s="85">
        <v>525</v>
      </c>
      <c r="AG654" s="81">
        <v>43132</v>
      </c>
      <c r="AH654" s="86">
        <v>54686940</v>
      </c>
      <c r="AI654" s="63" t="s">
        <v>1851</v>
      </c>
      <c r="AJ654" s="63">
        <v>333</v>
      </c>
      <c r="AK654" s="87">
        <f t="shared" si="68"/>
        <v>0</v>
      </c>
      <c r="AL654" s="86">
        <v>54686940</v>
      </c>
      <c r="AM654" s="86">
        <f t="shared" si="69"/>
        <v>0</v>
      </c>
      <c r="AN654" s="63" t="s">
        <v>1155</v>
      </c>
      <c r="AO654" s="86">
        <f t="shared" si="70"/>
        <v>0</v>
      </c>
      <c r="AP654" s="63"/>
      <c r="AQ654" s="63"/>
      <c r="AR654" s="63"/>
      <c r="AS654" s="63"/>
      <c r="AT654" s="63"/>
      <c r="AU654" s="220"/>
      <c r="AV654" s="220"/>
      <c r="AW654" s="220"/>
    </row>
    <row r="655" spans="1:49" s="221" customFormat="1" ht="242.25" x14ac:dyDescent="0.25">
      <c r="A655" s="63">
        <v>241</v>
      </c>
      <c r="B655" s="63" t="str">
        <f t="shared" si="67"/>
        <v>3075-241</v>
      </c>
      <c r="C655" s="76" t="s">
        <v>1141</v>
      </c>
      <c r="D655" s="76" t="s">
        <v>1142</v>
      </c>
      <c r="E655" s="76" t="s">
        <v>1174</v>
      </c>
      <c r="F655" s="76" t="s">
        <v>1175</v>
      </c>
      <c r="G655" s="77" t="s">
        <v>1176</v>
      </c>
      <c r="H655" s="78" t="s">
        <v>1177</v>
      </c>
      <c r="I655" s="76" t="s">
        <v>1147</v>
      </c>
      <c r="J655" s="76" t="s">
        <v>1148</v>
      </c>
      <c r="K655" s="76" t="s">
        <v>439</v>
      </c>
      <c r="L655" s="63" t="s">
        <v>1149</v>
      </c>
      <c r="M655" s="63" t="s">
        <v>58</v>
      </c>
      <c r="N655" s="63" t="s">
        <v>59</v>
      </c>
      <c r="O655" s="76" t="s">
        <v>1169</v>
      </c>
      <c r="P655" s="76" t="s">
        <v>1852</v>
      </c>
      <c r="Q655" s="79">
        <v>4739060</v>
      </c>
      <c r="R655" s="63">
        <v>1</v>
      </c>
      <c r="S655" s="80">
        <v>4739060</v>
      </c>
      <c r="T655" s="63" t="s">
        <v>1171</v>
      </c>
      <c r="U655" s="63" t="s">
        <v>1171</v>
      </c>
      <c r="V655" s="81" t="s">
        <v>493</v>
      </c>
      <c r="W655" s="82" t="s">
        <v>439</v>
      </c>
      <c r="X655" s="63" t="s">
        <v>1853</v>
      </c>
      <c r="Y655" s="81">
        <v>43123</v>
      </c>
      <c r="Z655" s="86">
        <v>4739060</v>
      </c>
      <c r="AA655" s="84" t="s">
        <v>1786</v>
      </c>
      <c r="AB655" s="85">
        <v>561</v>
      </c>
      <c r="AC655" s="81">
        <v>43124</v>
      </c>
      <c r="AD655" s="86">
        <v>4739060</v>
      </c>
      <c r="AE655" s="87">
        <f t="shared" si="71"/>
        <v>0</v>
      </c>
      <c r="AF655" s="85">
        <v>1458</v>
      </c>
      <c r="AG655" s="81">
        <v>43154</v>
      </c>
      <c r="AH655" s="86">
        <v>4739060</v>
      </c>
      <c r="AI655" s="63" t="s">
        <v>1854</v>
      </c>
      <c r="AJ655" s="63">
        <v>1378</v>
      </c>
      <c r="AK655" s="87">
        <f t="shared" si="68"/>
        <v>0</v>
      </c>
      <c r="AL655" s="86">
        <v>4739060</v>
      </c>
      <c r="AM655" s="86">
        <f t="shared" si="69"/>
        <v>0</v>
      </c>
      <c r="AN655" s="63" t="s">
        <v>1155</v>
      </c>
      <c r="AO655" s="86">
        <f t="shared" si="70"/>
        <v>0</v>
      </c>
      <c r="AP655" s="63"/>
      <c r="AQ655" s="63"/>
      <c r="AR655" s="63"/>
      <c r="AS655" s="63"/>
      <c r="AT655" s="63"/>
      <c r="AU655" s="220"/>
      <c r="AV655" s="220"/>
      <c r="AW655" s="220"/>
    </row>
    <row r="656" spans="1:49" s="221" customFormat="1" ht="142.5" x14ac:dyDescent="0.25">
      <c r="A656" s="63">
        <v>242</v>
      </c>
      <c r="B656" s="63" t="str">
        <f t="shared" si="67"/>
        <v>3075-242</v>
      </c>
      <c r="C656" s="76" t="s">
        <v>1141</v>
      </c>
      <c r="D656" s="76" t="s">
        <v>1142</v>
      </c>
      <c r="E656" s="76" t="s">
        <v>1165</v>
      </c>
      <c r="F656" s="76" t="s">
        <v>1166</v>
      </c>
      <c r="G656" s="77" t="s">
        <v>1167</v>
      </c>
      <c r="H656" s="78" t="s">
        <v>1168</v>
      </c>
      <c r="I656" s="76" t="s">
        <v>1147</v>
      </c>
      <c r="J656" s="76" t="s">
        <v>1148</v>
      </c>
      <c r="K656" s="76" t="s">
        <v>439</v>
      </c>
      <c r="L656" s="63" t="s">
        <v>1149</v>
      </c>
      <c r="M656" s="63" t="s">
        <v>58</v>
      </c>
      <c r="N656" s="63" t="s">
        <v>59</v>
      </c>
      <c r="O656" s="76" t="s">
        <v>1169</v>
      </c>
      <c r="P656" s="63" t="s">
        <v>1855</v>
      </c>
      <c r="Q656" s="79">
        <v>6163200</v>
      </c>
      <c r="R656" s="63">
        <v>1</v>
      </c>
      <c r="S656" s="80">
        <v>6163200</v>
      </c>
      <c r="T656" s="63" t="s">
        <v>1171</v>
      </c>
      <c r="U656" s="63" t="s">
        <v>1171</v>
      </c>
      <c r="V656" s="81" t="s">
        <v>411</v>
      </c>
      <c r="W656" s="82" t="s">
        <v>439</v>
      </c>
      <c r="X656" s="63" t="s">
        <v>1856</v>
      </c>
      <c r="Y656" s="81">
        <v>43123</v>
      </c>
      <c r="Z656" s="86">
        <v>6163200</v>
      </c>
      <c r="AA656" s="84" t="s">
        <v>1782</v>
      </c>
      <c r="AB656" s="85">
        <v>562</v>
      </c>
      <c r="AC656" s="81">
        <v>43124</v>
      </c>
      <c r="AD656" s="86">
        <v>6163200</v>
      </c>
      <c r="AE656" s="87">
        <f t="shared" si="71"/>
        <v>0</v>
      </c>
      <c r="AF656" s="85">
        <v>1845</v>
      </c>
      <c r="AG656" s="81">
        <v>43216</v>
      </c>
      <c r="AH656" s="86">
        <v>6163200</v>
      </c>
      <c r="AI656" s="63" t="s">
        <v>1857</v>
      </c>
      <c r="AJ656" s="63">
        <v>1901</v>
      </c>
      <c r="AK656" s="87">
        <f t="shared" si="68"/>
        <v>0</v>
      </c>
      <c r="AL656" s="86">
        <v>0</v>
      </c>
      <c r="AM656" s="86">
        <f t="shared" si="69"/>
        <v>6163200</v>
      </c>
      <c r="AN656" s="63" t="s">
        <v>1155</v>
      </c>
      <c r="AO656" s="86">
        <f t="shared" si="70"/>
        <v>0</v>
      </c>
      <c r="AP656" s="63"/>
      <c r="AQ656" s="63"/>
      <c r="AR656" s="63"/>
      <c r="AS656" s="63"/>
      <c r="AT656" s="63"/>
      <c r="AU656" s="220"/>
      <c r="AV656" s="220"/>
      <c r="AW656" s="220"/>
    </row>
    <row r="657" spans="1:49" s="221" customFormat="1" ht="128.25" x14ac:dyDescent="0.25">
      <c r="A657" s="63">
        <v>243</v>
      </c>
      <c r="B657" s="63" t="str">
        <f t="shared" si="67"/>
        <v>3075-243</v>
      </c>
      <c r="C657" s="76" t="s">
        <v>1141</v>
      </c>
      <c r="D657" s="76" t="s">
        <v>1142</v>
      </c>
      <c r="E657" s="76" t="s">
        <v>1165</v>
      </c>
      <c r="F657" s="76" t="s">
        <v>1166</v>
      </c>
      <c r="G657" s="77" t="s">
        <v>1167</v>
      </c>
      <c r="H657" s="78" t="s">
        <v>1168</v>
      </c>
      <c r="I657" s="76" t="s">
        <v>1147</v>
      </c>
      <c r="J657" s="76" t="s">
        <v>1148</v>
      </c>
      <c r="K657" s="76" t="s">
        <v>439</v>
      </c>
      <c r="L657" s="63" t="s">
        <v>1149</v>
      </c>
      <c r="M657" s="63" t="s">
        <v>58</v>
      </c>
      <c r="N657" s="63" t="s">
        <v>59</v>
      </c>
      <c r="O657" s="76" t="s">
        <v>1169</v>
      </c>
      <c r="P657" s="63" t="s">
        <v>1858</v>
      </c>
      <c r="Q657" s="79">
        <v>53532600</v>
      </c>
      <c r="R657" s="63">
        <v>1</v>
      </c>
      <c r="S657" s="80">
        <v>53532600</v>
      </c>
      <c r="T657" s="63" t="s">
        <v>1171</v>
      </c>
      <c r="U657" s="63" t="s">
        <v>1171</v>
      </c>
      <c r="V657" s="81" t="s">
        <v>411</v>
      </c>
      <c r="W657" s="82" t="s">
        <v>439</v>
      </c>
      <c r="X657" s="63" t="s">
        <v>1859</v>
      </c>
      <c r="Y657" s="81">
        <v>43123</v>
      </c>
      <c r="Z657" s="86">
        <v>53532600</v>
      </c>
      <c r="AA657" s="84" t="s">
        <v>1782</v>
      </c>
      <c r="AB657" s="85">
        <v>563</v>
      </c>
      <c r="AC657" s="81">
        <v>43124</v>
      </c>
      <c r="AD657" s="86">
        <v>53532600</v>
      </c>
      <c r="AE657" s="87">
        <f t="shared" si="71"/>
        <v>0</v>
      </c>
      <c r="AF657" s="85">
        <v>1777</v>
      </c>
      <c r="AG657" s="81">
        <v>43202</v>
      </c>
      <c r="AH657" s="86">
        <v>53532600</v>
      </c>
      <c r="AI657" s="63" t="s">
        <v>1860</v>
      </c>
      <c r="AJ657" s="63">
        <v>1782</v>
      </c>
      <c r="AK657" s="87">
        <f t="shared" si="68"/>
        <v>0</v>
      </c>
      <c r="AL657" s="86">
        <v>16059780</v>
      </c>
      <c r="AM657" s="86">
        <f t="shared" si="69"/>
        <v>37472820</v>
      </c>
      <c r="AN657" s="63" t="s">
        <v>1155</v>
      </c>
      <c r="AO657" s="86">
        <f t="shared" si="70"/>
        <v>0</v>
      </c>
      <c r="AP657" s="63"/>
      <c r="AQ657" s="63"/>
      <c r="AR657" s="63"/>
      <c r="AS657" s="63"/>
      <c r="AT657" s="63"/>
      <c r="AU657" s="220"/>
      <c r="AV657" s="220"/>
      <c r="AW657" s="220"/>
    </row>
    <row r="658" spans="1:49" s="221" customFormat="1" ht="142.5" x14ac:dyDescent="0.25">
      <c r="A658" s="63">
        <v>244</v>
      </c>
      <c r="B658" s="63" t="str">
        <f t="shared" si="67"/>
        <v>3075-244</v>
      </c>
      <c r="C658" s="76" t="s">
        <v>1141</v>
      </c>
      <c r="D658" s="76" t="s">
        <v>1142</v>
      </c>
      <c r="E658" s="76" t="s">
        <v>1165</v>
      </c>
      <c r="F658" s="76" t="s">
        <v>1166</v>
      </c>
      <c r="G658" s="77" t="s">
        <v>1167</v>
      </c>
      <c r="H658" s="78" t="s">
        <v>1168</v>
      </c>
      <c r="I658" s="76" t="s">
        <v>1147</v>
      </c>
      <c r="J658" s="76" t="s">
        <v>1148</v>
      </c>
      <c r="K658" s="76" t="s">
        <v>439</v>
      </c>
      <c r="L658" s="63" t="s">
        <v>1149</v>
      </c>
      <c r="M658" s="63" t="s">
        <v>58</v>
      </c>
      <c r="N658" s="63" t="s">
        <v>59</v>
      </c>
      <c r="O658" s="76" t="s">
        <v>1169</v>
      </c>
      <c r="P658" s="63" t="s">
        <v>1861</v>
      </c>
      <c r="Q658" s="79">
        <v>8832000</v>
      </c>
      <c r="R658" s="63">
        <v>1</v>
      </c>
      <c r="S658" s="80">
        <v>8832000</v>
      </c>
      <c r="T658" s="63" t="s">
        <v>1171</v>
      </c>
      <c r="U658" s="63" t="s">
        <v>1171</v>
      </c>
      <c r="V658" s="81" t="s">
        <v>411</v>
      </c>
      <c r="W658" s="82" t="s">
        <v>439</v>
      </c>
      <c r="X658" s="63" t="s">
        <v>1862</v>
      </c>
      <c r="Y658" s="81">
        <v>43123</v>
      </c>
      <c r="Z658" s="86">
        <v>8832000</v>
      </c>
      <c r="AA658" s="84" t="s">
        <v>1782</v>
      </c>
      <c r="AB658" s="85">
        <v>566</v>
      </c>
      <c r="AC658" s="81">
        <v>43124</v>
      </c>
      <c r="AD658" s="86">
        <v>8832000</v>
      </c>
      <c r="AE658" s="87">
        <f t="shared" si="71"/>
        <v>0</v>
      </c>
      <c r="AF658" s="85">
        <v>1825</v>
      </c>
      <c r="AG658" s="81">
        <v>43210</v>
      </c>
      <c r="AH658" s="86">
        <v>8832000</v>
      </c>
      <c r="AI658" s="63" t="s">
        <v>1863</v>
      </c>
      <c r="AJ658" s="63">
        <v>1879</v>
      </c>
      <c r="AK658" s="87">
        <f t="shared" si="68"/>
        <v>0</v>
      </c>
      <c r="AL658" s="86">
        <v>0</v>
      </c>
      <c r="AM658" s="86">
        <f t="shared" si="69"/>
        <v>8832000</v>
      </c>
      <c r="AN658" s="63" t="s">
        <v>1155</v>
      </c>
      <c r="AO658" s="86">
        <f t="shared" si="70"/>
        <v>0</v>
      </c>
      <c r="AP658" s="63"/>
      <c r="AQ658" s="63"/>
      <c r="AR658" s="63"/>
      <c r="AS658" s="63"/>
      <c r="AT658" s="63"/>
      <c r="AU658" s="220"/>
      <c r="AV658" s="220"/>
      <c r="AW658" s="220"/>
    </row>
    <row r="659" spans="1:49" s="221" customFormat="1" ht="142.5" x14ac:dyDescent="0.25">
      <c r="A659" s="63">
        <v>245</v>
      </c>
      <c r="B659" s="63" t="str">
        <f t="shared" si="67"/>
        <v>3075-245</v>
      </c>
      <c r="C659" s="76" t="s">
        <v>1141</v>
      </c>
      <c r="D659" s="76" t="s">
        <v>1142</v>
      </c>
      <c r="E659" s="76" t="s">
        <v>1165</v>
      </c>
      <c r="F659" s="76" t="s">
        <v>1166</v>
      </c>
      <c r="G659" s="77" t="s">
        <v>1167</v>
      </c>
      <c r="H659" s="78" t="s">
        <v>1168</v>
      </c>
      <c r="I659" s="76" t="s">
        <v>1147</v>
      </c>
      <c r="J659" s="76" t="s">
        <v>1148</v>
      </c>
      <c r="K659" s="76" t="s">
        <v>439</v>
      </c>
      <c r="L659" s="63" t="s">
        <v>1149</v>
      </c>
      <c r="M659" s="63" t="s">
        <v>58</v>
      </c>
      <c r="N659" s="63" t="s">
        <v>59</v>
      </c>
      <c r="O659" s="76" t="s">
        <v>1169</v>
      </c>
      <c r="P659" s="63" t="s">
        <v>1864</v>
      </c>
      <c r="Q659" s="79">
        <v>39873100</v>
      </c>
      <c r="R659" s="63">
        <v>1</v>
      </c>
      <c r="S659" s="80">
        <v>39873100</v>
      </c>
      <c r="T659" s="63" t="s">
        <v>1171</v>
      </c>
      <c r="U659" s="63" t="s">
        <v>1171</v>
      </c>
      <c r="V659" s="81" t="s">
        <v>411</v>
      </c>
      <c r="W659" s="82" t="s">
        <v>439</v>
      </c>
      <c r="X659" s="63" t="s">
        <v>1865</v>
      </c>
      <c r="Y659" s="81">
        <v>43123</v>
      </c>
      <c r="Z659" s="86">
        <v>39873100</v>
      </c>
      <c r="AA659" s="84" t="s">
        <v>1782</v>
      </c>
      <c r="AB659" s="85">
        <v>567</v>
      </c>
      <c r="AC659" s="81">
        <v>43124</v>
      </c>
      <c r="AD659" s="86">
        <v>39873100</v>
      </c>
      <c r="AE659" s="87">
        <f t="shared" si="71"/>
        <v>0</v>
      </c>
      <c r="AF659" s="85">
        <v>1827</v>
      </c>
      <c r="AG659" s="81">
        <v>43210</v>
      </c>
      <c r="AH659" s="86">
        <v>39873100</v>
      </c>
      <c r="AI659" s="63" t="s">
        <v>1866</v>
      </c>
      <c r="AJ659" s="63">
        <v>1881</v>
      </c>
      <c r="AK659" s="87">
        <f t="shared" si="68"/>
        <v>0</v>
      </c>
      <c r="AL659" s="86">
        <v>11961930</v>
      </c>
      <c r="AM659" s="86">
        <f t="shared" si="69"/>
        <v>27911170</v>
      </c>
      <c r="AN659" s="63" t="s">
        <v>1155</v>
      </c>
      <c r="AO659" s="86">
        <f t="shared" si="70"/>
        <v>0</v>
      </c>
      <c r="AP659" s="63"/>
      <c r="AQ659" s="63"/>
      <c r="AR659" s="63"/>
      <c r="AS659" s="63"/>
      <c r="AT659" s="63"/>
      <c r="AU659" s="220"/>
      <c r="AV659" s="220"/>
      <c r="AW659" s="220"/>
    </row>
    <row r="660" spans="1:49" s="221" customFormat="1" ht="342" x14ac:dyDescent="0.25">
      <c r="A660" s="63">
        <v>246</v>
      </c>
      <c r="B660" s="63" t="str">
        <f t="shared" si="67"/>
        <v>3075-246</v>
      </c>
      <c r="C660" s="76" t="s">
        <v>1141</v>
      </c>
      <c r="D660" s="76" t="s">
        <v>1142</v>
      </c>
      <c r="E660" s="76" t="s">
        <v>1424</v>
      </c>
      <c r="F660" s="76" t="s">
        <v>1175</v>
      </c>
      <c r="G660" s="77" t="s">
        <v>1176</v>
      </c>
      <c r="H660" s="78" t="s">
        <v>1425</v>
      </c>
      <c r="I660" s="76" t="s">
        <v>1147</v>
      </c>
      <c r="J660" s="76" t="s">
        <v>1148</v>
      </c>
      <c r="K660" s="76" t="s">
        <v>439</v>
      </c>
      <c r="L660" s="63" t="s">
        <v>1149</v>
      </c>
      <c r="M660" s="63" t="s">
        <v>58</v>
      </c>
      <c r="N660" s="63" t="s">
        <v>59</v>
      </c>
      <c r="O660" s="76" t="s">
        <v>1213</v>
      </c>
      <c r="P660" s="63" t="s">
        <v>1867</v>
      </c>
      <c r="Q660" s="83">
        <v>54686940</v>
      </c>
      <c r="R660" s="98">
        <v>1</v>
      </c>
      <c r="S660" s="80">
        <v>54686940</v>
      </c>
      <c r="T660" s="63" t="s">
        <v>1171</v>
      </c>
      <c r="U660" s="63" t="s">
        <v>1171</v>
      </c>
      <c r="V660" s="81" t="s">
        <v>493</v>
      </c>
      <c r="W660" s="82" t="s">
        <v>439</v>
      </c>
      <c r="X660" s="99" t="s">
        <v>1868</v>
      </c>
      <c r="Y660" s="81">
        <v>43126</v>
      </c>
      <c r="Z660" s="83">
        <v>54686940</v>
      </c>
      <c r="AA660" s="84" t="s">
        <v>1742</v>
      </c>
      <c r="AB660" s="85">
        <v>572</v>
      </c>
      <c r="AC660" s="81">
        <v>43126</v>
      </c>
      <c r="AD660" s="86">
        <v>54686940</v>
      </c>
      <c r="AE660" s="87">
        <f t="shared" si="71"/>
        <v>0</v>
      </c>
      <c r="AF660" s="85">
        <v>1336</v>
      </c>
      <c r="AG660" s="81">
        <v>43144</v>
      </c>
      <c r="AH660" s="86">
        <v>54686940</v>
      </c>
      <c r="AI660" s="63" t="s">
        <v>1869</v>
      </c>
      <c r="AJ660" s="63">
        <v>1099</v>
      </c>
      <c r="AK660" s="87">
        <f t="shared" si="68"/>
        <v>0</v>
      </c>
      <c r="AL660" s="86">
        <v>54686940</v>
      </c>
      <c r="AM660" s="86">
        <f t="shared" si="69"/>
        <v>0</v>
      </c>
      <c r="AN660" s="63" t="s">
        <v>1155</v>
      </c>
      <c r="AO660" s="86">
        <f t="shared" si="70"/>
        <v>0</v>
      </c>
      <c r="AP660" s="63"/>
      <c r="AQ660" s="63"/>
      <c r="AR660" s="63"/>
      <c r="AS660" s="63"/>
      <c r="AT660" s="63"/>
      <c r="AU660" s="220"/>
      <c r="AV660" s="220"/>
      <c r="AW660" s="220"/>
    </row>
    <row r="661" spans="1:49" s="221" customFormat="1" ht="342" x14ac:dyDescent="0.25">
      <c r="A661" s="63">
        <v>247</v>
      </c>
      <c r="B661" s="63" t="str">
        <f t="shared" si="67"/>
        <v>3075-247</v>
      </c>
      <c r="C661" s="76" t="s">
        <v>1141</v>
      </c>
      <c r="D661" s="76" t="s">
        <v>1142</v>
      </c>
      <c r="E661" s="76" t="s">
        <v>1424</v>
      </c>
      <c r="F661" s="76" t="s">
        <v>1175</v>
      </c>
      <c r="G661" s="77" t="s">
        <v>1176</v>
      </c>
      <c r="H661" s="78" t="s">
        <v>1425</v>
      </c>
      <c r="I661" s="76" t="s">
        <v>1147</v>
      </c>
      <c r="J661" s="76" t="s">
        <v>1148</v>
      </c>
      <c r="K661" s="76" t="s">
        <v>439</v>
      </c>
      <c r="L661" s="63" t="s">
        <v>1149</v>
      </c>
      <c r="M661" s="63" t="s">
        <v>58</v>
      </c>
      <c r="N661" s="63" t="s">
        <v>59</v>
      </c>
      <c r="O661" s="76" t="s">
        <v>1213</v>
      </c>
      <c r="P661" s="63" t="s">
        <v>1870</v>
      </c>
      <c r="Q661" s="83">
        <v>54686940</v>
      </c>
      <c r="R661" s="98">
        <v>1</v>
      </c>
      <c r="S661" s="80">
        <v>54686940</v>
      </c>
      <c r="T661" s="63" t="s">
        <v>1171</v>
      </c>
      <c r="U661" s="63" t="s">
        <v>1171</v>
      </c>
      <c r="V661" s="81" t="s">
        <v>493</v>
      </c>
      <c r="W661" s="82" t="s">
        <v>439</v>
      </c>
      <c r="X661" s="99" t="s">
        <v>1871</v>
      </c>
      <c r="Y661" s="81">
        <v>43126</v>
      </c>
      <c r="Z661" s="83">
        <v>54686940</v>
      </c>
      <c r="AA661" s="84" t="s">
        <v>1742</v>
      </c>
      <c r="AB661" s="85">
        <v>574</v>
      </c>
      <c r="AC661" s="81">
        <v>43126</v>
      </c>
      <c r="AD661" s="86">
        <v>54686940</v>
      </c>
      <c r="AE661" s="87">
        <f t="shared" si="71"/>
        <v>0</v>
      </c>
      <c r="AF661" s="85">
        <v>1024</v>
      </c>
      <c r="AG661" s="81">
        <v>43140</v>
      </c>
      <c r="AH661" s="86">
        <v>54686940</v>
      </c>
      <c r="AI661" s="63" t="s">
        <v>1872</v>
      </c>
      <c r="AJ661" s="63">
        <v>760</v>
      </c>
      <c r="AK661" s="87">
        <f t="shared" si="68"/>
        <v>0</v>
      </c>
      <c r="AL661" s="86">
        <v>54686940</v>
      </c>
      <c r="AM661" s="86">
        <f t="shared" si="69"/>
        <v>0</v>
      </c>
      <c r="AN661" s="63" t="s">
        <v>1155</v>
      </c>
      <c r="AO661" s="86">
        <f t="shared" si="70"/>
        <v>0</v>
      </c>
      <c r="AP661" s="63"/>
      <c r="AQ661" s="63"/>
      <c r="AR661" s="63"/>
      <c r="AS661" s="63"/>
      <c r="AT661" s="63"/>
      <c r="AU661" s="220"/>
      <c r="AV661" s="220"/>
      <c r="AW661" s="220"/>
    </row>
    <row r="662" spans="1:49" s="221" customFormat="1" ht="342" x14ac:dyDescent="0.25">
      <c r="A662" s="63">
        <v>248</v>
      </c>
      <c r="B662" s="63" t="str">
        <f t="shared" si="67"/>
        <v>3075-248</v>
      </c>
      <c r="C662" s="76" t="s">
        <v>1141</v>
      </c>
      <c r="D662" s="76" t="s">
        <v>1142</v>
      </c>
      <c r="E662" s="76" t="s">
        <v>1424</v>
      </c>
      <c r="F662" s="76" t="s">
        <v>1175</v>
      </c>
      <c r="G662" s="77" t="s">
        <v>1176</v>
      </c>
      <c r="H662" s="78" t="s">
        <v>1425</v>
      </c>
      <c r="I662" s="76" t="s">
        <v>1147</v>
      </c>
      <c r="J662" s="76" t="s">
        <v>1148</v>
      </c>
      <c r="K662" s="76" t="s">
        <v>439</v>
      </c>
      <c r="L662" s="63" t="s">
        <v>1149</v>
      </c>
      <c r="M662" s="63" t="s">
        <v>58</v>
      </c>
      <c r="N662" s="63" t="s">
        <v>59</v>
      </c>
      <c r="O662" s="76" t="s">
        <v>1213</v>
      </c>
      <c r="P662" s="63" t="s">
        <v>1873</v>
      </c>
      <c r="Q662" s="83">
        <v>54686940</v>
      </c>
      <c r="R662" s="98">
        <v>1</v>
      </c>
      <c r="S662" s="80">
        <v>54686940</v>
      </c>
      <c r="T662" s="63" t="s">
        <v>1171</v>
      </c>
      <c r="U662" s="63" t="s">
        <v>1171</v>
      </c>
      <c r="V662" s="81" t="s">
        <v>493</v>
      </c>
      <c r="W662" s="82" t="s">
        <v>439</v>
      </c>
      <c r="X662" s="99" t="s">
        <v>1874</v>
      </c>
      <c r="Y662" s="81">
        <v>43126</v>
      </c>
      <c r="Z662" s="83">
        <v>54686940</v>
      </c>
      <c r="AA662" s="84" t="s">
        <v>1742</v>
      </c>
      <c r="AB662" s="85">
        <v>575</v>
      </c>
      <c r="AC662" s="81">
        <v>43126</v>
      </c>
      <c r="AD662" s="86">
        <v>54686940</v>
      </c>
      <c r="AE662" s="87">
        <f t="shared" si="71"/>
        <v>0</v>
      </c>
      <c r="AF662" s="85">
        <v>996</v>
      </c>
      <c r="AG662" s="81">
        <v>43140</v>
      </c>
      <c r="AH662" s="86">
        <v>54686940</v>
      </c>
      <c r="AI662" s="63" t="s">
        <v>1875</v>
      </c>
      <c r="AJ662" s="63">
        <v>599</v>
      </c>
      <c r="AK662" s="87">
        <f t="shared" si="68"/>
        <v>0</v>
      </c>
      <c r="AL662" s="86">
        <v>54686940</v>
      </c>
      <c r="AM662" s="86">
        <f t="shared" si="69"/>
        <v>0</v>
      </c>
      <c r="AN662" s="63" t="s">
        <v>1155</v>
      </c>
      <c r="AO662" s="86">
        <f t="shared" si="70"/>
        <v>0</v>
      </c>
      <c r="AP662" s="63"/>
      <c r="AQ662" s="63"/>
      <c r="AR662" s="63"/>
      <c r="AS662" s="63"/>
      <c r="AT662" s="63"/>
      <c r="AU662" s="220"/>
      <c r="AV662" s="220"/>
      <c r="AW662" s="220"/>
    </row>
    <row r="663" spans="1:49" s="221" customFormat="1" ht="342" x14ac:dyDescent="0.25">
      <c r="A663" s="63">
        <v>249</v>
      </c>
      <c r="B663" s="63" t="str">
        <f t="shared" si="67"/>
        <v>3075-249</v>
      </c>
      <c r="C663" s="76" t="s">
        <v>1141</v>
      </c>
      <c r="D663" s="76" t="s">
        <v>1142</v>
      </c>
      <c r="E663" s="76" t="s">
        <v>1424</v>
      </c>
      <c r="F663" s="76" t="s">
        <v>1175</v>
      </c>
      <c r="G663" s="77" t="s">
        <v>1176</v>
      </c>
      <c r="H663" s="78" t="s">
        <v>1425</v>
      </c>
      <c r="I663" s="76" t="s">
        <v>1147</v>
      </c>
      <c r="J663" s="76" t="s">
        <v>1148</v>
      </c>
      <c r="K663" s="76" t="s">
        <v>439</v>
      </c>
      <c r="L663" s="63" t="s">
        <v>1149</v>
      </c>
      <c r="M663" s="63" t="s">
        <v>58</v>
      </c>
      <c r="N663" s="63" t="s">
        <v>59</v>
      </c>
      <c r="O663" s="76" t="s">
        <v>1213</v>
      </c>
      <c r="P663" s="63" t="s">
        <v>1876</v>
      </c>
      <c r="Q663" s="83">
        <v>54686940</v>
      </c>
      <c r="R663" s="98">
        <v>1</v>
      </c>
      <c r="S663" s="80">
        <v>54686940</v>
      </c>
      <c r="T663" s="63" t="s">
        <v>1171</v>
      </c>
      <c r="U663" s="63" t="s">
        <v>1171</v>
      </c>
      <c r="V663" s="81" t="s">
        <v>493</v>
      </c>
      <c r="W663" s="82" t="s">
        <v>439</v>
      </c>
      <c r="X663" s="99" t="s">
        <v>1877</v>
      </c>
      <c r="Y663" s="81">
        <v>43126</v>
      </c>
      <c r="Z663" s="83">
        <v>54686940</v>
      </c>
      <c r="AA663" s="84" t="s">
        <v>1742</v>
      </c>
      <c r="AB663" s="85">
        <v>577</v>
      </c>
      <c r="AC663" s="81">
        <v>43126</v>
      </c>
      <c r="AD663" s="86">
        <v>54686940</v>
      </c>
      <c r="AE663" s="87">
        <f t="shared" si="71"/>
        <v>0</v>
      </c>
      <c r="AF663" s="85">
        <v>533</v>
      </c>
      <c r="AG663" s="81">
        <v>43133</v>
      </c>
      <c r="AH663" s="86">
        <v>54686940</v>
      </c>
      <c r="AI663" s="63" t="s">
        <v>1878</v>
      </c>
      <c r="AJ663" s="63">
        <v>515</v>
      </c>
      <c r="AK663" s="87">
        <f t="shared" si="68"/>
        <v>0</v>
      </c>
      <c r="AL663" s="86">
        <v>54686940</v>
      </c>
      <c r="AM663" s="86">
        <f t="shared" si="69"/>
        <v>0</v>
      </c>
      <c r="AN663" s="63" t="s">
        <v>1155</v>
      </c>
      <c r="AO663" s="86">
        <f t="shared" si="70"/>
        <v>0</v>
      </c>
      <c r="AP663" s="63"/>
      <c r="AQ663" s="63"/>
      <c r="AR663" s="63"/>
      <c r="AS663" s="63"/>
      <c r="AT663" s="63"/>
      <c r="AU663" s="220"/>
      <c r="AV663" s="220"/>
      <c r="AW663" s="220"/>
    </row>
    <row r="664" spans="1:49" s="221" customFormat="1" ht="342" x14ac:dyDescent="0.25">
      <c r="A664" s="63">
        <v>250</v>
      </c>
      <c r="B664" s="63" t="str">
        <f t="shared" si="67"/>
        <v>3075-250</v>
      </c>
      <c r="C664" s="76" t="s">
        <v>1141</v>
      </c>
      <c r="D664" s="76" t="s">
        <v>1142</v>
      </c>
      <c r="E664" s="76" t="s">
        <v>1424</v>
      </c>
      <c r="F664" s="76" t="s">
        <v>1175</v>
      </c>
      <c r="G664" s="77" t="s">
        <v>1176</v>
      </c>
      <c r="H664" s="78" t="s">
        <v>1425</v>
      </c>
      <c r="I664" s="76" t="s">
        <v>1147</v>
      </c>
      <c r="J664" s="76" t="s">
        <v>1148</v>
      </c>
      <c r="K664" s="76" t="s">
        <v>439</v>
      </c>
      <c r="L664" s="63" t="s">
        <v>1149</v>
      </c>
      <c r="M664" s="63" t="s">
        <v>58</v>
      </c>
      <c r="N664" s="63" t="s">
        <v>59</v>
      </c>
      <c r="O664" s="76" t="s">
        <v>1213</v>
      </c>
      <c r="P664" s="63" t="s">
        <v>1879</v>
      </c>
      <c r="Q664" s="83">
        <v>54686940</v>
      </c>
      <c r="R664" s="98">
        <v>1</v>
      </c>
      <c r="S664" s="80">
        <v>54686940</v>
      </c>
      <c r="T664" s="63" t="s">
        <v>1171</v>
      </c>
      <c r="U664" s="63" t="s">
        <v>1171</v>
      </c>
      <c r="V664" s="81" t="s">
        <v>493</v>
      </c>
      <c r="W664" s="82" t="s">
        <v>439</v>
      </c>
      <c r="X664" s="99" t="s">
        <v>1880</v>
      </c>
      <c r="Y664" s="81">
        <v>43126</v>
      </c>
      <c r="Z664" s="83">
        <v>54686940</v>
      </c>
      <c r="AA664" s="84" t="s">
        <v>1742</v>
      </c>
      <c r="AB664" s="85">
        <v>578</v>
      </c>
      <c r="AC664" s="81">
        <v>43126</v>
      </c>
      <c r="AD664" s="86">
        <v>54686940</v>
      </c>
      <c r="AE664" s="87">
        <f t="shared" si="71"/>
        <v>0</v>
      </c>
      <c r="AF664" s="85">
        <v>1367</v>
      </c>
      <c r="AG664" s="81">
        <v>43147</v>
      </c>
      <c r="AH664" s="86">
        <v>54686940</v>
      </c>
      <c r="AI664" s="63" t="s">
        <v>1881</v>
      </c>
      <c r="AJ664" s="63">
        <v>1269</v>
      </c>
      <c r="AK664" s="87">
        <f t="shared" si="68"/>
        <v>0</v>
      </c>
      <c r="AL664" s="86">
        <v>54686940</v>
      </c>
      <c r="AM664" s="86">
        <f t="shared" si="69"/>
        <v>0</v>
      </c>
      <c r="AN664" s="63" t="s">
        <v>1155</v>
      </c>
      <c r="AO664" s="86">
        <f t="shared" si="70"/>
        <v>0</v>
      </c>
      <c r="AP664" s="63"/>
      <c r="AQ664" s="63"/>
      <c r="AR664" s="63"/>
      <c r="AS664" s="63"/>
      <c r="AT664" s="63"/>
      <c r="AU664" s="220"/>
      <c r="AV664" s="220"/>
      <c r="AW664" s="220"/>
    </row>
    <row r="665" spans="1:49" s="221" customFormat="1" ht="342" x14ac:dyDescent="0.25">
      <c r="A665" s="63">
        <v>251</v>
      </c>
      <c r="B665" s="63" t="str">
        <f t="shared" si="67"/>
        <v>3075-251</v>
      </c>
      <c r="C665" s="76" t="s">
        <v>1141</v>
      </c>
      <c r="D665" s="76" t="s">
        <v>1142</v>
      </c>
      <c r="E665" s="76" t="s">
        <v>1424</v>
      </c>
      <c r="F665" s="76" t="s">
        <v>1175</v>
      </c>
      <c r="G665" s="77" t="s">
        <v>1176</v>
      </c>
      <c r="H665" s="78" t="s">
        <v>1425</v>
      </c>
      <c r="I665" s="76" t="s">
        <v>1147</v>
      </c>
      <c r="J665" s="76" t="s">
        <v>1148</v>
      </c>
      <c r="K665" s="76" t="s">
        <v>439</v>
      </c>
      <c r="L665" s="63" t="s">
        <v>1149</v>
      </c>
      <c r="M665" s="63" t="s">
        <v>58</v>
      </c>
      <c r="N665" s="63" t="s">
        <v>59</v>
      </c>
      <c r="O665" s="76" t="s">
        <v>1213</v>
      </c>
      <c r="P665" s="63" t="s">
        <v>1882</v>
      </c>
      <c r="Q665" s="83">
        <v>54686940</v>
      </c>
      <c r="R665" s="98">
        <v>1</v>
      </c>
      <c r="S665" s="80">
        <v>54686940</v>
      </c>
      <c r="T665" s="63" t="s">
        <v>1171</v>
      </c>
      <c r="U665" s="63" t="s">
        <v>1171</v>
      </c>
      <c r="V665" s="81" t="s">
        <v>493</v>
      </c>
      <c r="W665" s="82" t="s">
        <v>439</v>
      </c>
      <c r="X665" s="99" t="s">
        <v>1883</v>
      </c>
      <c r="Y665" s="81">
        <v>43126</v>
      </c>
      <c r="Z665" s="83">
        <v>54686940</v>
      </c>
      <c r="AA665" s="84" t="s">
        <v>1742</v>
      </c>
      <c r="AB665" s="85">
        <v>573</v>
      </c>
      <c r="AC665" s="81">
        <v>43126</v>
      </c>
      <c r="AD665" s="86">
        <v>54686940</v>
      </c>
      <c r="AE665" s="87">
        <f t="shared" si="71"/>
        <v>0</v>
      </c>
      <c r="AF665" s="85">
        <v>1455</v>
      </c>
      <c r="AG665" s="81">
        <v>43153</v>
      </c>
      <c r="AH665" s="86">
        <v>54686940</v>
      </c>
      <c r="AI665" s="63" t="s">
        <v>1884</v>
      </c>
      <c r="AJ665" s="63">
        <v>1357</v>
      </c>
      <c r="AK665" s="87">
        <f t="shared" si="68"/>
        <v>0</v>
      </c>
      <c r="AL665" s="86">
        <v>54686940</v>
      </c>
      <c r="AM665" s="86">
        <f t="shared" si="69"/>
        <v>0</v>
      </c>
      <c r="AN665" s="63" t="s">
        <v>1155</v>
      </c>
      <c r="AO665" s="86">
        <f t="shared" si="70"/>
        <v>0</v>
      </c>
      <c r="AP665" s="63"/>
      <c r="AQ665" s="63"/>
      <c r="AR665" s="63"/>
      <c r="AS665" s="63"/>
      <c r="AT665" s="63"/>
      <c r="AU665" s="220"/>
      <c r="AV665" s="220"/>
      <c r="AW665" s="220"/>
    </row>
    <row r="666" spans="1:49" s="221" customFormat="1" ht="342" x14ac:dyDescent="0.25">
      <c r="A666" s="63">
        <v>252</v>
      </c>
      <c r="B666" s="63" t="str">
        <f t="shared" si="67"/>
        <v>3075-252</v>
      </c>
      <c r="C666" s="76" t="s">
        <v>1141</v>
      </c>
      <c r="D666" s="76" t="s">
        <v>1142</v>
      </c>
      <c r="E666" s="76" t="s">
        <v>1424</v>
      </c>
      <c r="F666" s="76" t="s">
        <v>1175</v>
      </c>
      <c r="G666" s="77" t="s">
        <v>1176</v>
      </c>
      <c r="H666" s="78" t="s">
        <v>1425</v>
      </c>
      <c r="I666" s="76" t="s">
        <v>1147</v>
      </c>
      <c r="J666" s="76" t="s">
        <v>1148</v>
      </c>
      <c r="K666" s="76" t="s">
        <v>439</v>
      </c>
      <c r="L666" s="63" t="s">
        <v>1149</v>
      </c>
      <c r="M666" s="63" t="s">
        <v>58</v>
      </c>
      <c r="N666" s="63" t="s">
        <v>59</v>
      </c>
      <c r="O666" s="76" t="s">
        <v>1213</v>
      </c>
      <c r="P666" s="63" t="s">
        <v>1885</v>
      </c>
      <c r="Q666" s="83">
        <v>54686940</v>
      </c>
      <c r="R666" s="98">
        <v>1</v>
      </c>
      <c r="S666" s="80">
        <v>54686940</v>
      </c>
      <c r="T666" s="63" t="s">
        <v>1171</v>
      </c>
      <c r="U666" s="63" t="s">
        <v>1171</v>
      </c>
      <c r="V666" s="81" t="s">
        <v>493</v>
      </c>
      <c r="W666" s="82" t="s">
        <v>439</v>
      </c>
      <c r="X666" s="99" t="s">
        <v>1886</v>
      </c>
      <c r="Y666" s="81">
        <v>43126</v>
      </c>
      <c r="Z666" s="83">
        <v>54686940</v>
      </c>
      <c r="AA666" s="84" t="s">
        <v>1742</v>
      </c>
      <c r="AB666" s="85">
        <v>576</v>
      </c>
      <c r="AC666" s="81">
        <v>43126</v>
      </c>
      <c r="AD666" s="86">
        <v>54686940</v>
      </c>
      <c r="AE666" s="87">
        <f t="shared" si="71"/>
        <v>0</v>
      </c>
      <c r="AF666" s="85">
        <v>1383</v>
      </c>
      <c r="AG666" s="81">
        <v>43150</v>
      </c>
      <c r="AH666" s="86">
        <v>54686940</v>
      </c>
      <c r="AI666" s="63" t="s">
        <v>1825</v>
      </c>
      <c r="AJ666" s="63">
        <v>1280</v>
      </c>
      <c r="AK666" s="87">
        <f t="shared" si="68"/>
        <v>0</v>
      </c>
      <c r="AL666" s="86">
        <v>54686940</v>
      </c>
      <c r="AM666" s="86">
        <f t="shared" si="69"/>
        <v>0</v>
      </c>
      <c r="AN666" s="63" t="s">
        <v>1155</v>
      </c>
      <c r="AO666" s="86">
        <f t="shared" si="70"/>
        <v>0</v>
      </c>
      <c r="AP666" s="63"/>
      <c r="AQ666" s="63"/>
      <c r="AR666" s="63"/>
      <c r="AS666" s="63"/>
      <c r="AT666" s="63"/>
      <c r="AU666" s="220"/>
      <c r="AV666" s="220"/>
      <c r="AW666" s="220"/>
    </row>
    <row r="667" spans="1:49" s="221" customFormat="1" ht="342" x14ac:dyDescent="0.25">
      <c r="A667" s="63">
        <v>253</v>
      </c>
      <c r="B667" s="63" t="str">
        <f t="shared" si="67"/>
        <v>3075-253</v>
      </c>
      <c r="C667" s="76" t="s">
        <v>1141</v>
      </c>
      <c r="D667" s="76" t="s">
        <v>1142</v>
      </c>
      <c r="E667" s="76" t="s">
        <v>1424</v>
      </c>
      <c r="F667" s="76" t="s">
        <v>1175</v>
      </c>
      <c r="G667" s="77" t="s">
        <v>1176</v>
      </c>
      <c r="H667" s="78" t="s">
        <v>1425</v>
      </c>
      <c r="I667" s="76" t="s">
        <v>1147</v>
      </c>
      <c r="J667" s="76" t="s">
        <v>1148</v>
      </c>
      <c r="K667" s="76" t="s">
        <v>439</v>
      </c>
      <c r="L667" s="63" t="s">
        <v>1149</v>
      </c>
      <c r="M667" s="63" t="s">
        <v>58</v>
      </c>
      <c r="N667" s="63" t="s">
        <v>59</v>
      </c>
      <c r="O667" s="76" t="s">
        <v>1213</v>
      </c>
      <c r="P667" s="63" t="s">
        <v>1887</v>
      </c>
      <c r="Q667" s="83">
        <v>54686940</v>
      </c>
      <c r="R667" s="98">
        <v>1</v>
      </c>
      <c r="S667" s="80">
        <v>54686940</v>
      </c>
      <c r="T667" s="63" t="s">
        <v>1171</v>
      </c>
      <c r="U667" s="63" t="s">
        <v>1171</v>
      </c>
      <c r="V667" s="81" t="s">
        <v>493</v>
      </c>
      <c r="W667" s="82" t="s">
        <v>439</v>
      </c>
      <c r="X667" s="99" t="s">
        <v>1888</v>
      </c>
      <c r="Y667" s="81">
        <v>43126</v>
      </c>
      <c r="Z667" s="83">
        <v>54686940</v>
      </c>
      <c r="AA667" s="84" t="s">
        <v>1742</v>
      </c>
      <c r="AB667" s="85">
        <v>579</v>
      </c>
      <c r="AC667" s="81">
        <v>43126</v>
      </c>
      <c r="AD667" s="86">
        <v>54686940</v>
      </c>
      <c r="AE667" s="87">
        <f t="shared" si="71"/>
        <v>0</v>
      </c>
      <c r="AF667" s="85">
        <v>1025</v>
      </c>
      <c r="AG667" s="81">
        <v>43140</v>
      </c>
      <c r="AH667" s="86">
        <v>54686940</v>
      </c>
      <c r="AI667" s="63" t="s">
        <v>1889</v>
      </c>
      <c r="AJ667" s="63">
        <v>761</v>
      </c>
      <c r="AK667" s="87">
        <f t="shared" si="68"/>
        <v>0</v>
      </c>
      <c r="AL667" s="86">
        <v>54686940</v>
      </c>
      <c r="AM667" s="86">
        <f t="shared" si="69"/>
        <v>0</v>
      </c>
      <c r="AN667" s="63" t="s">
        <v>1155</v>
      </c>
      <c r="AO667" s="86">
        <f t="shared" si="70"/>
        <v>0</v>
      </c>
      <c r="AP667" s="63"/>
      <c r="AQ667" s="63"/>
      <c r="AR667" s="63"/>
      <c r="AS667" s="63"/>
      <c r="AT667" s="63"/>
      <c r="AU667" s="220"/>
      <c r="AV667" s="220"/>
      <c r="AW667" s="220"/>
    </row>
    <row r="668" spans="1:49" s="221" customFormat="1" ht="342" x14ac:dyDescent="0.25">
      <c r="A668" s="63">
        <v>254</v>
      </c>
      <c r="B668" s="63" t="str">
        <f t="shared" si="67"/>
        <v>3075-254</v>
      </c>
      <c r="C668" s="76" t="s">
        <v>1141</v>
      </c>
      <c r="D668" s="76" t="s">
        <v>1142</v>
      </c>
      <c r="E668" s="76" t="s">
        <v>1424</v>
      </c>
      <c r="F668" s="76" t="s">
        <v>1175</v>
      </c>
      <c r="G668" s="77" t="s">
        <v>1176</v>
      </c>
      <c r="H668" s="78" t="s">
        <v>1425</v>
      </c>
      <c r="I668" s="76" t="s">
        <v>1147</v>
      </c>
      <c r="J668" s="76" t="s">
        <v>1148</v>
      </c>
      <c r="K668" s="76" t="s">
        <v>439</v>
      </c>
      <c r="L668" s="63" t="s">
        <v>1149</v>
      </c>
      <c r="M668" s="63" t="s">
        <v>58</v>
      </c>
      <c r="N668" s="63" t="s">
        <v>59</v>
      </c>
      <c r="O668" s="76" t="s">
        <v>1213</v>
      </c>
      <c r="P668" s="63" t="s">
        <v>1890</v>
      </c>
      <c r="Q668" s="83">
        <v>54686940</v>
      </c>
      <c r="R668" s="98">
        <v>1</v>
      </c>
      <c r="S668" s="80">
        <v>54686940</v>
      </c>
      <c r="T668" s="63" t="s">
        <v>1171</v>
      </c>
      <c r="U668" s="63" t="s">
        <v>1171</v>
      </c>
      <c r="V668" s="81" t="s">
        <v>493</v>
      </c>
      <c r="W668" s="82" t="s">
        <v>439</v>
      </c>
      <c r="X668" s="99" t="s">
        <v>1891</v>
      </c>
      <c r="Y668" s="81">
        <v>43126</v>
      </c>
      <c r="Z668" s="83">
        <v>54686940</v>
      </c>
      <c r="AA668" s="84" t="s">
        <v>1742</v>
      </c>
      <c r="AB668" s="85">
        <v>581</v>
      </c>
      <c r="AC668" s="81">
        <v>43126</v>
      </c>
      <c r="AD668" s="86">
        <v>54686940</v>
      </c>
      <c r="AE668" s="87">
        <f t="shared" si="71"/>
        <v>0</v>
      </c>
      <c r="AF668" s="85">
        <v>1016</v>
      </c>
      <c r="AG668" s="81">
        <v>43140</v>
      </c>
      <c r="AH668" s="86">
        <v>54686940</v>
      </c>
      <c r="AI668" s="63" t="s">
        <v>1892</v>
      </c>
      <c r="AJ668" s="63">
        <v>767</v>
      </c>
      <c r="AK668" s="87">
        <f t="shared" si="68"/>
        <v>0</v>
      </c>
      <c r="AL668" s="86">
        <v>54686940</v>
      </c>
      <c r="AM668" s="86">
        <f t="shared" si="69"/>
        <v>0</v>
      </c>
      <c r="AN668" s="63" t="s">
        <v>1155</v>
      </c>
      <c r="AO668" s="86">
        <f t="shared" si="70"/>
        <v>0</v>
      </c>
      <c r="AP668" s="63"/>
      <c r="AQ668" s="63"/>
      <c r="AR668" s="63"/>
      <c r="AS668" s="63"/>
      <c r="AT668" s="63"/>
      <c r="AU668" s="220"/>
      <c r="AV668" s="220"/>
      <c r="AW668" s="220"/>
    </row>
    <row r="669" spans="1:49" s="221" customFormat="1" ht="342" x14ac:dyDescent="0.25">
      <c r="A669" s="63">
        <v>255</v>
      </c>
      <c r="B669" s="63" t="str">
        <f t="shared" si="67"/>
        <v>3075-255</v>
      </c>
      <c r="C669" s="76" t="s">
        <v>1141</v>
      </c>
      <c r="D669" s="76" t="s">
        <v>1142</v>
      </c>
      <c r="E669" s="76" t="s">
        <v>1424</v>
      </c>
      <c r="F669" s="76" t="s">
        <v>1175</v>
      </c>
      <c r="G669" s="77" t="s">
        <v>1176</v>
      </c>
      <c r="H669" s="78" t="s">
        <v>1425</v>
      </c>
      <c r="I669" s="76" t="s">
        <v>1147</v>
      </c>
      <c r="J669" s="76" t="s">
        <v>1148</v>
      </c>
      <c r="K669" s="76" t="s">
        <v>439</v>
      </c>
      <c r="L669" s="63" t="s">
        <v>1149</v>
      </c>
      <c r="M669" s="63" t="s">
        <v>58</v>
      </c>
      <c r="N669" s="63" t="s">
        <v>59</v>
      </c>
      <c r="O669" s="76" t="s">
        <v>1213</v>
      </c>
      <c r="P669" s="63" t="s">
        <v>1893</v>
      </c>
      <c r="Q669" s="83">
        <v>54686940</v>
      </c>
      <c r="R669" s="98">
        <v>1</v>
      </c>
      <c r="S669" s="80">
        <v>54686940</v>
      </c>
      <c r="T669" s="63" t="s">
        <v>1171</v>
      </c>
      <c r="U669" s="63" t="s">
        <v>1171</v>
      </c>
      <c r="V669" s="81" t="s">
        <v>493</v>
      </c>
      <c r="W669" s="82" t="s">
        <v>439</v>
      </c>
      <c r="X669" s="99" t="s">
        <v>1894</v>
      </c>
      <c r="Y669" s="81">
        <v>43126</v>
      </c>
      <c r="Z669" s="83">
        <v>54686940</v>
      </c>
      <c r="AA669" s="84" t="s">
        <v>1742</v>
      </c>
      <c r="AB669" s="85">
        <v>584</v>
      </c>
      <c r="AC669" s="81">
        <v>43126</v>
      </c>
      <c r="AD669" s="86">
        <v>54686940</v>
      </c>
      <c r="AE669" s="87">
        <f t="shared" si="71"/>
        <v>0</v>
      </c>
      <c r="AF669" s="85">
        <v>834</v>
      </c>
      <c r="AG669" s="81">
        <v>43138</v>
      </c>
      <c r="AH669" s="86">
        <v>54686940</v>
      </c>
      <c r="AI669" s="63" t="s">
        <v>1895</v>
      </c>
      <c r="AJ669" s="63">
        <v>601</v>
      </c>
      <c r="AK669" s="87">
        <f t="shared" si="68"/>
        <v>0</v>
      </c>
      <c r="AL669" s="86">
        <v>54686940</v>
      </c>
      <c r="AM669" s="86">
        <f t="shared" si="69"/>
        <v>0</v>
      </c>
      <c r="AN669" s="63" t="s">
        <v>1155</v>
      </c>
      <c r="AO669" s="86">
        <f t="shared" si="70"/>
        <v>0</v>
      </c>
      <c r="AP669" s="63"/>
      <c r="AQ669" s="63"/>
      <c r="AR669" s="63"/>
      <c r="AS669" s="63"/>
      <c r="AT669" s="63"/>
      <c r="AU669" s="220"/>
      <c r="AV669" s="220"/>
      <c r="AW669" s="220"/>
    </row>
    <row r="670" spans="1:49" s="221" customFormat="1" ht="342" x14ac:dyDescent="0.25">
      <c r="A670" s="63">
        <v>256</v>
      </c>
      <c r="B670" s="63" t="str">
        <f t="shared" si="67"/>
        <v>3075-256</v>
      </c>
      <c r="C670" s="76" t="s">
        <v>1141</v>
      </c>
      <c r="D670" s="76" t="s">
        <v>1142</v>
      </c>
      <c r="E670" s="76" t="s">
        <v>1424</v>
      </c>
      <c r="F670" s="76" t="s">
        <v>1175</v>
      </c>
      <c r="G670" s="77" t="s">
        <v>1176</v>
      </c>
      <c r="H670" s="78" t="s">
        <v>1425</v>
      </c>
      <c r="I670" s="76" t="s">
        <v>1147</v>
      </c>
      <c r="J670" s="76" t="s">
        <v>1148</v>
      </c>
      <c r="K670" s="76" t="s">
        <v>439</v>
      </c>
      <c r="L670" s="63" t="s">
        <v>1149</v>
      </c>
      <c r="M670" s="63" t="s">
        <v>58</v>
      </c>
      <c r="N670" s="63" t="s">
        <v>59</v>
      </c>
      <c r="O670" s="76" t="s">
        <v>1213</v>
      </c>
      <c r="P670" s="63" t="s">
        <v>1896</v>
      </c>
      <c r="Q670" s="83">
        <v>54686940</v>
      </c>
      <c r="R670" s="98">
        <v>1</v>
      </c>
      <c r="S670" s="80">
        <v>54686940</v>
      </c>
      <c r="T670" s="63" t="s">
        <v>1171</v>
      </c>
      <c r="U670" s="63" t="s">
        <v>1171</v>
      </c>
      <c r="V670" s="81" t="s">
        <v>493</v>
      </c>
      <c r="W670" s="82" t="s">
        <v>439</v>
      </c>
      <c r="X670" s="99" t="s">
        <v>1897</v>
      </c>
      <c r="Y670" s="81">
        <v>43126</v>
      </c>
      <c r="Z670" s="83">
        <v>54686940</v>
      </c>
      <c r="AA670" s="84" t="s">
        <v>1742</v>
      </c>
      <c r="AB670" s="85">
        <v>586</v>
      </c>
      <c r="AC670" s="81">
        <v>43126</v>
      </c>
      <c r="AD670" s="86">
        <v>54686940</v>
      </c>
      <c r="AE670" s="87">
        <f t="shared" si="71"/>
        <v>0</v>
      </c>
      <c r="AF670" s="85">
        <v>1026</v>
      </c>
      <c r="AG670" s="81">
        <v>43140</v>
      </c>
      <c r="AH670" s="86">
        <v>54686940</v>
      </c>
      <c r="AI670" s="63" t="s">
        <v>1898</v>
      </c>
      <c r="AJ670" s="63">
        <v>759</v>
      </c>
      <c r="AK670" s="87">
        <f t="shared" si="68"/>
        <v>0</v>
      </c>
      <c r="AL670" s="86">
        <v>54686940</v>
      </c>
      <c r="AM670" s="86">
        <f t="shared" si="69"/>
        <v>0</v>
      </c>
      <c r="AN670" s="63" t="s">
        <v>1155</v>
      </c>
      <c r="AO670" s="86">
        <f t="shared" si="70"/>
        <v>0</v>
      </c>
      <c r="AP670" s="63"/>
      <c r="AQ670" s="63"/>
      <c r="AR670" s="63"/>
      <c r="AS670" s="63"/>
      <c r="AT670" s="63"/>
      <c r="AU670" s="220"/>
      <c r="AV670" s="220"/>
      <c r="AW670" s="220"/>
    </row>
    <row r="671" spans="1:49" s="221" customFormat="1" ht="342" x14ac:dyDescent="0.25">
      <c r="A671" s="63">
        <v>257</v>
      </c>
      <c r="B671" s="63" t="str">
        <f t="shared" ref="B671:B734" si="72">CONCATENATE("3075","-",A671)</f>
        <v>3075-257</v>
      </c>
      <c r="C671" s="76" t="s">
        <v>1141</v>
      </c>
      <c r="D671" s="76" t="s">
        <v>1142</v>
      </c>
      <c r="E671" s="76" t="s">
        <v>1424</v>
      </c>
      <c r="F671" s="76" t="s">
        <v>1175</v>
      </c>
      <c r="G671" s="77" t="s">
        <v>1176</v>
      </c>
      <c r="H671" s="78" t="s">
        <v>1425</v>
      </c>
      <c r="I671" s="76" t="s">
        <v>1147</v>
      </c>
      <c r="J671" s="76" t="s">
        <v>1148</v>
      </c>
      <c r="K671" s="76" t="s">
        <v>439</v>
      </c>
      <c r="L671" s="63" t="s">
        <v>1149</v>
      </c>
      <c r="M671" s="63" t="s">
        <v>58</v>
      </c>
      <c r="N671" s="63" t="s">
        <v>59</v>
      </c>
      <c r="O671" s="76" t="s">
        <v>1213</v>
      </c>
      <c r="P671" s="63" t="s">
        <v>1899</v>
      </c>
      <c r="Q671" s="83">
        <v>54686940</v>
      </c>
      <c r="R671" s="98">
        <v>1</v>
      </c>
      <c r="S671" s="80">
        <v>54686940</v>
      </c>
      <c r="T671" s="63" t="s">
        <v>1171</v>
      </c>
      <c r="U671" s="63" t="s">
        <v>1171</v>
      </c>
      <c r="V671" s="81" t="s">
        <v>493</v>
      </c>
      <c r="W671" s="82" t="s">
        <v>439</v>
      </c>
      <c r="X671" s="99" t="s">
        <v>1900</v>
      </c>
      <c r="Y671" s="81">
        <v>43126</v>
      </c>
      <c r="Z671" s="83">
        <v>54686940</v>
      </c>
      <c r="AA671" s="84" t="s">
        <v>1742</v>
      </c>
      <c r="AB671" s="85">
        <v>587</v>
      </c>
      <c r="AC671" s="81">
        <v>43126</v>
      </c>
      <c r="AD671" s="86">
        <v>54686940</v>
      </c>
      <c r="AE671" s="87">
        <f t="shared" si="71"/>
        <v>0</v>
      </c>
      <c r="AF671" s="85">
        <v>833</v>
      </c>
      <c r="AG671" s="81">
        <v>43138</v>
      </c>
      <c r="AH671" s="86">
        <v>54686940</v>
      </c>
      <c r="AI671" s="63" t="s">
        <v>1901</v>
      </c>
      <c r="AJ671" s="63">
        <v>600</v>
      </c>
      <c r="AK671" s="87">
        <f t="shared" ref="AK671:AK734" si="73">AD671-AH671</f>
        <v>0</v>
      </c>
      <c r="AL671" s="86">
        <v>54686940</v>
      </c>
      <c r="AM671" s="86">
        <f t="shared" ref="AM671:AM734" si="74">AH671-AL671</f>
        <v>0</v>
      </c>
      <c r="AN671" s="63" t="s">
        <v>1155</v>
      </c>
      <c r="AO671" s="86">
        <f t="shared" ref="AO671:AO734" si="75">S671-AH671</f>
        <v>0</v>
      </c>
      <c r="AP671" s="63"/>
      <c r="AQ671" s="63"/>
      <c r="AR671" s="63"/>
      <c r="AS671" s="63"/>
      <c r="AT671" s="63"/>
      <c r="AU671" s="220"/>
      <c r="AV671" s="220"/>
      <c r="AW671" s="220"/>
    </row>
    <row r="672" spans="1:49" s="221" customFormat="1" ht="342" x14ac:dyDescent="0.25">
      <c r="A672" s="63">
        <v>258</v>
      </c>
      <c r="B672" s="63" t="str">
        <f t="shared" si="72"/>
        <v>3075-258</v>
      </c>
      <c r="C672" s="76" t="s">
        <v>1141</v>
      </c>
      <c r="D672" s="76" t="s">
        <v>1142</v>
      </c>
      <c r="E672" s="76" t="s">
        <v>1424</v>
      </c>
      <c r="F672" s="76" t="s">
        <v>1175</v>
      </c>
      <c r="G672" s="77" t="s">
        <v>1176</v>
      </c>
      <c r="H672" s="78" t="s">
        <v>1425</v>
      </c>
      <c r="I672" s="76" t="s">
        <v>1147</v>
      </c>
      <c r="J672" s="76" t="s">
        <v>1148</v>
      </c>
      <c r="K672" s="76" t="s">
        <v>439</v>
      </c>
      <c r="L672" s="63" t="s">
        <v>1149</v>
      </c>
      <c r="M672" s="63" t="s">
        <v>58</v>
      </c>
      <c r="N672" s="63" t="s">
        <v>59</v>
      </c>
      <c r="O672" s="76" t="s">
        <v>1213</v>
      </c>
      <c r="P672" s="63" t="s">
        <v>1902</v>
      </c>
      <c r="Q672" s="83">
        <v>54686940</v>
      </c>
      <c r="R672" s="98">
        <v>1</v>
      </c>
      <c r="S672" s="80">
        <v>54686940</v>
      </c>
      <c r="T672" s="63" t="s">
        <v>1171</v>
      </c>
      <c r="U672" s="63" t="s">
        <v>1171</v>
      </c>
      <c r="V672" s="81" t="s">
        <v>493</v>
      </c>
      <c r="W672" s="82" t="s">
        <v>439</v>
      </c>
      <c r="X672" s="99" t="s">
        <v>1903</v>
      </c>
      <c r="Y672" s="81">
        <v>43126</v>
      </c>
      <c r="Z672" s="83">
        <v>54686940</v>
      </c>
      <c r="AA672" s="84" t="s">
        <v>1742</v>
      </c>
      <c r="AB672" s="85">
        <v>589</v>
      </c>
      <c r="AC672" s="81">
        <v>43126</v>
      </c>
      <c r="AD672" s="86">
        <v>54686940</v>
      </c>
      <c r="AE672" s="87">
        <f t="shared" si="71"/>
        <v>0</v>
      </c>
      <c r="AF672" s="85">
        <v>1371</v>
      </c>
      <c r="AG672" s="81">
        <v>43147</v>
      </c>
      <c r="AH672" s="86">
        <v>54686940</v>
      </c>
      <c r="AI672" s="63" t="s">
        <v>1904</v>
      </c>
      <c r="AJ672" s="63">
        <v>1273</v>
      </c>
      <c r="AK672" s="87">
        <f t="shared" si="73"/>
        <v>0</v>
      </c>
      <c r="AL672" s="86">
        <v>54686940</v>
      </c>
      <c r="AM672" s="86">
        <f t="shared" si="74"/>
        <v>0</v>
      </c>
      <c r="AN672" s="63" t="s">
        <v>1155</v>
      </c>
      <c r="AO672" s="86">
        <f t="shared" si="75"/>
        <v>0</v>
      </c>
      <c r="AP672" s="63"/>
      <c r="AQ672" s="63"/>
      <c r="AR672" s="63"/>
      <c r="AS672" s="63"/>
      <c r="AT672" s="63"/>
      <c r="AU672" s="220"/>
      <c r="AV672" s="220"/>
      <c r="AW672" s="220"/>
    </row>
    <row r="673" spans="1:49" s="221" customFormat="1" ht="342" x14ac:dyDescent="0.25">
      <c r="A673" s="63">
        <v>259</v>
      </c>
      <c r="B673" s="63" t="str">
        <f t="shared" si="72"/>
        <v>3075-259</v>
      </c>
      <c r="C673" s="76" t="s">
        <v>1141</v>
      </c>
      <c r="D673" s="76" t="s">
        <v>1142</v>
      </c>
      <c r="E673" s="76" t="s">
        <v>1424</v>
      </c>
      <c r="F673" s="76" t="s">
        <v>1175</v>
      </c>
      <c r="G673" s="77" t="s">
        <v>1176</v>
      </c>
      <c r="H673" s="78" t="s">
        <v>1425</v>
      </c>
      <c r="I673" s="76" t="s">
        <v>1147</v>
      </c>
      <c r="J673" s="76" t="s">
        <v>1148</v>
      </c>
      <c r="K673" s="76" t="s">
        <v>439</v>
      </c>
      <c r="L673" s="63" t="s">
        <v>1149</v>
      </c>
      <c r="M673" s="63" t="s">
        <v>58</v>
      </c>
      <c r="N673" s="63" t="s">
        <v>59</v>
      </c>
      <c r="O673" s="76" t="s">
        <v>1213</v>
      </c>
      <c r="P673" s="63" t="s">
        <v>1905</v>
      </c>
      <c r="Q673" s="83">
        <v>54686940</v>
      </c>
      <c r="R673" s="98">
        <v>1</v>
      </c>
      <c r="S673" s="80">
        <v>54686940</v>
      </c>
      <c r="T673" s="63" t="s">
        <v>1171</v>
      </c>
      <c r="U673" s="63" t="s">
        <v>1171</v>
      </c>
      <c r="V673" s="81" t="s">
        <v>493</v>
      </c>
      <c r="W673" s="82" t="s">
        <v>439</v>
      </c>
      <c r="X673" s="99" t="s">
        <v>1906</v>
      </c>
      <c r="Y673" s="81">
        <v>43126</v>
      </c>
      <c r="Z673" s="83">
        <v>54686940</v>
      </c>
      <c r="AA673" s="84" t="s">
        <v>1742</v>
      </c>
      <c r="AB673" s="85">
        <v>580</v>
      </c>
      <c r="AC673" s="81">
        <v>43126</v>
      </c>
      <c r="AD673" s="86">
        <v>54686940</v>
      </c>
      <c r="AE673" s="87">
        <f t="shared" si="71"/>
        <v>0</v>
      </c>
      <c r="AF673" s="85">
        <v>1023</v>
      </c>
      <c r="AG673" s="81">
        <v>43140</v>
      </c>
      <c r="AH673" s="86">
        <v>54686940</v>
      </c>
      <c r="AI673" s="63" t="s">
        <v>1907</v>
      </c>
      <c r="AJ673" s="63">
        <v>763</v>
      </c>
      <c r="AK673" s="87">
        <f t="shared" si="73"/>
        <v>0</v>
      </c>
      <c r="AL673" s="86">
        <v>0</v>
      </c>
      <c r="AM673" s="86">
        <f t="shared" si="74"/>
        <v>54686940</v>
      </c>
      <c r="AN673" s="63" t="s">
        <v>1155</v>
      </c>
      <c r="AO673" s="86">
        <f t="shared" si="75"/>
        <v>0</v>
      </c>
      <c r="AP673" s="63"/>
      <c r="AQ673" s="63"/>
      <c r="AR673" s="63"/>
      <c r="AS673" s="63"/>
      <c r="AT673" s="63"/>
      <c r="AU673" s="220"/>
      <c r="AV673" s="220"/>
      <c r="AW673" s="220"/>
    </row>
    <row r="674" spans="1:49" s="221" customFormat="1" ht="342" x14ac:dyDescent="0.25">
      <c r="A674" s="63">
        <v>260</v>
      </c>
      <c r="B674" s="63" t="str">
        <f t="shared" si="72"/>
        <v>3075-260</v>
      </c>
      <c r="C674" s="76" t="s">
        <v>1141</v>
      </c>
      <c r="D674" s="76" t="s">
        <v>1142</v>
      </c>
      <c r="E674" s="76" t="s">
        <v>1424</v>
      </c>
      <c r="F674" s="76" t="s">
        <v>1175</v>
      </c>
      <c r="G674" s="77" t="s">
        <v>1176</v>
      </c>
      <c r="H674" s="78" t="s">
        <v>1425</v>
      </c>
      <c r="I674" s="76" t="s">
        <v>1147</v>
      </c>
      <c r="J674" s="76" t="s">
        <v>1148</v>
      </c>
      <c r="K674" s="76" t="s">
        <v>439</v>
      </c>
      <c r="L674" s="63" t="s">
        <v>1149</v>
      </c>
      <c r="M674" s="63" t="s">
        <v>58</v>
      </c>
      <c r="N674" s="63" t="s">
        <v>59</v>
      </c>
      <c r="O674" s="76" t="s">
        <v>1213</v>
      </c>
      <c r="P674" s="63" t="s">
        <v>1908</v>
      </c>
      <c r="Q674" s="83">
        <v>54686940</v>
      </c>
      <c r="R674" s="98">
        <v>1</v>
      </c>
      <c r="S674" s="80">
        <v>54686940</v>
      </c>
      <c r="T674" s="63" t="s">
        <v>1171</v>
      </c>
      <c r="U674" s="63" t="s">
        <v>1171</v>
      </c>
      <c r="V674" s="81" t="s">
        <v>493</v>
      </c>
      <c r="W674" s="82" t="s">
        <v>439</v>
      </c>
      <c r="X674" s="99" t="s">
        <v>1909</v>
      </c>
      <c r="Y674" s="81">
        <v>43126</v>
      </c>
      <c r="Z674" s="83">
        <v>54686940</v>
      </c>
      <c r="AA674" s="84" t="s">
        <v>1742</v>
      </c>
      <c r="AB674" s="85">
        <v>582</v>
      </c>
      <c r="AC674" s="81">
        <v>43126</v>
      </c>
      <c r="AD674" s="86">
        <v>54686940</v>
      </c>
      <c r="AE674" s="87">
        <f t="shared" si="71"/>
        <v>0</v>
      </c>
      <c r="AF674" s="85">
        <v>1020</v>
      </c>
      <c r="AG674" s="81">
        <v>43140</v>
      </c>
      <c r="AH674" s="86">
        <v>54686940</v>
      </c>
      <c r="AI674" s="63" t="s">
        <v>1910</v>
      </c>
      <c r="AJ674" s="63">
        <v>764</v>
      </c>
      <c r="AK674" s="87">
        <f t="shared" si="73"/>
        <v>0</v>
      </c>
      <c r="AL674" s="86">
        <v>54686940</v>
      </c>
      <c r="AM674" s="86">
        <f t="shared" si="74"/>
        <v>0</v>
      </c>
      <c r="AN674" s="63" t="s">
        <v>1155</v>
      </c>
      <c r="AO674" s="86">
        <f t="shared" si="75"/>
        <v>0</v>
      </c>
      <c r="AP674" s="63"/>
      <c r="AQ674" s="63"/>
      <c r="AR674" s="63"/>
      <c r="AS674" s="63"/>
      <c r="AT674" s="63"/>
      <c r="AU674" s="220"/>
      <c r="AV674" s="220"/>
      <c r="AW674" s="220"/>
    </row>
    <row r="675" spans="1:49" s="221" customFormat="1" ht="342" x14ac:dyDescent="0.25">
      <c r="A675" s="63">
        <v>261</v>
      </c>
      <c r="B675" s="63" t="str">
        <f t="shared" si="72"/>
        <v>3075-261</v>
      </c>
      <c r="C675" s="76" t="s">
        <v>1141</v>
      </c>
      <c r="D675" s="76" t="s">
        <v>1142</v>
      </c>
      <c r="E675" s="76" t="s">
        <v>1424</v>
      </c>
      <c r="F675" s="76" t="s">
        <v>1175</v>
      </c>
      <c r="G675" s="77" t="s">
        <v>1176</v>
      </c>
      <c r="H675" s="78" t="s">
        <v>1425</v>
      </c>
      <c r="I675" s="76" t="s">
        <v>1147</v>
      </c>
      <c r="J675" s="76" t="s">
        <v>1148</v>
      </c>
      <c r="K675" s="76" t="s">
        <v>439</v>
      </c>
      <c r="L675" s="63" t="s">
        <v>1149</v>
      </c>
      <c r="M675" s="63" t="s">
        <v>58</v>
      </c>
      <c r="N675" s="63" t="s">
        <v>59</v>
      </c>
      <c r="O675" s="76" t="s">
        <v>1213</v>
      </c>
      <c r="P675" s="63" t="s">
        <v>1911</v>
      </c>
      <c r="Q675" s="83">
        <v>54686940</v>
      </c>
      <c r="R675" s="98">
        <v>1</v>
      </c>
      <c r="S675" s="80">
        <v>54686940</v>
      </c>
      <c r="T675" s="63" t="s">
        <v>1171</v>
      </c>
      <c r="U675" s="63" t="s">
        <v>1171</v>
      </c>
      <c r="V675" s="81" t="s">
        <v>493</v>
      </c>
      <c r="W675" s="82" t="s">
        <v>439</v>
      </c>
      <c r="X675" s="99" t="s">
        <v>1912</v>
      </c>
      <c r="Y675" s="81">
        <v>43126</v>
      </c>
      <c r="Z675" s="83">
        <v>54686940</v>
      </c>
      <c r="AA675" s="84" t="s">
        <v>1742</v>
      </c>
      <c r="AB675" s="85">
        <v>583</v>
      </c>
      <c r="AC675" s="81">
        <v>43126</v>
      </c>
      <c r="AD675" s="86">
        <v>54686940</v>
      </c>
      <c r="AE675" s="87">
        <f t="shared" si="71"/>
        <v>0</v>
      </c>
      <c r="AF675" s="85">
        <v>733</v>
      </c>
      <c r="AG675" s="81">
        <v>43136</v>
      </c>
      <c r="AH675" s="86">
        <v>54686940</v>
      </c>
      <c r="AI675" s="63" t="s">
        <v>1913</v>
      </c>
      <c r="AJ675" s="63">
        <v>514</v>
      </c>
      <c r="AK675" s="87">
        <f t="shared" si="73"/>
        <v>0</v>
      </c>
      <c r="AL675" s="86">
        <v>0</v>
      </c>
      <c r="AM675" s="86">
        <f t="shared" si="74"/>
        <v>54686940</v>
      </c>
      <c r="AN675" s="63" t="s">
        <v>1155</v>
      </c>
      <c r="AO675" s="86">
        <f t="shared" si="75"/>
        <v>0</v>
      </c>
      <c r="AP675" s="63"/>
      <c r="AQ675" s="63"/>
      <c r="AR675" s="63"/>
      <c r="AS675" s="63"/>
      <c r="AT675" s="63"/>
      <c r="AU675" s="220"/>
      <c r="AV675" s="220"/>
      <c r="AW675" s="220"/>
    </row>
    <row r="676" spans="1:49" s="221" customFormat="1" ht="342" x14ac:dyDescent="0.25">
      <c r="A676" s="63">
        <v>262</v>
      </c>
      <c r="B676" s="63" t="str">
        <f t="shared" si="72"/>
        <v>3075-262</v>
      </c>
      <c r="C676" s="76" t="s">
        <v>1141</v>
      </c>
      <c r="D676" s="76" t="s">
        <v>1142</v>
      </c>
      <c r="E676" s="76" t="s">
        <v>1424</v>
      </c>
      <c r="F676" s="76" t="s">
        <v>1175</v>
      </c>
      <c r="G676" s="77" t="s">
        <v>1176</v>
      </c>
      <c r="H676" s="78" t="s">
        <v>1425</v>
      </c>
      <c r="I676" s="76" t="s">
        <v>1147</v>
      </c>
      <c r="J676" s="76" t="s">
        <v>1148</v>
      </c>
      <c r="K676" s="76" t="s">
        <v>439</v>
      </c>
      <c r="L676" s="63" t="s">
        <v>1149</v>
      </c>
      <c r="M676" s="63" t="s">
        <v>58</v>
      </c>
      <c r="N676" s="63" t="s">
        <v>59</v>
      </c>
      <c r="O676" s="76" t="s">
        <v>1213</v>
      </c>
      <c r="P676" s="63" t="s">
        <v>1914</v>
      </c>
      <c r="Q676" s="83">
        <v>54686940</v>
      </c>
      <c r="R676" s="98">
        <v>1</v>
      </c>
      <c r="S676" s="80">
        <v>54686940</v>
      </c>
      <c r="T676" s="63" t="s">
        <v>1171</v>
      </c>
      <c r="U676" s="63" t="s">
        <v>1171</v>
      </c>
      <c r="V676" s="81" t="s">
        <v>493</v>
      </c>
      <c r="W676" s="82" t="s">
        <v>439</v>
      </c>
      <c r="X676" s="99" t="s">
        <v>1915</v>
      </c>
      <c r="Y676" s="81">
        <v>43126</v>
      </c>
      <c r="Z676" s="83">
        <v>54686940</v>
      </c>
      <c r="AA676" s="84" t="s">
        <v>1742</v>
      </c>
      <c r="AB676" s="85">
        <v>585</v>
      </c>
      <c r="AC676" s="81">
        <v>43126</v>
      </c>
      <c r="AD676" s="86">
        <v>54686940</v>
      </c>
      <c r="AE676" s="87">
        <f t="shared" si="71"/>
        <v>0</v>
      </c>
      <c r="AF676" s="85">
        <v>808</v>
      </c>
      <c r="AG676" s="81">
        <v>43138</v>
      </c>
      <c r="AH676" s="86">
        <v>54686940</v>
      </c>
      <c r="AI676" s="63" t="s">
        <v>1916</v>
      </c>
      <c r="AJ676" s="63">
        <v>598</v>
      </c>
      <c r="AK676" s="87">
        <f t="shared" si="73"/>
        <v>0</v>
      </c>
      <c r="AL676" s="86">
        <v>54686940</v>
      </c>
      <c r="AM676" s="86">
        <f t="shared" si="74"/>
        <v>0</v>
      </c>
      <c r="AN676" s="63" t="s">
        <v>1155</v>
      </c>
      <c r="AO676" s="86">
        <f t="shared" si="75"/>
        <v>0</v>
      </c>
      <c r="AP676" s="63"/>
      <c r="AQ676" s="63"/>
      <c r="AR676" s="63"/>
      <c r="AS676" s="63"/>
      <c r="AT676" s="63"/>
      <c r="AU676" s="220"/>
      <c r="AV676" s="220"/>
      <c r="AW676" s="220"/>
    </row>
    <row r="677" spans="1:49" s="221" customFormat="1" ht="342" x14ac:dyDescent="0.25">
      <c r="A677" s="63">
        <v>263</v>
      </c>
      <c r="B677" s="63" t="str">
        <f t="shared" si="72"/>
        <v>3075-263</v>
      </c>
      <c r="C677" s="76" t="s">
        <v>1141</v>
      </c>
      <c r="D677" s="76" t="s">
        <v>1142</v>
      </c>
      <c r="E677" s="76" t="s">
        <v>1424</v>
      </c>
      <c r="F677" s="76" t="s">
        <v>1175</v>
      </c>
      <c r="G677" s="77" t="s">
        <v>1176</v>
      </c>
      <c r="H677" s="78" t="s">
        <v>1425</v>
      </c>
      <c r="I677" s="76" t="s">
        <v>1147</v>
      </c>
      <c r="J677" s="76" t="s">
        <v>1148</v>
      </c>
      <c r="K677" s="76" t="s">
        <v>439</v>
      </c>
      <c r="L677" s="63" t="s">
        <v>1149</v>
      </c>
      <c r="M677" s="63" t="s">
        <v>58</v>
      </c>
      <c r="N677" s="63" t="s">
        <v>59</v>
      </c>
      <c r="O677" s="76" t="s">
        <v>1213</v>
      </c>
      <c r="P677" s="63" t="s">
        <v>1917</v>
      </c>
      <c r="Q677" s="83">
        <v>54686940</v>
      </c>
      <c r="R677" s="98">
        <v>1</v>
      </c>
      <c r="S677" s="80">
        <v>54686940</v>
      </c>
      <c r="T677" s="63" t="s">
        <v>1171</v>
      </c>
      <c r="U677" s="63" t="s">
        <v>1171</v>
      </c>
      <c r="V677" s="81" t="s">
        <v>493</v>
      </c>
      <c r="W677" s="82" t="s">
        <v>439</v>
      </c>
      <c r="X677" s="99" t="s">
        <v>1918</v>
      </c>
      <c r="Y677" s="81">
        <v>43129</v>
      </c>
      <c r="Z677" s="86">
        <v>54686940</v>
      </c>
      <c r="AA677" s="84" t="s">
        <v>1742</v>
      </c>
      <c r="AB677" s="85">
        <v>592</v>
      </c>
      <c r="AC677" s="81">
        <v>43131</v>
      </c>
      <c r="AD677" s="86">
        <v>54686940</v>
      </c>
      <c r="AE677" s="87">
        <f t="shared" si="71"/>
        <v>0</v>
      </c>
      <c r="AF677" s="85">
        <v>1018</v>
      </c>
      <c r="AG677" s="81">
        <v>43140</v>
      </c>
      <c r="AH677" s="86">
        <v>54686940</v>
      </c>
      <c r="AI677" s="63" t="s">
        <v>1919</v>
      </c>
      <c r="AJ677" s="63">
        <v>765</v>
      </c>
      <c r="AK677" s="87">
        <f t="shared" si="73"/>
        <v>0</v>
      </c>
      <c r="AL677" s="86">
        <v>54686940</v>
      </c>
      <c r="AM677" s="86">
        <f t="shared" si="74"/>
        <v>0</v>
      </c>
      <c r="AN677" s="63" t="s">
        <v>1155</v>
      </c>
      <c r="AO677" s="86">
        <f t="shared" si="75"/>
        <v>0</v>
      </c>
      <c r="AP677" s="63"/>
      <c r="AQ677" s="63"/>
      <c r="AR677" s="63"/>
      <c r="AS677" s="63"/>
      <c r="AT677" s="63"/>
      <c r="AU677" s="220"/>
      <c r="AV677" s="220"/>
      <c r="AW677" s="220"/>
    </row>
    <row r="678" spans="1:49" s="221" customFormat="1" ht="342" x14ac:dyDescent="0.25">
      <c r="A678" s="63">
        <v>264</v>
      </c>
      <c r="B678" s="63" t="str">
        <f t="shared" si="72"/>
        <v>3075-264</v>
      </c>
      <c r="C678" s="76" t="s">
        <v>1141</v>
      </c>
      <c r="D678" s="76" t="s">
        <v>1142</v>
      </c>
      <c r="E678" s="76" t="s">
        <v>1424</v>
      </c>
      <c r="F678" s="76" t="s">
        <v>1175</v>
      </c>
      <c r="G678" s="77" t="s">
        <v>1176</v>
      </c>
      <c r="H678" s="78" t="s">
        <v>1425</v>
      </c>
      <c r="I678" s="76" t="s">
        <v>1147</v>
      </c>
      <c r="J678" s="76" t="s">
        <v>1148</v>
      </c>
      <c r="K678" s="76" t="s">
        <v>439</v>
      </c>
      <c r="L678" s="63" t="s">
        <v>1149</v>
      </c>
      <c r="M678" s="63" t="s">
        <v>58</v>
      </c>
      <c r="N678" s="63" t="s">
        <v>59</v>
      </c>
      <c r="O678" s="76" t="s">
        <v>1213</v>
      </c>
      <c r="P678" s="63" t="s">
        <v>1920</v>
      </c>
      <c r="Q678" s="83">
        <v>54686940</v>
      </c>
      <c r="R678" s="98">
        <v>1</v>
      </c>
      <c r="S678" s="80">
        <v>54686940</v>
      </c>
      <c r="T678" s="63" t="s">
        <v>1171</v>
      </c>
      <c r="U678" s="63" t="s">
        <v>1171</v>
      </c>
      <c r="V678" s="81" t="s">
        <v>493</v>
      </c>
      <c r="W678" s="82" t="s">
        <v>439</v>
      </c>
      <c r="X678" s="99" t="s">
        <v>1921</v>
      </c>
      <c r="Y678" s="81">
        <v>43129</v>
      </c>
      <c r="Z678" s="86">
        <v>54686940</v>
      </c>
      <c r="AA678" s="84" t="s">
        <v>1742</v>
      </c>
      <c r="AB678" s="85">
        <v>593</v>
      </c>
      <c r="AC678" s="81">
        <v>43131</v>
      </c>
      <c r="AD678" s="86">
        <v>54686940</v>
      </c>
      <c r="AE678" s="87">
        <f t="shared" si="71"/>
        <v>0</v>
      </c>
      <c r="AF678" s="85">
        <v>1369</v>
      </c>
      <c r="AG678" s="81">
        <v>43147</v>
      </c>
      <c r="AH678" s="86">
        <v>54686940</v>
      </c>
      <c r="AI678" s="63" t="s">
        <v>1922</v>
      </c>
      <c r="AJ678" s="63">
        <v>1268</v>
      </c>
      <c r="AK678" s="87">
        <f t="shared" si="73"/>
        <v>0</v>
      </c>
      <c r="AL678" s="86">
        <v>54686940</v>
      </c>
      <c r="AM678" s="86">
        <f t="shared" si="74"/>
        <v>0</v>
      </c>
      <c r="AN678" s="63" t="s">
        <v>1155</v>
      </c>
      <c r="AO678" s="86">
        <f t="shared" si="75"/>
        <v>0</v>
      </c>
      <c r="AP678" s="63"/>
      <c r="AQ678" s="63"/>
      <c r="AR678" s="63"/>
      <c r="AS678" s="63"/>
      <c r="AT678" s="63"/>
      <c r="AU678" s="220"/>
      <c r="AV678" s="220"/>
      <c r="AW678" s="220"/>
    </row>
    <row r="679" spans="1:49" s="221" customFormat="1" ht="342" x14ac:dyDescent="0.25">
      <c r="A679" s="63">
        <v>265</v>
      </c>
      <c r="B679" s="63" t="str">
        <f t="shared" si="72"/>
        <v>3075-265</v>
      </c>
      <c r="C679" s="76" t="s">
        <v>1141</v>
      </c>
      <c r="D679" s="76" t="s">
        <v>1142</v>
      </c>
      <c r="E679" s="76" t="s">
        <v>1424</v>
      </c>
      <c r="F679" s="76" t="s">
        <v>1175</v>
      </c>
      <c r="G679" s="77" t="s">
        <v>1176</v>
      </c>
      <c r="H679" s="78" t="s">
        <v>1425</v>
      </c>
      <c r="I679" s="76" t="s">
        <v>1147</v>
      </c>
      <c r="J679" s="76" t="s">
        <v>1148</v>
      </c>
      <c r="K679" s="76" t="s">
        <v>439</v>
      </c>
      <c r="L679" s="63" t="s">
        <v>1149</v>
      </c>
      <c r="M679" s="63" t="s">
        <v>58</v>
      </c>
      <c r="N679" s="63" t="s">
        <v>59</v>
      </c>
      <c r="O679" s="76" t="s">
        <v>1213</v>
      </c>
      <c r="P679" s="63" t="s">
        <v>1923</v>
      </c>
      <c r="Q679" s="83">
        <v>54686940</v>
      </c>
      <c r="R679" s="98">
        <v>1</v>
      </c>
      <c r="S679" s="80">
        <v>54686940</v>
      </c>
      <c r="T679" s="63" t="s">
        <v>1171</v>
      </c>
      <c r="U679" s="63" t="s">
        <v>1171</v>
      </c>
      <c r="V679" s="81" t="s">
        <v>493</v>
      </c>
      <c r="W679" s="82" t="s">
        <v>439</v>
      </c>
      <c r="X679" s="99" t="s">
        <v>1924</v>
      </c>
      <c r="Y679" s="81">
        <v>43129</v>
      </c>
      <c r="Z679" s="86">
        <v>54686940</v>
      </c>
      <c r="AA679" s="84" t="s">
        <v>1742</v>
      </c>
      <c r="AB679" s="85">
        <v>591</v>
      </c>
      <c r="AC679" s="81">
        <v>43131</v>
      </c>
      <c r="AD679" s="86">
        <v>54686940</v>
      </c>
      <c r="AE679" s="87">
        <f t="shared" si="71"/>
        <v>0</v>
      </c>
      <c r="AF679" s="85">
        <v>1338</v>
      </c>
      <c r="AG679" s="81">
        <v>43144</v>
      </c>
      <c r="AH679" s="86">
        <v>54686940</v>
      </c>
      <c r="AI679" s="63" t="s">
        <v>1925</v>
      </c>
      <c r="AJ679" s="63">
        <v>1126</v>
      </c>
      <c r="AK679" s="87">
        <f t="shared" si="73"/>
        <v>0</v>
      </c>
      <c r="AL679" s="86">
        <v>54686940</v>
      </c>
      <c r="AM679" s="86">
        <f t="shared" si="74"/>
        <v>0</v>
      </c>
      <c r="AN679" s="63" t="s">
        <v>1155</v>
      </c>
      <c r="AO679" s="86">
        <f t="shared" si="75"/>
        <v>0</v>
      </c>
      <c r="AP679" s="63"/>
      <c r="AQ679" s="63"/>
      <c r="AR679" s="63"/>
      <c r="AS679" s="63"/>
      <c r="AT679" s="63"/>
      <c r="AU679" s="220"/>
      <c r="AV679" s="220"/>
      <c r="AW679" s="220"/>
    </row>
    <row r="680" spans="1:49" s="221" customFormat="1" ht="342" x14ac:dyDescent="0.25">
      <c r="A680" s="63">
        <v>266</v>
      </c>
      <c r="B680" s="63" t="str">
        <f t="shared" si="72"/>
        <v>3075-266</v>
      </c>
      <c r="C680" s="76" t="s">
        <v>1141</v>
      </c>
      <c r="D680" s="76" t="s">
        <v>1142</v>
      </c>
      <c r="E680" s="76" t="s">
        <v>1424</v>
      </c>
      <c r="F680" s="76" t="s">
        <v>1175</v>
      </c>
      <c r="G680" s="77" t="s">
        <v>1176</v>
      </c>
      <c r="H680" s="78" t="s">
        <v>1425</v>
      </c>
      <c r="I680" s="76" t="s">
        <v>1147</v>
      </c>
      <c r="J680" s="76" t="s">
        <v>1148</v>
      </c>
      <c r="K680" s="76" t="s">
        <v>439</v>
      </c>
      <c r="L680" s="63" t="s">
        <v>1149</v>
      </c>
      <c r="M680" s="63" t="s">
        <v>58</v>
      </c>
      <c r="N680" s="63" t="s">
        <v>59</v>
      </c>
      <c r="O680" s="76" t="s">
        <v>1213</v>
      </c>
      <c r="P680" s="63" t="s">
        <v>1926</v>
      </c>
      <c r="Q680" s="83">
        <v>54686940</v>
      </c>
      <c r="R680" s="98">
        <v>1</v>
      </c>
      <c r="S680" s="80">
        <v>54686940</v>
      </c>
      <c r="T680" s="63" t="s">
        <v>1171</v>
      </c>
      <c r="U680" s="63" t="s">
        <v>1171</v>
      </c>
      <c r="V680" s="81" t="s">
        <v>724</v>
      </c>
      <c r="W680" s="82" t="s">
        <v>439</v>
      </c>
      <c r="X680" s="99" t="s">
        <v>1927</v>
      </c>
      <c r="Y680" s="81">
        <v>43129</v>
      </c>
      <c r="Z680" s="86">
        <v>54686940</v>
      </c>
      <c r="AA680" s="84" t="s">
        <v>1742</v>
      </c>
      <c r="AB680" s="85">
        <v>655</v>
      </c>
      <c r="AC680" s="81">
        <v>43151</v>
      </c>
      <c r="AD680" s="86">
        <v>54686940</v>
      </c>
      <c r="AE680" s="87">
        <f t="shared" si="71"/>
        <v>0</v>
      </c>
      <c r="AF680" s="85">
        <v>1476</v>
      </c>
      <c r="AG680" s="81">
        <v>43160</v>
      </c>
      <c r="AH680" s="86">
        <v>54686940</v>
      </c>
      <c r="AI680" s="63" t="s">
        <v>1928</v>
      </c>
      <c r="AJ680" s="63">
        <v>1415</v>
      </c>
      <c r="AK680" s="87">
        <f t="shared" si="73"/>
        <v>0</v>
      </c>
      <c r="AL680" s="86">
        <v>54686940</v>
      </c>
      <c r="AM680" s="86">
        <f t="shared" si="74"/>
        <v>0</v>
      </c>
      <c r="AN680" s="63" t="s">
        <v>1155</v>
      </c>
      <c r="AO680" s="86">
        <f t="shared" si="75"/>
        <v>0</v>
      </c>
      <c r="AP680" s="63"/>
      <c r="AQ680" s="63"/>
      <c r="AR680" s="63"/>
      <c r="AS680" s="63"/>
      <c r="AT680" s="63"/>
      <c r="AU680" s="220"/>
      <c r="AV680" s="220"/>
      <c r="AW680" s="220"/>
    </row>
    <row r="681" spans="1:49" s="221" customFormat="1" ht="342" x14ac:dyDescent="0.25">
      <c r="A681" s="63">
        <v>267</v>
      </c>
      <c r="B681" s="63" t="str">
        <f t="shared" si="72"/>
        <v>3075-267</v>
      </c>
      <c r="C681" s="76" t="s">
        <v>1141</v>
      </c>
      <c r="D681" s="76" t="s">
        <v>1142</v>
      </c>
      <c r="E681" s="76" t="s">
        <v>1424</v>
      </c>
      <c r="F681" s="76" t="s">
        <v>1175</v>
      </c>
      <c r="G681" s="77" t="s">
        <v>1176</v>
      </c>
      <c r="H681" s="78" t="s">
        <v>1425</v>
      </c>
      <c r="I681" s="76" t="s">
        <v>1147</v>
      </c>
      <c r="J681" s="76" t="s">
        <v>1148</v>
      </c>
      <c r="K681" s="76" t="s">
        <v>439</v>
      </c>
      <c r="L681" s="63" t="s">
        <v>1149</v>
      </c>
      <c r="M681" s="63" t="s">
        <v>58</v>
      </c>
      <c r="N681" s="63" t="s">
        <v>59</v>
      </c>
      <c r="O681" s="76" t="s">
        <v>1213</v>
      </c>
      <c r="P681" s="63" t="s">
        <v>1929</v>
      </c>
      <c r="Q681" s="83">
        <v>54686940</v>
      </c>
      <c r="R681" s="98">
        <v>1</v>
      </c>
      <c r="S681" s="80">
        <v>54686940</v>
      </c>
      <c r="T681" s="63" t="s">
        <v>1171</v>
      </c>
      <c r="U681" s="63" t="s">
        <v>1171</v>
      </c>
      <c r="V681" s="81" t="s">
        <v>724</v>
      </c>
      <c r="W681" s="82" t="s">
        <v>439</v>
      </c>
      <c r="X681" s="99" t="s">
        <v>1930</v>
      </c>
      <c r="Y681" s="81">
        <v>43129</v>
      </c>
      <c r="Z681" s="86">
        <v>54686940</v>
      </c>
      <c r="AA681" s="84" t="s">
        <v>1742</v>
      </c>
      <c r="AB681" s="85">
        <v>654</v>
      </c>
      <c r="AC681" s="81">
        <v>43151</v>
      </c>
      <c r="AD681" s="86">
        <v>54686940</v>
      </c>
      <c r="AE681" s="87">
        <f t="shared" si="71"/>
        <v>0</v>
      </c>
      <c r="AF681" s="85">
        <v>1477</v>
      </c>
      <c r="AG681" s="81">
        <v>43160</v>
      </c>
      <c r="AH681" s="86">
        <v>54686940</v>
      </c>
      <c r="AI681" s="63" t="s">
        <v>1931</v>
      </c>
      <c r="AJ681" s="63">
        <v>1416</v>
      </c>
      <c r="AK681" s="87">
        <f t="shared" si="73"/>
        <v>0</v>
      </c>
      <c r="AL681" s="86">
        <v>54686940</v>
      </c>
      <c r="AM681" s="86">
        <f t="shared" si="74"/>
        <v>0</v>
      </c>
      <c r="AN681" s="63" t="s">
        <v>1155</v>
      </c>
      <c r="AO681" s="86">
        <f t="shared" si="75"/>
        <v>0</v>
      </c>
      <c r="AP681" s="63"/>
      <c r="AQ681" s="63"/>
      <c r="AR681" s="63"/>
      <c r="AS681" s="63"/>
      <c r="AT681" s="63"/>
      <c r="AU681" s="220"/>
      <c r="AV681" s="220"/>
      <c r="AW681" s="220"/>
    </row>
    <row r="682" spans="1:49" s="221" customFormat="1" ht="342" x14ac:dyDescent="0.25">
      <c r="A682" s="63">
        <v>268</v>
      </c>
      <c r="B682" s="63" t="str">
        <f t="shared" si="72"/>
        <v>3075-268</v>
      </c>
      <c r="C682" s="76" t="s">
        <v>1141</v>
      </c>
      <c r="D682" s="76" t="s">
        <v>1142</v>
      </c>
      <c r="E682" s="76" t="s">
        <v>1424</v>
      </c>
      <c r="F682" s="76" t="s">
        <v>1175</v>
      </c>
      <c r="G682" s="77" t="s">
        <v>1176</v>
      </c>
      <c r="H682" s="78" t="s">
        <v>1425</v>
      </c>
      <c r="I682" s="76" t="s">
        <v>1147</v>
      </c>
      <c r="J682" s="76" t="s">
        <v>1148</v>
      </c>
      <c r="K682" s="76" t="s">
        <v>439</v>
      </c>
      <c r="L682" s="63" t="s">
        <v>1149</v>
      </c>
      <c r="M682" s="63" t="s">
        <v>58</v>
      </c>
      <c r="N682" s="63" t="s">
        <v>59</v>
      </c>
      <c r="O682" s="76" t="s">
        <v>1213</v>
      </c>
      <c r="P682" s="63" t="s">
        <v>1932</v>
      </c>
      <c r="Q682" s="83">
        <v>54686940</v>
      </c>
      <c r="R682" s="98">
        <v>1</v>
      </c>
      <c r="S682" s="80">
        <v>54686940</v>
      </c>
      <c r="T682" s="63" t="s">
        <v>1171</v>
      </c>
      <c r="U682" s="63" t="s">
        <v>1171</v>
      </c>
      <c r="V682" s="81" t="s">
        <v>493</v>
      </c>
      <c r="W682" s="82" t="s">
        <v>439</v>
      </c>
      <c r="X682" s="99" t="s">
        <v>1933</v>
      </c>
      <c r="Y682" s="81">
        <v>43129</v>
      </c>
      <c r="Z682" s="86">
        <v>54686940</v>
      </c>
      <c r="AA682" s="84" t="s">
        <v>1742</v>
      </c>
      <c r="AB682" s="85">
        <v>595</v>
      </c>
      <c r="AC682" s="81">
        <v>43131</v>
      </c>
      <c r="AD682" s="86">
        <v>54686940</v>
      </c>
      <c r="AE682" s="87">
        <f t="shared" si="71"/>
        <v>0</v>
      </c>
      <c r="AF682" s="85">
        <v>1331</v>
      </c>
      <c r="AG682" s="81">
        <v>43144</v>
      </c>
      <c r="AH682" s="86">
        <v>54686940</v>
      </c>
      <c r="AI682" s="63" t="s">
        <v>1934</v>
      </c>
      <c r="AJ682" s="63">
        <v>1098</v>
      </c>
      <c r="AK682" s="87">
        <f t="shared" si="73"/>
        <v>0</v>
      </c>
      <c r="AL682" s="86">
        <v>0</v>
      </c>
      <c r="AM682" s="86">
        <f t="shared" si="74"/>
        <v>54686940</v>
      </c>
      <c r="AN682" s="63" t="s">
        <v>1155</v>
      </c>
      <c r="AO682" s="86">
        <f t="shared" si="75"/>
        <v>0</v>
      </c>
      <c r="AP682" s="63"/>
      <c r="AQ682" s="63"/>
      <c r="AR682" s="63"/>
      <c r="AS682" s="63"/>
      <c r="AT682" s="63"/>
      <c r="AU682" s="220"/>
      <c r="AV682" s="220"/>
      <c r="AW682" s="220"/>
    </row>
    <row r="683" spans="1:49" s="221" customFormat="1" ht="342" x14ac:dyDescent="0.25">
      <c r="A683" s="63">
        <v>269</v>
      </c>
      <c r="B683" s="63" t="str">
        <f t="shared" si="72"/>
        <v>3075-269</v>
      </c>
      <c r="C683" s="76" t="s">
        <v>1141</v>
      </c>
      <c r="D683" s="76" t="s">
        <v>1142</v>
      </c>
      <c r="E683" s="76" t="s">
        <v>1424</v>
      </c>
      <c r="F683" s="76" t="s">
        <v>1175</v>
      </c>
      <c r="G683" s="77" t="s">
        <v>1176</v>
      </c>
      <c r="H683" s="78" t="s">
        <v>1425</v>
      </c>
      <c r="I683" s="76" t="s">
        <v>1147</v>
      </c>
      <c r="J683" s="76" t="s">
        <v>1148</v>
      </c>
      <c r="K683" s="76" t="s">
        <v>439</v>
      </c>
      <c r="L683" s="63" t="s">
        <v>1149</v>
      </c>
      <c r="M683" s="63" t="s">
        <v>58</v>
      </c>
      <c r="N683" s="63" t="s">
        <v>59</v>
      </c>
      <c r="O683" s="76" t="s">
        <v>1213</v>
      </c>
      <c r="P683" s="63" t="s">
        <v>1935</v>
      </c>
      <c r="Q683" s="83">
        <v>54686940</v>
      </c>
      <c r="R683" s="98">
        <v>1</v>
      </c>
      <c r="S683" s="80">
        <v>54686940</v>
      </c>
      <c r="T683" s="63" t="s">
        <v>1171</v>
      </c>
      <c r="U683" s="63" t="s">
        <v>1171</v>
      </c>
      <c r="V683" s="81" t="s">
        <v>493</v>
      </c>
      <c r="W683" s="82" t="s">
        <v>439</v>
      </c>
      <c r="X683" s="99" t="s">
        <v>1936</v>
      </c>
      <c r="Y683" s="81">
        <v>43131</v>
      </c>
      <c r="Z683" s="83">
        <v>54686940</v>
      </c>
      <c r="AA683" s="84" t="s">
        <v>1742</v>
      </c>
      <c r="AB683" s="85">
        <v>601</v>
      </c>
      <c r="AC683" s="81">
        <v>43132</v>
      </c>
      <c r="AD683" s="86">
        <v>54686940</v>
      </c>
      <c r="AE683" s="87">
        <f t="shared" si="71"/>
        <v>0</v>
      </c>
      <c r="AF683" s="85">
        <v>1355</v>
      </c>
      <c r="AG683" s="81">
        <v>43145</v>
      </c>
      <c r="AH683" s="86">
        <v>54686940</v>
      </c>
      <c r="AI683" s="63" t="s">
        <v>1937</v>
      </c>
      <c r="AJ683" s="63">
        <v>1094</v>
      </c>
      <c r="AK683" s="87">
        <f t="shared" si="73"/>
        <v>0</v>
      </c>
      <c r="AL683" s="86">
        <v>54686940</v>
      </c>
      <c r="AM683" s="86">
        <f t="shared" si="74"/>
        <v>0</v>
      </c>
      <c r="AN683" s="63" t="s">
        <v>1155</v>
      </c>
      <c r="AO683" s="86">
        <f t="shared" si="75"/>
        <v>0</v>
      </c>
      <c r="AP683" s="63"/>
      <c r="AQ683" s="63"/>
      <c r="AR683" s="63"/>
      <c r="AS683" s="63"/>
      <c r="AT683" s="63"/>
      <c r="AU683" s="220"/>
      <c r="AV683" s="220"/>
      <c r="AW683" s="220"/>
    </row>
    <row r="684" spans="1:49" s="221" customFormat="1" ht="342" x14ac:dyDescent="0.25">
      <c r="A684" s="63">
        <v>270</v>
      </c>
      <c r="B684" s="63" t="str">
        <f t="shared" si="72"/>
        <v>3075-270</v>
      </c>
      <c r="C684" s="76" t="s">
        <v>1141</v>
      </c>
      <c r="D684" s="76" t="s">
        <v>1142</v>
      </c>
      <c r="E684" s="76" t="s">
        <v>1424</v>
      </c>
      <c r="F684" s="76" t="s">
        <v>1175</v>
      </c>
      <c r="G684" s="77" t="s">
        <v>1176</v>
      </c>
      <c r="H684" s="78" t="s">
        <v>1425</v>
      </c>
      <c r="I684" s="76" t="s">
        <v>1147</v>
      </c>
      <c r="J684" s="76" t="s">
        <v>1148</v>
      </c>
      <c r="K684" s="76" t="s">
        <v>439</v>
      </c>
      <c r="L684" s="63" t="s">
        <v>1149</v>
      </c>
      <c r="M684" s="63" t="s">
        <v>58</v>
      </c>
      <c r="N684" s="63" t="s">
        <v>59</v>
      </c>
      <c r="O684" s="76" t="s">
        <v>1213</v>
      </c>
      <c r="P684" s="63" t="s">
        <v>1938</v>
      </c>
      <c r="Q684" s="83">
        <v>54686940</v>
      </c>
      <c r="R684" s="98">
        <v>1</v>
      </c>
      <c r="S684" s="80">
        <v>54686940</v>
      </c>
      <c r="T684" s="63" t="s">
        <v>1171</v>
      </c>
      <c r="U684" s="63" t="s">
        <v>1171</v>
      </c>
      <c r="V684" s="81" t="s">
        <v>493</v>
      </c>
      <c r="W684" s="82" t="s">
        <v>439</v>
      </c>
      <c r="X684" s="99" t="s">
        <v>1939</v>
      </c>
      <c r="Y684" s="81">
        <v>43131</v>
      </c>
      <c r="Z684" s="83">
        <v>54686940</v>
      </c>
      <c r="AA684" s="84" t="s">
        <v>1742</v>
      </c>
      <c r="AB684" s="85">
        <v>626</v>
      </c>
      <c r="AC684" s="81">
        <v>43132</v>
      </c>
      <c r="AD684" s="86">
        <v>54686940</v>
      </c>
      <c r="AE684" s="87">
        <f t="shared" si="71"/>
        <v>0</v>
      </c>
      <c r="AF684" s="85">
        <v>1366</v>
      </c>
      <c r="AG684" s="81">
        <v>43147</v>
      </c>
      <c r="AH684" s="86">
        <v>54686940</v>
      </c>
      <c r="AI684" s="63" t="s">
        <v>1940</v>
      </c>
      <c r="AJ684" s="63">
        <v>1276</v>
      </c>
      <c r="AK684" s="87">
        <f t="shared" si="73"/>
        <v>0</v>
      </c>
      <c r="AL684" s="86">
        <v>54686940</v>
      </c>
      <c r="AM684" s="86">
        <f t="shared" si="74"/>
        <v>0</v>
      </c>
      <c r="AN684" s="63" t="s">
        <v>1155</v>
      </c>
      <c r="AO684" s="86">
        <f t="shared" si="75"/>
        <v>0</v>
      </c>
      <c r="AP684" s="63"/>
      <c r="AQ684" s="63"/>
      <c r="AR684" s="63"/>
      <c r="AS684" s="63"/>
      <c r="AT684" s="63"/>
      <c r="AU684" s="220"/>
      <c r="AV684" s="220"/>
      <c r="AW684" s="220"/>
    </row>
    <row r="685" spans="1:49" s="221" customFormat="1" ht="342" x14ac:dyDescent="0.25">
      <c r="A685" s="63">
        <v>271</v>
      </c>
      <c r="B685" s="63" t="str">
        <f t="shared" si="72"/>
        <v>3075-271</v>
      </c>
      <c r="C685" s="76" t="s">
        <v>1141</v>
      </c>
      <c r="D685" s="76" t="s">
        <v>1142</v>
      </c>
      <c r="E685" s="76" t="s">
        <v>1424</v>
      </c>
      <c r="F685" s="76" t="s">
        <v>1175</v>
      </c>
      <c r="G685" s="77" t="s">
        <v>1176</v>
      </c>
      <c r="H685" s="78" t="s">
        <v>1425</v>
      </c>
      <c r="I685" s="76" t="s">
        <v>1147</v>
      </c>
      <c r="J685" s="76" t="s">
        <v>1148</v>
      </c>
      <c r="K685" s="76" t="s">
        <v>439</v>
      </c>
      <c r="L685" s="63" t="s">
        <v>1149</v>
      </c>
      <c r="M685" s="63" t="s">
        <v>58</v>
      </c>
      <c r="N685" s="63" t="s">
        <v>59</v>
      </c>
      <c r="O685" s="76" t="s">
        <v>1213</v>
      </c>
      <c r="P685" s="63" t="s">
        <v>1941</v>
      </c>
      <c r="Q685" s="83">
        <v>54686940</v>
      </c>
      <c r="R685" s="98">
        <v>1</v>
      </c>
      <c r="S685" s="80">
        <v>54686940</v>
      </c>
      <c r="T685" s="63" t="s">
        <v>1171</v>
      </c>
      <c r="U685" s="63" t="s">
        <v>1171</v>
      </c>
      <c r="V685" s="81" t="s">
        <v>493</v>
      </c>
      <c r="W685" s="82" t="s">
        <v>439</v>
      </c>
      <c r="X685" s="99" t="s">
        <v>1942</v>
      </c>
      <c r="Y685" s="81">
        <v>43131</v>
      </c>
      <c r="Z685" s="83">
        <v>54686940</v>
      </c>
      <c r="AA685" s="84" t="s">
        <v>1742</v>
      </c>
      <c r="AB685" s="85">
        <v>606</v>
      </c>
      <c r="AC685" s="81">
        <v>43132</v>
      </c>
      <c r="AD685" s="86">
        <v>54686940</v>
      </c>
      <c r="AE685" s="87">
        <f t="shared" si="71"/>
        <v>0</v>
      </c>
      <c r="AF685" s="85">
        <v>1345</v>
      </c>
      <c r="AG685" s="81">
        <v>43144</v>
      </c>
      <c r="AH685" s="86">
        <v>54686940</v>
      </c>
      <c r="AI685" s="63" t="s">
        <v>1943</v>
      </c>
      <c r="AJ685" s="63">
        <v>1103</v>
      </c>
      <c r="AK685" s="87">
        <f t="shared" si="73"/>
        <v>0</v>
      </c>
      <c r="AL685" s="86">
        <v>54686940</v>
      </c>
      <c r="AM685" s="86">
        <f t="shared" si="74"/>
        <v>0</v>
      </c>
      <c r="AN685" s="63" t="s">
        <v>1155</v>
      </c>
      <c r="AO685" s="86">
        <f t="shared" si="75"/>
        <v>0</v>
      </c>
      <c r="AP685" s="63"/>
      <c r="AQ685" s="63"/>
      <c r="AR685" s="63"/>
      <c r="AS685" s="63"/>
      <c r="AT685" s="63"/>
      <c r="AU685" s="220"/>
      <c r="AV685" s="220"/>
      <c r="AW685" s="220"/>
    </row>
    <row r="686" spans="1:49" s="221" customFormat="1" ht="342" x14ac:dyDescent="0.25">
      <c r="A686" s="63">
        <v>272</v>
      </c>
      <c r="B686" s="63" t="str">
        <f t="shared" si="72"/>
        <v>3075-272</v>
      </c>
      <c r="C686" s="76" t="s">
        <v>1141</v>
      </c>
      <c r="D686" s="76" t="s">
        <v>1142</v>
      </c>
      <c r="E686" s="76" t="s">
        <v>1424</v>
      </c>
      <c r="F686" s="76" t="s">
        <v>1175</v>
      </c>
      <c r="G686" s="77" t="s">
        <v>1176</v>
      </c>
      <c r="H686" s="78" t="s">
        <v>1425</v>
      </c>
      <c r="I686" s="76" t="s">
        <v>1147</v>
      </c>
      <c r="J686" s="76" t="s">
        <v>1148</v>
      </c>
      <c r="K686" s="76" t="s">
        <v>439</v>
      </c>
      <c r="L686" s="63" t="s">
        <v>1149</v>
      </c>
      <c r="M686" s="63" t="s">
        <v>58</v>
      </c>
      <c r="N686" s="63" t="s">
        <v>59</v>
      </c>
      <c r="O686" s="76" t="s">
        <v>1213</v>
      </c>
      <c r="P686" s="63" t="s">
        <v>1944</v>
      </c>
      <c r="Q686" s="83">
        <v>54686940</v>
      </c>
      <c r="R686" s="98">
        <v>1</v>
      </c>
      <c r="S686" s="80">
        <v>54686940</v>
      </c>
      <c r="T686" s="63" t="s">
        <v>1171</v>
      </c>
      <c r="U686" s="63" t="s">
        <v>1171</v>
      </c>
      <c r="V686" s="81" t="s">
        <v>493</v>
      </c>
      <c r="W686" s="82" t="s">
        <v>439</v>
      </c>
      <c r="X686" s="99" t="s">
        <v>1945</v>
      </c>
      <c r="Y686" s="81">
        <v>43131</v>
      </c>
      <c r="Z686" s="83">
        <v>54686940</v>
      </c>
      <c r="AA686" s="84" t="s">
        <v>1742</v>
      </c>
      <c r="AB686" s="85">
        <v>610</v>
      </c>
      <c r="AC686" s="81">
        <v>43132</v>
      </c>
      <c r="AD686" s="86">
        <v>54686940</v>
      </c>
      <c r="AE686" s="87">
        <f t="shared" si="71"/>
        <v>0</v>
      </c>
      <c r="AF686" s="85">
        <v>1364</v>
      </c>
      <c r="AG686" s="81">
        <v>43147</v>
      </c>
      <c r="AH686" s="86">
        <v>54686940</v>
      </c>
      <c r="AI686" s="63" t="s">
        <v>1946</v>
      </c>
      <c r="AJ686" s="63">
        <v>1275</v>
      </c>
      <c r="AK686" s="87">
        <f t="shared" si="73"/>
        <v>0</v>
      </c>
      <c r="AL686" s="86">
        <v>54686940</v>
      </c>
      <c r="AM686" s="86">
        <f t="shared" si="74"/>
        <v>0</v>
      </c>
      <c r="AN686" s="63" t="s">
        <v>1155</v>
      </c>
      <c r="AO686" s="86">
        <f t="shared" si="75"/>
        <v>0</v>
      </c>
      <c r="AP686" s="63"/>
      <c r="AQ686" s="63"/>
      <c r="AR686" s="63"/>
      <c r="AS686" s="63"/>
      <c r="AT686" s="63"/>
      <c r="AU686" s="220"/>
      <c r="AV686" s="220"/>
      <c r="AW686" s="220"/>
    </row>
    <row r="687" spans="1:49" s="221" customFormat="1" ht="342" x14ac:dyDescent="0.25">
      <c r="A687" s="63">
        <v>273</v>
      </c>
      <c r="B687" s="63" t="str">
        <f t="shared" si="72"/>
        <v>3075-273</v>
      </c>
      <c r="C687" s="76" t="s">
        <v>1141</v>
      </c>
      <c r="D687" s="76" t="s">
        <v>1142</v>
      </c>
      <c r="E687" s="76" t="s">
        <v>1424</v>
      </c>
      <c r="F687" s="76" t="s">
        <v>1175</v>
      </c>
      <c r="G687" s="77" t="s">
        <v>1176</v>
      </c>
      <c r="H687" s="78" t="s">
        <v>1425</v>
      </c>
      <c r="I687" s="76" t="s">
        <v>1147</v>
      </c>
      <c r="J687" s="76" t="s">
        <v>1148</v>
      </c>
      <c r="K687" s="76" t="s">
        <v>439</v>
      </c>
      <c r="L687" s="63" t="s">
        <v>1149</v>
      </c>
      <c r="M687" s="63" t="s">
        <v>58</v>
      </c>
      <c r="N687" s="63" t="s">
        <v>59</v>
      </c>
      <c r="O687" s="76" t="s">
        <v>1213</v>
      </c>
      <c r="P687" s="63" t="s">
        <v>1947</v>
      </c>
      <c r="Q687" s="83">
        <v>54686940</v>
      </c>
      <c r="R687" s="98">
        <v>1</v>
      </c>
      <c r="S687" s="80">
        <v>54686940</v>
      </c>
      <c r="T687" s="63" t="s">
        <v>1171</v>
      </c>
      <c r="U687" s="63" t="s">
        <v>1171</v>
      </c>
      <c r="V687" s="81" t="s">
        <v>493</v>
      </c>
      <c r="W687" s="82" t="s">
        <v>439</v>
      </c>
      <c r="X687" s="99" t="s">
        <v>1948</v>
      </c>
      <c r="Y687" s="81">
        <v>43131</v>
      </c>
      <c r="Z687" s="83">
        <v>54686940</v>
      </c>
      <c r="AA687" s="84" t="s">
        <v>1742</v>
      </c>
      <c r="AB687" s="85">
        <v>613</v>
      </c>
      <c r="AC687" s="81">
        <v>43132</v>
      </c>
      <c r="AD687" s="86">
        <v>54686940</v>
      </c>
      <c r="AE687" s="87">
        <f t="shared" si="71"/>
        <v>0</v>
      </c>
      <c r="AF687" s="85">
        <v>1374</v>
      </c>
      <c r="AG687" s="81">
        <v>43147</v>
      </c>
      <c r="AH687" s="86">
        <v>54686940</v>
      </c>
      <c r="AI687" s="63" t="s">
        <v>1949</v>
      </c>
      <c r="AJ687" s="63">
        <v>1278</v>
      </c>
      <c r="AK687" s="87">
        <f t="shared" si="73"/>
        <v>0</v>
      </c>
      <c r="AL687" s="86">
        <v>54686940</v>
      </c>
      <c r="AM687" s="86">
        <f t="shared" si="74"/>
        <v>0</v>
      </c>
      <c r="AN687" s="63" t="s">
        <v>1155</v>
      </c>
      <c r="AO687" s="86">
        <f t="shared" si="75"/>
        <v>0</v>
      </c>
      <c r="AP687" s="63"/>
      <c r="AQ687" s="63"/>
      <c r="AR687" s="63"/>
      <c r="AS687" s="63"/>
      <c r="AT687" s="63"/>
      <c r="AU687" s="220"/>
      <c r="AV687" s="220"/>
      <c r="AW687" s="220"/>
    </row>
    <row r="688" spans="1:49" s="221" customFormat="1" ht="342" x14ac:dyDescent="0.25">
      <c r="A688" s="63">
        <v>274</v>
      </c>
      <c r="B688" s="63" t="str">
        <f t="shared" si="72"/>
        <v>3075-274</v>
      </c>
      <c r="C688" s="76" t="s">
        <v>1141</v>
      </c>
      <c r="D688" s="76" t="s">
        <v>1142</v>
      </c>
      <c r="E688" s="76" t="s">
        <v>1424</v>
      </c>
      <c r="F688" s="76" t="s">
        <v>1175</v>
      </c>
      <c r="G688" s="77" t="s">
        <v>1176</v>
      </c>
      <c r="H688" s="78" t="s">
        <v>1425</v>
      </c>
      <c r="I688" s="76" t="s">
        <v>1147</v>
      </c>
      <c r="J688" s="76" t="s">
        <v>1148</v>
      </c>
      <c r="K688" s="76" t="s">
        <v>439</v>
      </c>
      <c r="L688" s="63" t="s">
        <v>1149</v>
      </c>
      <c r="M688" s="63" t="s">
        <v>58</v>
      </c>
      <c r="N688" s="63" t="s">
        <v>59</v>
      </c>
      <c r="O688" s="76" t="s">
        <v>1213</v>
      </c>
      <c r="P688" s="63" t="s">
        <v>1950</v>
      </c>
      <c r="Q688" s="83">
        <v>54686940</v>
      </c>
      <c r="R688" s="98">
        <v>1</v>
      </c>
      <c r="S688" s="80">
        <v>54686940</v>
      </c>
      <c r="T688" s="63" t="s">
        <v>1171</v>
      </c>
      <c r="U688" s="63" t="s">
        <v>1171</v>
      </c>
      <c r="V688" s="81" t="s">
        <v>493</v>
      </c>
      <c r="W688" s="82" t="s">
        <v>439</v>
      </c>
      <c r="X688" s="99" t="s">
        <v>1951</v>
      </c>
      <c r="Y688" s="81">
        <v>43131</v>
      </c>
      <c r="Z688" s="83">
        <v>54686940</v>
      </c>
      <c r="AA688" s="84" t="s">
        <v>1742</v>
      </c>
      <c r="AB688" s="85">
        <v>616</v>
      </c>
      <c r="AC688" s="81">
        <v>43132</v>
      </c>
      <c r="AD688" s="86">
        <v>54686940</v>
      </c>
      <c r="AE688" s="87">
        <f t="shared" si="71"/>
        <v>0</v>
      </c>
      <c r="AF688" s="85">
        <v>1363</v>
      </c>
      <c r="AG688" s="81">
        <v>43147</v>
      </c>
      <c r="AH688" s="86">
        <v>54686940</v>
      </c>
      <c r="AI688" s="63" t="s">
        <v>1952</v>
      </c>
      <c r="AJ688" s="63">
        <v>1274</v>
      </c>
      <c r="AK688" s="87">
        <f t="shared" si="73"/>
        <v>0</v>
      </c>
      <c r="AL688" s="86">
        <v>54686940</v>
      </c>
      <c r="AM688" s="86">
        <f t="shared" si="74"/>
        <v>0</v>
      </c>
      <c r="AN688" s="63" t="s">
        <v>1155</v>
      </c>
      <c r="AO688" s="86">
        <f t="shared" si="75"/>
        <v>0</v>
      </c>
      <c r="AP688" s="63"/>
      <c r="AQ688" s="63"/>
      <c r="AR688" s="63"/>
      <c r="AS688" s="63"/>
      <c r="AT688" s="63"/>
      <c r="AU688" s="220"/>
      <c r="AV688" s="220"/>
      <c r="AW688" s="220"/>
    </row>
    <row r="689" spans="1:49" s="221" customFormat="1" ht="342" x14ac:dyDescent="0.25">
      <c r="A689" s="63">
        <v>275</v>
      </c>
      <c r="B689" s="63" t="str">
        <f t="shared" si="72"/>
        <v>3075-275</v>
      </c>
      <c r="C689" s="76" t="s">
        <v>1141</v>
      </c>
      <c r="D689" s="76" t="s">
        <v>1142</v>
      </c>
      <c r="E689" s="76" t="s">
        <v>1424</v>
      </c>
      <c r="F689" s="76" t="s">
        <v>1175</v>
      </c>
      <c r="G689" s="77" t="s">
        <v>1176</v>
      </c>
      <c r="H689" s="78" t="s">
        <v>1425</v>
      </c>
      <c r="I689" s="76" t="s">
        <v>1147</v>
      </c>
      <c r="J689" s="76" t="s">
        <v>1148</v>
      </c>
      <c r="K689" s="76" t="s">
        <v>439</v>
      </c>
      <c r="L689" s="63" t="s">
        <v>1149</v>
      </c>
      <c r="M689" s="63" t="s">
        <v>58</v>
      </c>
      <c r="N689" s="63" t="s">
        <v>59</v>
      </c>
      <c r="O689" s="76" t="s">
        <v>1213</v>
      </c>
      <c r="P689" s="63" t="s">
        <v>1953</v>
      </c>
      <c r="Q689" s="83">
        <v>54686940</v>
      </c>
      <c r="R689" s="98">
        <v>1</v>
      </c>
      <c r="S689" s="80">
        <v>54686940</v>
      </c>
      <c r="T689" s="63" t="s">
        <v>1171</v>
      </c>
      <c r="U689" s="63" t="s">
        <v>1171</v>
      </c>
      <c r="V689" s="81" t="s">
        <v>493</v>
      </c>
      <c r="W689" s="82" t="s">
        <v>439</v>
      </c>
      <c r="X689" s="99" t="s">
        <v>1954</v>
      </c>
      <c r="Y689" s="81">
        <v>43131</v>
      </c>
      <c r="Z689" s="83">
        <v>54686940</v>
      </c>
      <c r="AA689" s="84" t="s">
        <v>1742</v>
      </c>
      <c r="AB689" s="85">
        <v>619</v>
      </c>
      <c r="AC689" s="81">
        <v>43132</v>
      </c>
      <c r="AD689" s="86">
        <v>54686940</v>
      </c>
      <c r="AE689" s="87">
        <f t="shared" si="71"/>
        <v>0</v>
      </c>
      <c r="AF689" s="85">
        <v>1344</v>
      </c>
      <c r="AG689" s="81">
        <v>43144</v>
      </c>
      <c r="AH689" s="86">
        <v>54686940</v>
      </c>
      <c r="AI689" s="63" t="s">
        <v>1955</v>
      </c>
      <c r="AJ689" s="63">
        <v>1095</v>
      </c>
      <c r="AK689" s="87">
        <f t="shared" si="73"/>
        <v>0</v>
      </c>
      <c r="AL689" s="86">
        <v>54686940</v>
      </c>
      <c r="AM689" s="86">
        <f t="shared" si="74"/>
        <v>0</v>
      </c>
      <c r="AN689" s="63" t="s">
        <v>1155</v>
      </c>
      <c r="AO689" s="86">
        <f t="shared" si="75"/>
        <v>0</v>
      </c>
      <c r="AP689" s="63"/>
      <c r="AQ689" s="63"/>
      <c r="AR689" s="63"/>
      <c r="AS689" s="63"/>
      <c r="AT689" s="63"/>
      <c r="AU689" s="220"/>
      <c r="AV689" s="220"/>
      <c r="AW689" s="220"/>
    </row>
    <row r="690" spans="1:49" s="221" customFormat="1" ht="342" x14ac:dyDescent="0.25">
      <c r="A690" s="63">
        <v>276</v>
      </c>
      <c r="B690" s="63" t="str">
        <f t="shared" si="72"/>
        <v>3075-276</v>
      </c>
      <c r="C690" s="76" t="s">
        <v>1141</v>
      </c>
      <c r="D690" s="76" t="s">
        <v>1142</v>
      </c>
      <c r="E690" s="76" t="s">
        <v>1424</v>
      </c>
      <c r="F690" s="76" t="s">
        <v>1175</v>
      </c>
      <c r="G690" s="77" t="s">
        <v>1176</v>
      </c>
      <c r="H690" s="78" t="s">
        <v>1425</v>
      </c>
      <c r="I690" s="76" t="s">
        <v>1147</v>
      </c>
      <c r="J690" s="76" t="s">
        <v>1148</v>
      </c>
      <c r="K690" s="76" t="s">
        <v>439</v>
      </c>
      <c r="L690" s="63" t="s">
        <v>1149</v>
      </c>
      <c r="M690" s="63" t="s">
        <v>58</v>
      </c>
      <c r="N690" s="63" t="s">
        <v>59</v>
      </c>
      <c r="O690" s="76" t="s">
        <v>1213</v>
      </c>
      <c r="P690" s="63" t="s">
        <v>1956</v>
      </c>
      <c r="Q690" s="83">
        <v>54686940</v>
      </c>
      <c r="R690" s="98">
        <v>1</v>
      </c>
      <c r="S690" s="80">
        <v>54686940</v>
      </c>
      <c r="T690" s="63" t="s">
        <v>1171</v>
      </c>
      <c r="U690" s="63" t="s">
        <v>1171</v>
      </c>
      <c r="V690" s="81" t="s">
        <v>493</v>
      </c>
      <c r="W690" s="82" t="s">
        <v>439</v>
      </c>
      <c r="X690" s="99" t="s">
        <v>1957</v>
      </c>
      <c r="Y690" s="81">
        <v>43131</v>
      </c>
      <c r="Z690" s="83">
        <v>54686940</v>
      </c>
      <c r="AA690" s="84" t="s">
        <v>1742</v>
      </c>
      <c r="AB690" s="85">
        <v>621</v>
      </c>
      <c r="AC690" s="81">
        <v>43132</v>
      </c>
      <c r="AD690" s="86">
        <v>54686940</v>
      </c>
      <c r="AE690" s="87">
        <f t="shared" si="71"/>
        <v>0</v>
      </c>
      <c r="AF690" s="85">
        <v>1368</v>
      </c>
      <c r="AG690" s="81">
        <v>43147</v>
      </c>
      <c r="AH690" s="86">
        <v>54686940</v>
      </c>
      <c r="AI690" s="63" t="s">
        <v>1958</v>
      </c>
      <c r="AJ690" s="63">
        <v>1272</v>
      </c>
      <c r="AK690" s="87">
        <f t="shared" si="73"/>
        <v>0</v>
      </c>
      <c r="AL690" s="86">
        <v>54686940</v>
      </c>
      <c r="AM690" s="86">
        <f t="shared" si="74"/>
        <v>0</v>
      </c>
      <c r="AN690" s="63" t="s">
        <v>1155</v>
      </c>
      <c r="AO690" s="86">
        <f t="shared" si="75"/>
        <v>0</v>
      </c>
      <c r="AP690" s="63"/>
      <c r="AQ690" s="63"/>
      <c r="AR690" s="63"/>
      <c r="AS690" s="63"/>
      <c r="AT690" s="63"/>
      <c r="AU690" s="220"/>
      <c r="AV690" s="220"/>
      <c r="AW690" s="220"/>
    </row>
    <row r="691" spans="1:49" s="221" customFormat="1" ht="342" x14ac:dyDescent="0.25">
      <c r="A691" s="63">
        <v>277</v>
      </c>
      <c r="B691" s="63" t="str">
        <f t="shared" si="72"/>
        <v>3075-277</v>
      </c>
      <c r="C691" s="76" t="s">
        <v>1141</v>
      </c>
      <c r="D691" s="76" t="s">
        <v>1142</v>
      </c>
      <c r="E691" s="76" t="s">
        <v>1424</v>
      </c>
      <c r="F691" s="76" t="s">
        <v>1175</v>
      </c>
      <c r="G691" s="77" t="s">
        <v>1176</v>
      </c>
      <c r="H691" s="78" t="s">
        <v>1425</v>
      </c>
      <c r="I691" s="76" t="s">
        <v>1147</v>
      </c>
      <c r="J691" s="76" t="s">
        <v>1148</v>
      </c>
      <c r="K691" s="76" t="s">
        <v>439</v>
      </c>
      <c r="L691" s="63" t="s">
        <v>1149</v>
      </c>
      <c r="M691" s="63" t="s">
        <v>58</v>
      </c>
      <c r="N691" s="63" t="s">
        <v>59</v>
      </c>
      <c r="O691" s="76" t="s">
        <v>1213</v>
      </c>
      <c r="P691" s="63" t="s">
        <v>1959</v>
      </c>
      <c r="Q691" s="83">
        <v>54686940</v>
      </c>
      <c r="R691" s="98">
        <v>1</v>
      </c>
      <c r="S691" s="80">
        <v>54686940</v>
      </c>
      <c r="T691" s="63" t="s">
        <v>1171</v>
      </c>
      <c r="U691" s="63" t="s">
        <v>1171</v>
      </c>
      <c r="V691" s="81" t="s">
        <v>493</v>
      </c>
      <c r="W691" s="82" t="s">
        <v>439</v>
      </c>
      <c r="X691" s="99" t="s">
        <v>1960</v>
      </c>
      <c r="Y691" s="81">
        <v>43131</v>
      </c>
      <c r="Z691" s="83">
        <v>54686940</v>
      </c>
      <c r="AA691" s="84" t="s">
        <v>1742</v>
      </c>
      <c r="AB691" s="85">
        <v>622</v>
      </c>
      <c r="AC691" s="81">
        <v>43132</v>
      </c>
      <c r="AD691" s="86">
        <v>54686940</v>
      </c>
      <c r="AE691" s="87">
        <f t="shared" si="71"/>
        <v>0</v>
      </c>
      <c r="AF691" s="85">
        <v>1342</v>
      </c>
      <c r="AG691" s="81">
        <v>43144</v>
      </c>
      <c r="AH691" s="86">
        <v>54686940</v>
      </c>
      <c r="AI691" s="63" t="s">
        <v>1961</v>
      </c>
      <c r="AJ691" s="63">
        <v>1096</v>
      </c>
      <c r="AK691" s="87">
        <f t="shared" si="73"/>
        <v>0</v>
      </c>
      <c r="AL691" s="86">
        <v>54686940</v>
      </c>
      <c r="AM691" s="86">
        <f t="shared" si="74"/>
        <v>0</v>
      </c>
      <c r="AN691" s="63" t="s">
        <v>1155</v>
      </c>
      <c r="AO691" s="86">
        <f t="shared" si="75"/>
        <v>0</v>
      </c>
      <c r="AP691" s="63"/>
      <c r="AQ691" s="63"/>
      <c r="AR691" s="63"/>
      <c r="AS691" s="63"/>
      <c r="AT691" s="63"/>
      <c r="AU691" s="220"/>
      <c r="AV691" s="220"/>
      <c r="AW691" s="220"/>
    </row>
    <row r="692" spans="1:49" s="221" customFormat="1" ht="342" x14ac:dyDescent="0.25">
      <c r="A692" s="63">
        <v>278</v>
      </c>
      <c r="B692" s="63" t="str">
        <f t="shared" si="72"/>
        <v>3075-278</v>
      </c>
      <c r="C692" s="76" t="s">
        <v>1141</v>
      </c>
      <c r="D692" s="76" t="s">
        <v>1142</v>
      </c>
      <c r="E692" s="76" t="s">
        <v>1424</v>
      </c>
      <c r="F692" s="76" t="s">
        <v>1175</v>
      </c>
      <c r="G692" s="77" t="s">
        <v>1176</v>
      </c>
      <c r="H692" s="78" t="s">
        <v>1425</v>
      </c>
      <c r="I692" s="76" t="s">
        <v>1147</v>
      </c>
      <c r="J692" s="76" t="s">
        <v>1148</v>
      </c>
      <c r="K692" s="76" t="s">
        <v>439</v>
      </c>
      <c r="L692" s="63" t="s">
        <v>1149</v>
      </c>
      <c r="M692" s="63" t="s">
        <v>58</v>
      </c>
      <c r="N692" s="63" t="s">
        <v>59</v>
      </c>
      <c r="O692" s="76" t="s">
        <v>1213</v>
      </c>
      <c r="P692" s="63" t="s">
        <v>1962</v>
      </c>
      <c r="Q692" s="83">
        <v>54686940</v>
      </c>
      <c r="R692" s="98">
        <v>1</v>
      </c>
      <c r="S692" s="80">
        <v>54686940</v>
      </c>
      <c r="T692" s="63" t="s">
        <v>1171</v>
      </c>
      <c r="U692" s="63" t="s">
        <v>1171</v>
      </c>
      <c r="V692" s="81" t="s">
        <v>493</v>
      </c>
      <c r="W692" s="82" t="s">
        <v>439</v>
      </c>
      <c r="X692" s="99" t="s">
        <v>1963</v>
      </c>
      <c r="Y692" s="81">
        <v>43131</v>
      </c>
      <c r="Z692" s="83">
        <v>54686940</v>
      </c>
      <c r="AA692" s="84" t="s">
        <v>1742</v>
      </c>
      <c r="AB692" s="85">
        <v>624</v>
      </c>
      <c r="AC692" s="81">
        <v>43132</v>
      </c>
      <c r="AD692" s="86">
        <v>54686940</v>
      </c>
      <c r="AE692" s="87">
        <f t="shared" si="71"/>
        <v>0</v>
      </c>
      <c r="AF692" s="85">
        <v>1454</v>
      </c>
      <c r="AG692" s="81">
        <v>43152</v>
      </c>
      <c r="AH692" s="86">
        <v>54686940</v>
      </c>
      <c r="AI692" s="63" t="s">
        <v>1964</v>
      </c>
      <c r="AJ692" s="63">
        <v>1355</v>
      </c>
      <c r="AK692" s="87">
        <f t="shared" si="73"/>
        <v>0</v>
      </c>
      <c r="AL692" s="86">
        <v>54686940</v>
      </c>
      <c r="AM692" s="86">
        <f t="shared" si="74"/>
        <v>0</v>
      </c>
      <c r="AN692" s="63" t="s">
        <v>1155</v>
      </c>
      <c r="AO692" s="86">
        <f t="shared" si="75"/>
        <v>0</v>
      </c>
      <c r="AP692" s="63"/>
      <c r="AQ692" s="63"/>
      <c r="AR692" s="63"/>
      <c r="AS692" s="63"/>
      <c r="AT692" s="63"/>
      <c r="AU692" s="220"/>
      <c r="AV692" s="220"/>
      <c r="AW692" s="220"/>
    </row>
    <row r="693" spans="1:49" s="221" customFormat="1" ht="342" x14ac:dyDescent="0.25">
      <c r="A693" s="63">
        <v>279</v>
      </c>
      <c r="B693" s="63" t="str">
        <f t="shared" si="72"/>
        <v>3075-279</v>
      </c>
      <c r="C693" s="76" t="s">
        <v>1141</v>
      </c>
      <c r="D693" s="76" t="s">
        <v>1142</v>
      </c>
      <c r="E693" s="76" t="s">
        <v>1424</v>
      </c>
      <c r="F693" s="76" t="s">
        <v>1175</v>
      </c>
      <c r="G693" s="77" t="s">
        <v>1176</v>
      </c>
      <c r="H693" s="78" t="s">
        <v>1425</v>
      </c>
      <c r="I693" s="76" t="s">
        <v>1147</v>
      </c>
      <c r="J693" s="76" t="s">
        <v>1148</v>
      </c>
      <c r="K693" s="76" t="s">
        <v>439</v>
      </c>
      <c r="L693" s="63" t="s">
        <v>1149</v>
      </c>
      <c r="M693" s="63" t="s">
        <v>58</v>
      </c>
      <c r="N693" s="63" t="s">
        <v>59</v>
      </c>
      <c r="O693" s="76" t="s">
        <v>1213</v>
      </c>
      <c r="P693" s="63" t="s">
        <v>1965</v>
      </c>
      <c r="Q693" s="83">
        <v>54686940</v>
      </c>
      <c r="R693" s="98">
        <v>1</v>
      </c>
      <c r="S693" s="80">
        <v>54686940</v>
      </c>
      <c r="T693" s="63" t="s">
        <v>1171</v>
      </c>
      <c r="U693" s="63" t="s">
        <v>1171</v>
      </c>
      <c r="V693" s="81" t="s">
        <v>493</v>
      </c>
      <c r="W693" s="82" t="s">
        <v>439</v>
      </c>
      <c r="X693" s="99" t="s">
        <v>1966</v>
      </c>
      <c r="Y693" s="81">
        <v>43131</v>
      </c>
      <c r="Z693" s="83">
        <v>54686940</v>
      </c>
      <c r="AA693" s="84" t="s">
        <v>1742</v>
      </c>
      <c r="AB693" s="85">
        <v>605</v>
      </c>
      <c r="AC693" s="81">
        <v>43132</v>
      </c>
      <c r="AD693" s="86">
        <v>54686940</v>
      </c>
      <c r="AE693" s="87">
        <f t="shared" si="71"/>
        <v>0</v>
      </c>
      <c r="AF693" s="85">
        <v>1341</v>
      </c>
      <c r="AG693" s="81">
        <v>43144</v>
      </c>
      <c r="AH693" s="86">
        <v>54686940</v>
      </c>
      <c r="AI693" s="63" t="s">
        <v>1967</v>
      </c>
      <c r="AJ693" s="63">
        <v>1104</v>
      </c>
      <c r="AK693" s="87">
        <f t="shared" si="73"/>
        <v>0</v>
      </c>
      <c r="AL693" s="86">
        <v>54686940</v>
      </c>
      <c r="AM693" s="86">
        <f t="shared" si="74"/>
        <v>0</v>
      </c>
      <c r="AN693" s="63" t="s">
        <v>1155</v>
      </c>
      <c r="AO693" s="86">
        <f t="shared" si="75"/>
        <v>0</v>
      </c>
      <c r="AP693" s="63"/>
      <c r="AQ693" s="63"/>
      <c r="AR693" s="63"/>
      <c r="AS693" s="63"/>
      <c r="AT693" s="63"/>
      <c r="AU693" s="220"/>
      <c r="AV693" s="220"/>
      <c r="AW693" s="220"/>
    </row>
    <row r="694" spans="1:49" s="221" customFormat="1" ht="342" x14ac:dyDescent="0.25">
      <c r="A694" s="63">
        <v>280</v>
      </c>
      <c r="B694" s="63" t="str">
        <f t="shared" si="72"/>
        <v>3075-280</v>
      </c>
      <c r="C694" s="76" t="s">
        <v>1141</v>
      </c>
      <c r="D694" s="76" t="s">
        <v>1142</v>
      </c>
      <c r="E694" s="76" t="s">
        <v>1424</v>
      </c>
      <c r="F694" s="76" t="s">
        <v>1175</v>
      </c>
      <c r="G694" s="77" t="s">
        <v>1176</v>
      </c>
      <c r="H694" s="78" t="s">
        <v>1425</v>
      </c>
      <c r="I694" s="76" t="s">
        <v>1147</v>
      </c>
      <c r="J694" s="76" t="s">
        <v>1148</v>
      </c>
      <c r="K694" s="76" t="s">
        <v>439</v>
      </c>
      <c r="L694" s="63" t="s">
        <v>1149</v>
      </c>
      <c r="M694" s="63" t="s">
        <v>58</v>
      </c>
      <c r="N694" s="63" t="s">
        <v>59</v>
      </c>
      <c r="O694" s="76" t="s">
        <v>1213</v>
      </c>
      <c r="P694" s="63" t="s">
        <v>1968</v>
      </c>
      <c r="Q694" s="83">
        <v>54686940</v>
      </c>
      <c r="R694" s="98">
        <v>1</v>
      </c>
      <c r="S694" s="80">
        <v>54686940</v>
      </c>
      <c r="T694" s="63" t="s">
        <v>1171</v>
      </c>
      <c r="U694" s="63" t="s">
        <v>1171</v>
      </c>
      <c r="V694" s="81" t="s">
        <v>493</v>
      </c>
      <c r="W694" s="82" t="s">
        <v>439</v>
      </c>
      <c r="X694" s="99" t="s">
        <v>1969</v>
      </c>
      <c r="Y694" s="81">
        <v>43131</v>
      </c>
      <c r="Z694" s="83">
        <v>54686940</v>
      </c>
      <c r="AA694" s="84" t="s">
        <v>1742</v>
      </c>
      <c r="AB694" s="85">
        <v>608</v>
      </c>
      <c r="AC694" s="81">
        <v>43132</v>
      </c>
      <c r="AD694" s="86">
        <v>54686940</v>
      </c>
      <c r="AE694" s="87">
        <f t="shared" si="71"/>
        <v>0</v>
      </c>
      <c r="AF694" s="85">
        <v>1382</v>
      </c>
      <c r="AG694" s="81">
        <v>43150</v>
      </c>
      <c r="AH694" s="86">
        <v>54686940</v>
      </c>
      <c r="AI694" s="63" t="s">
        <v>1970</v>
      </c>
      <c r="AJ694" s="63">
        <v>1285</v>
      </c>
      <c r="AK694" s="87">
        <f t="shared" si="73"/>
        <v>0</v>
      </c>
      <c r="AL694" s="86">
        <v>54686940</v>
      </c>
      <c r="AM694" s="86">
        <f t="shared" si="74"/>
        <v>0</v>
      </c>
      <c r="AN694" s="63" t="s">
        <v>1155</v>
      </c>
      <c r="AO694" s="86">
        <f t="shared" si="75"/>
        <v>0</v>
      </c>
      <c r="AP694" s="63"/>
      <c r="AQ694" s="63"/>
      <c r="AR694" s="63"/>
      <c r="AS694" s="63"/>
      <c r="AT694" s="63"/>
      <c r="AU694" s="220"/>
      <c r="AV694" s="220"/>
      <c r="AW694" s="220"/>
    </row>
    <row r="695" spans="1:49" s="221" customFormat="1" ht="342" x14ac:dyDescent="0.25">
      <c r="A695" s="63">
        <v>281</v>
      </c>
      <c r="B695" s="63" t="str">
        <f t="shared" si="72"/>
        <v>3075-281</v>
      </c>
      <c r="C695" s="76" t="s">
        <v>1141</v>
      </c>
      <c r="D695" s="76" t="s">
        <v>1142</v>
      </c>
      <c r="E695" s="76" t="s">
        <v>1424</v>
      </c>
      <c r="F695" s="76" t="s">
        <v>1175</v>
      </c>
      <c r="G695" s="77" t="s">
        <v>1176</v>
      </c>
      <c r="H695" s="78" t="s">
        <v>1425</v>
      </c>
      <c r="I695" s="76" t="s">
        <v>1147</v>
      </c>
      <c r="J695" s="76" t="s">
        <v>1148</v>
      </c>
      <c r="K695" s="76" t="s">
        <v>439</v>
      </c>
      <c r="L695" s="63" t="s">
        <v>1149</v>
      </c>
      <c r="M695" s="63" t="s">
        <v>58</v>
      </c>
      <c r="N695" s="63" t="s">
        <v>59</v>
      </c>
      <c r="O695" s="76" t="s">
        <v>1213</v>
      </c>
      <c r="P695" s="63" t="s">
        <v>1971</v>
      </c>
      <c r="Q695" s="83">
        <v>54686940</v>
      </c>
      <c r="R695" s="98">
        <v>1</v>
      </c>
      <c r="S695" s="80">
        <v>54686940</v>
      </c>
      <c r="T695" s="63" t="s">
        <v>1171</v>
      </c>
      <c r="U695" s="63" t="s">
        <v>1171</v>
      </c>
      <c r="V695" s="81" t="s">
        <v>493</v>
      </c>
      <c r="W695" s="82" t="s">
        <v>439</v>
      </c>
      <c r="X695" s="99" t="s">
        <v>1972</v>
      </c>
      <c r="Y695" s="81">
        <v>43131</v>
      </c>
      <c r="Z695" s="83">
        <v>54686940</v>
      </c>
      <c r="AA695" s="84" t="s">
        <v>1742</v>
      </c>
      <c r="AB695" s="85">
        <v>611</v>
      </c>
      <c r="AC695" s="81">
        <v>43132</v>
      </c>
      <c r="AD695" s="86">
        <v>54686940</v>
      </c>
      <c r="AE695" s="87">
        <f t="shared" si="71"/>
        <v>0</v>
      </c>
      <c r="AF695" s="85">
        <v>1373</v>
      </c>
      <c r="AG695" s="81">
        <v>43147</v>
      </c>
      <c r="AH695" s="86">
        <v>54686940</v>
      </c>
      <c r="AI695" s="63" t="s">
        <v>1973</v>
      </c>
      <c r="AJ695" s="63">
        <v>1279</v>
      </c>
      <c r="AK695" s="87">
        <f t="shared" si="73"/>
        <v>0</v>
      </c>
      <c r="AL695" s="86">
        <v>54686940</v>
      </c>
      <c r="AM695" s="86">
        <f t="shared" si="74"/>
        <v>0</v>
      </c>
      <c r="AN695" s="63" t="s">
        <v>1155</v>
      </c>
      <c r="AO695" s="86">
        <f t="shared" si="75"/>
        <v>0</v>
      </c>
      <c r="AP695" s="63"/>
      <c r="AQ695" s="63"/>
      <c r="AR695" s="63"/>
      <c r="AS695" s="63"/>
      <c r="AT695" s="63"/>
      <c r="AU695" s="220"/>
      <c r="AV695" s="220"/>
      <c r="AW695" s="220"/>
    </row>
    <row r="696" spans="1:49" s="221" customFormat="1" ht="342" x14ac:dyDescent="0.25">
      <c r="A696" s="63">
        <v>282</v>
      </c>
      <c r="B696" s="63" t="str">
        <f t="shared" si="72"/>
        <v>3075-282</v>
      </c>
      <c r="C696" s="76" t="s">
        <v>1141</v>
      </c>
      <c r="D696" s="76" t="s">
        <v>1142</v>
      </c>
      <c r="E696" s="76" t="s">
        <v>1424</v>
      </c>
      <c r="F696" s="76" t="s">
        <v>1175</v>
      </c>
      <c r="G696" s="77" t="s">
        <v>1176</v>
      </c>
      <c r="H696" s="78" t="s">
        <v>1425</v>
      </c>
      <c r="I696" s="76" t="s">
        <v>1147</v>
      </c>
      <c r="J696" s="76" t="s">
        <v>1148</v>
      </c>
      <c r="K696" s="76" t="s">
        <v>439</v>
      </c>
      <c r="L696" s="63" t="s">
        <v>1149</v>
      </c>
      <c r="M696" s="63" t="s">
        <v>58</v>
      </c>
      <c r="N696" s="63" t="s">
        <v>59</v>
      </c>
      <c r="O696" s="76" t="s">
        <v>1213</v>
      </c>
      <c r="P696" s="63" t="s">
        <v>1974</v>
      </c>
      <c r="Q696" s="83">
        <v>54686940</v>
      </c>
      <c r="R696" s="98">
        <v>1</v>
      </c>
      <c r="S696" s="80">
        <v>54686940</v>
      </c>
      <c r="T696" s="63" t="s">
        <v>1171</v>
      </c>
      <c r="U696" s="63" t="s">
        <v>1171</v>
      </c>
      <c r="V696" s="81" t="s">
        <v>493</v>
      </c>
      <c r="W696" s="82" t="s">
        <v>439</v>
      </c>
      <c r="X696" s="99" t="s">
        <v>1975</v>
      </c>
      <c r="Y696" s="81">
        <v>43131</v>
      </c>
      <c r="Z696" s="83">
        <v>54686940</v>
      </c>
      <c r="AA696" s="84" t="s">
        <v>1742</v>
      </c>
      <c r="AB696" s="85">
        <v>612</v>
      </c>
      <c r="AC696" s="81">
        <v>43132</v>
      </c>
      <c r="AD696" s="86">
        <v>54686940</v>
      </c>
      <c r="AE696" s="87">
        <f t="shared" si="71"/>
        <v>0</v>
      </c>
      <c r="AF696" s="85">
        <v>1340</v>
      </c>
      <c r="AG696" s="81">
        <v>43144</v>
      </c>
      <c r="AH696" s="86">
        <v>54686940</v>
      </c>
      <c r="AI696" s="63" t="s">
        <v>1976</v>
      </c>
      <c r="AJ696" s="63">
        <v>1097</v>
      </c>
      <c r="AK696" s="87">
        <f t="shared" si="73"/>
        <v>0</v>
      </c>
      <c r="AL696" s="86">
        <v>54686940</v>
      </c>
      <c r="AM696" s="86">
        <f t="shared" si="74"/>
        <v>0</v>
      </c>
      <c r="AN696" s="63" t="s">
        <v>1155</v>
      </c>
      <c r="AO696" s="86">
        <f t="shared" si="75"/>
        <v>0</v>
      </c>
      <c r="AP696" s="63"/>
      <c r="AQ696" s="63"/>
      <c r="AR696" s="63"/>
      <c r="AS696" s="63"/>
      <c r="AT696" s="63"/>
      <c r="AU696" s="220"/>
      <c r="AV696" s="220"/>
      <c r="AW696" s="220"/>
    </row>
    <row r="697" spans="1:49" s="221" customFormat="1" ht="342" x14ac:dyDescent="0.25">
      <c r="A697" s="63">
        <v>283</v>
      </c>
      <c r="B697" s="63" t="str">
        <f t="shared" si="72"/>
        <v>3075-283</v>
      </c>
      <c r="C697" s="76" t="s">
        <v>1141</v>
      </c>
      <c r="D697" s="76" t="s">
        <v>1142</v>
      </c>
      <c r="E697" s="76" t="s">
        <v>1424</v>
      </c>
      <c r="F697" s="76" t="s">
        <v>1175</v>
      </c>
      <c r="G697" s="77" t="s">
        <v>1176</v>
      </c>
      <c r="H697" s="78" t="s">
        <v>1425</v>
      </c>
      <c r="I697" s="76" t="s">
        <v>1147</v>
      </c>
      <c r="J697" s="76" t="s">
        <v>1148</v>
      </c>
      <c r="K697" s="76" t="s">
        <v>439</v>
      </c>
      <c r="L697" s="63" t="s">
        <v>1149</v>
      </c>
      <c r="M697" s="63" t="s">
        <v>58</v>
      </c>
      <c r="N697" s="63" t="s">
        <v>59</v>
      </c>
      <c r="O697" s="76" t="s">
        <v>1213</v>
      </c>
      <c r="P697" s="63" t="s">
        <v>1977</v>
      </c>
      <c r="Q697" s="83">
        <v>54686940</v>
      </c>
      <c r="R697" s="98">
        <v>1</v>
      </c>
      <c r="S697" s="80">
        <v>54686940</v>
      </c>
      <c r="T697" s="63" t="s">
        <v>1171</v>
      </c>
      <c r="U697" s="63" t="s">
        <v>1171</v>
      </c>
      <c r="V697" s="81" t="s">
        <v>493</v>
      </c>
      <c r="W697" s="82" t="s">
        <v>439</v>
      </c>
      <c r="X697" s="99" t="s">
        <v>1978</v>
      </c>
      <c r="Y697" s="81">
        <v>43131</v>
      </c>
      <c r="Z697" s="83">
        <v>54686940</v>
      </c>
      <c r="AA697" s="84" t="s">
        <v>1742</v>
      </c>
      <c r="AB697" s="85">
        <v>615</v>
      </c>
      <c r="AC697" s="81">
        <v>43132</v>
      </c>
      <c r="AD697" s="86">
        <v>54686940</v>
      </c>
      <c r="AE697" s="87">
        <f t="shared" si="71"/>
        <v>0</v>
      </c>
      <c r="AF697" s="85">
        <v>1343</v>
      </c>
      <c r="AG697" s="81">
        <v>43144</v>
      </c>
      <c r="AH697" s="86">
        <v>54686940</v>
      </c>
      <c r="AI697" s="63" t="s">
        <v>1979</v>
      </c>
      <c r="AJ697" s="63">
        <v>1100</v>
      </c>
      <c r="AK697" s="87">
        <f t="shared" si="73"/>
        <v>0</v>
      </c>
      <c r="AL697" s="86">
        <v>54686940</v>
      </c>
      <c r="AM697" s="86">
        <f t="shared" si="74"/>
        <v>0</v>
      </c>
      <c r="AN697" s="63" t="s">
        <v>1155</v>
      </c>
      <c r="AO697" s="86">
        <f t="shared" si="75"/>
        <v>0</v>
      </c>
      <c r="AP697" s="63"/>
      <c r="AQ697" s="63"/>
      <c r="AR697" s="63"/>
      <c r="AS697" s="63"/>
      <c r="AT697" s="63"/>
      <c r="AU697" s="220"/>
      <c r="AV697" s="220"/>
      <c r="AW697" s="220"/>
    </row>
    <row r="698" spans="1:49" s="221" customFormat="1" ht="342" x14ac:dyDescent="0.25">
      <c r="A698" s="63">
        <v>284</v>
      </c>
      <c r="B698" s="63" t="str">
        <f t="shared" si="72"/>
        <v>3075-284</v>
      </c>
      <c r="C698" s="76" t="s">
        <v>1141</v>
      </c>
      <c r="D698" s="76" t="s">
        <v>1142</v>
      </c>
      <c r="E698" s="76" t="s">
        <v>1424</v>
      </c>
      <c r="F698" s="76" t="s">
        <v>1175</v>
      </c>
      <c r="G698" s="77" t="s">
        <v>1176</v>
      </c>
      <c r="H698" s="78" t="s">
        <v>1425</v>
      </c>
      <c r="I698" s="76" t="s">
        <v>1147</v>
      </c>
      <c r="J698" s="76" t="s">
        <v>1148</v>
      </c>
      <c r="K698" s="76" t="s">
        <v>439</v>
      </c>
      <c r="L698" s="63" t="s">
        <v>1149</v>
      </c>
      <c r="M698" s="63" t="s">
        <v>58</v>
      </c>
      <c r="N698" s="63" t="s">
        <v>59</v>
      </c>
      <c r="O698" s="76" t="s">
        <v>1213</v>
      </c>
      <c r="P698" s="63" t="s">
        <v>1980</v>
      </c>
      <c r="Q698" s="83">
        <v>54686940</v>
      </c>
      <c r="R698" s="98">
        <v>1</v>
      </c>
      <c r="S698" s="80">
        <v>54686940</v>
      </c>
      <c r="T698" s="63" t="s">
        <v>1171</v>
      </c>
      <c r="U698" s="63" t="s">
        <v>1171</v>
      </c>
      <c r="V698" s="81" t="s">
        <v>493</v>
      </c>
      <c r="W698" s="82" t="s">
        <v>439</v>
      </c>
      <c r="X698" s="99" t="s">
        <v>1981</v>
      </c>
      <c r="Y698" s="81">
        <v>43131</v>
      </c>
      <c r="Z698" s="83">
        <v>54686940</v>
      </c>
      <c r="AA698" s="84" t="s">
        <v>1742</v>
      </c>
      <c r="AB698" s="85">
        <v>617</v>
      </c>
      <c r="AC698" s="81">
        <v>43132</v>
      </c>
      <c r="AD698" s="86">
        <v>54686940</v>
      </c>
      <c r="AE698" s="87">
        <f t="shared" si="71"/>
        <v>0</v>
      </c>
      <c r="AF698" s="85">
        <v>1365</v>
      </c>
      <c r="AG698" s="81">
        <v>43147</v>
      </c>
      <c r="AH698" s="86">
        <v>54686940</v>
      </c>
      <c r="AI698" s="63" t="s">
        <v>1982</v>
      </c>
      <c r="AJ698" s="63">
        <v>1277</v>
      </c>
      <c r="AK698" s="87">
        <f t="shared" si="73"/>
        <v>0</v>
      </c>
      <c r="AL698" s="86">
        <v>54686940</v>
      </c>
      <c r="AM698" s="86">
        <f t="shared" si="74"/>
        <v>0</v>
      </c>
      <c r="AN698" s="63" t="s">
        <v>1155</v>
      </c>
      <c r="AO698" s="86">
        <f t="shared" si="75"/>
        <v>0</v>
      </c>
      <c r="AP698" s="63"/>
      <c r="AQ698" s="63"/>
      <c r="AR698" s="63"/>
      <c r="AS698" s="63"/>
      <c r="AT698" s="63"/>
      <c r="AU698" s="220"/>
      <c r="AV698" s="220"/>
      <c r="AW698" s="220"/>
    </row>
    <row r="699" spans="1:49" s="221" customFormat="1" ht="342" x14ac:dyDescent="0.25">
      <c r="A699" s="63">
        <v>285</v>
      </c>
      <c r="B699" s="63" t="str">
        <f t="shared" si="72"/>
        <v>3075-285</v>
      </c>
      <c r="C699" s="76" t="s">
        <v>1141</v>
      </c>
      <c r="D699" s="76" t="s">
        <v>1142</v>
      </c>
      <c r="E699" s="76" t="s">
        <v>1424</v>
      </c>
      <c r="F699" s="76" t="s">
        <v>1175</v>
      </c>
      <c r="G699" s="77" t="s">
        <v>1176</v>
      </c>
      <c r="H699" s="78" t="s">
        <v>1425</v>
      </c>
      <c r="I699" s="76" t="s">
        <v>1147</v>
      </c>
      <c r="J699" s="76" t="s">
        <v>1148</v>
      </c>
      <c r="K699" s="76" t="s">
        <v>439</v>
      </c>
      <c r="L699" s="63" t="s">
        <v>1149</v>
      </c>
      <c r="M699" s="63" t="s">
        <v>58</v>
      </c>
      <c r="N699" s="63" t="s">
        <v>59</v>
      </c>
      <c r="O699" s="76" t="s">
        <v>1213</v>
      </c>
      <c r="P699" s="63" t="s">
        <v>1983</v>
      </c>
      <c r="Q699" s="83">
        <v>54686940</v>
      </c>
      <c r="R699" s="98">
        <v>1</v>
      </c>
      <c r="S699" s="80">
        <v>54686940</v>
      </c>
      <c r="T699" s="63" t="s">
        <v>1171</v>
      </c>
      <c r="U699" s="63" t="s">
        <v>1171</v>
      </c>
      <c r="V699" s="81" t="s">
        <v>411</v>
      </c>
      <c r="W699" s="82" t="s">
        <v>439</v>
      </c>
      <c r="X699" s="99" t="s">
        <v>1984</v>
      </c>
      <c r="Y699" s="81">
        <v>43131</v>
      </c>
      <c r="Z699" s="83">
        <v>54686940</v>
      </c>
      <c r="AA699" s="84" t="s">
        <v>1742</v>
      </c>
      <c r="AB699" s="85">
        <v>618</v>
      </c>
      <c r="AC699" s="81">
        <v>43132</v>
      </c>
      <c r="AD699" s="86">
        <v>54686940</v>
      </c>
      <c r="AE699" s="87">
        <f t="shared" si="71"/>
        <v>0</v>
      </c>
      <c r="AF699" s="85">
        <v>1663</v>
      </c>
      <c r="AG699" s="81">
        <v>43192</v>
      </c>
      <c r="AH699" s="86">
        <v>54686940</v>
      </c>
      <c r="AI699" s="63" t="s">
        <v>1985</v>
      </c>
      <c r="AJ699" s="63">
        <v>1628</v>
      </c>
      <c r="AK699" s="87">
        <f t="shared" si="73"/>
        <v>0</v>
      </c>
      <c r="AL699" s="86">
        <v>54686940</v>
      </c>
      <c r="AM699" s="86">
        <f t="shared" si="74"/>
        <v>0</v>
      </c>
      <c r="AN699" s="63" t="s">
        <v>1155</v>
      </c>
      <c r="AO699" s="86">
        <f t="shared" si="75"/>
        <v>0</v>
      </c>
      <c r="AP699" s="63"/>
      <c r="AQ699" s="63"/>
      <c r="AR699" s="63"/>
      <c r="AS699" s="63"/>
      <c r="AT699" s="63"/>
      <c r="AU699" s="220"/>
      <c r="AV699" s="220"/>
      <c r="AW699" s="220"/>
    </row>
    <row r="700" spans="1:49" s="221" customFormat="1" ht="342" x14ac:dyDescent="0.25">
      <c r="A700" s="63">
        <v>286</v>
      </c>
      <c r="B700" s="63" t="str">
        <f t="shared" si="72"/>
        <v>3075-286</v>
      </c>
      <c r="C700" s="76" t="s">
        <v>1141</v>
      </c>
      <c r="D700" s="76" t="s">
        <v>1142</v>
      </c>
      <c r="E700" s="76" t="s">
        <v>1424</v>
      </c>
      <c r="F700" s="76" t="s">
        <v>1175</v>
      </c>
      <c r="G700" s="77" t="s">
        <v>1176</v>
      </c>
      <c r="H700" s="78" t="s">
        <v>1425</v>
      </c>
      <c r="I700" s="76" t="s">
        <v>1147</v>
      </c>
      <c r="J700" s="76" t="s">
        <v>1148</v>
      </c>
      <c r="K700" s="76" t="s">
        <v>439</v>
      </c>
      <c r="L700" s="63" t="s">
        <v>1149</v>
      </c>
      <c r="M700" s="63" t="s">
        <v>58</v>
      </c>
      <c r="N700" s="63" t="s">
        <v>59</v>
      </c>
      <c r="O700" s="76" t="s">
        <v>1213</v>
      </c>
      <c r="P700" s="63" t="s">
        <v>1986</v>
      </c>
      <c r="Q700" s="83">
        <v>54686940</v>
      </c>
      <c r="R700" s="98">
        <v>1</v>
      </c>
      <c r="S700" s="80">
        <v>54686940</v>
      </c>
      <c r="T700" s="63" t="s">
        <v>1171</v>
      </c>
      <c r="U700" s="63" t="s">
        <v>1171</v>
      </c>
      <c r="V700" s="81" t="s">
        <v>493</v>
      </c>
      <c r="W700" s="82" t="s">
        <v>439</v>
      </c>
      <c r="X700" s="99" t="s">
        <v>1987</v>
      </c>
      <c r="Y700" s="81">
        <v>43131</v>
      </c>
      <c r="Z700" s="83">
        <v>54686940</v>
      </c>
      <c r="AA700" s="84" t="s">
        <v>1742</v>
      </c>
      <c r="AB700" s="85">
        <v>620</v>
      </c>
      <c r="AC700" s="81">
        <v>43132</v>
      </c>
      <c r="AD700" s="86">
        <v>54686940</v>
      </c>
      <c r="AE700" s="87">
        <f t="shared" si="71"/>
        <v>0</v>
      </c>
      <c r="AF700" s="85">
        <v>1017</v>
      </c>
      <c r="AG700" s="81">
        <v>43140</v>
      </c>
      <c r="AH700" s="86">
        <v>54686940</v>
      </c>
      <c r="AI700" s="63" t="s">
        <v>1988</v>
      </c>
      <c r="AJ700" s="63">
        <v>766</v>
      </c>
      <c r="AK700" s="87">
        <f t="shared" si="73"/>
        <v>0</v>
      </c>
      <c r="AL700" s="86">
        <v>54686940</v>
      </c>
      <c r="AM700" s="86">
        <f t="shared" si="74"/>
        <v>0</v>
      </c>
      <c r="AN700" s="63" t="s">
        <v>1155</v>
      </c>
      <c r="AO700" s="86">
        <f t="shared" si="75"/>
        <v>0</v>
      </c>
      <c r="AP700" s="63"/>
      <c r="AQ700" s="63"/>
      <c r="AR700" s="63"/>
      <c r="AS700" s="63"/>
      <c r="AT700" s="63"/>
      <c r="AU700" s="220"/>
      <c r="AV700" s="220"/>
      <c r="AW700" s="220"/>
    </row>
    <row r="701" spans="1:49" s="221" customFormat="1" ht="342" x14ac:dyDescent="0.25">
      <c r="A701" s="63">
        <v>287</v>
      </c>
      <c r="B701" s="63" t="str">
        <f t="shared" si="72"/>
        <v>3075-287</v>
      </c>
      <c r="C701" s="76" t="s">
        <v>1141</v>
      </c>
      <c r="D701" s="76" t="s">
        <v>1142</v>
      </c>
      <c r="E701" s="76" t="s">
        <v>1424</v>
      </c>
      <c r="F701" s="76" t="s">
        <v>1175</v>
      </c>
      <c r="G701" s="77" t="s">
        <v>1176</v>
      </c>
      <c r="H701" s="78" t="s">
        <v>1425</v>
      </c>
      <c r="I701" s="76" t="s">
        <v>1147</v>
      </c>
      <c r="J701" s="76" t="s">
        <v>1148</v>
      </c>
      <c r="K701" s="76" t="s">
        <v>439</v>
      </c>
      <c r="L701" s="63" t="s">
        <v>1149</v>
      </c>
      <c r="M701" s="63" t="s">
        <v>58</v>
      </c>
      <c r="N701" s="63" t="s">
        <v>59</v>
      </c>
      <c r="O701" s="76" t="s">
        <v>1213</v>
      </c>
      <c r="P701" s="63" t="s">
        <v>1989</v>
      </c>
      <c r="Q701" s="83">
        <v>54686940</v>
      </c>
      <c r="R701" s="98">
        <v>1</v>
      </c>
      <c r="S701" s="80">
        <v>54686940</v>
      </c>
      <c r="T701" s="63" t="s">
        <v>1171</v>
      </c>
      <c r="U701" s="63" t="s">
        <v>1171</v>
      </c>
      <c r="V701" s="81" t="s">
        <v>493</v>
      </c>
      <c r="W701" s="82" t="s">
        <v>439</v>
      </c>
      <c r="X701" s="99" t="s">
        <v>1990</v>
      </c>
      <c r="Y701" s="81">
        <v>43131</v>
      </c>
      <c r="Z701" s="83">
        <v>54686940</v>
      </c>
      <c r="AA701" s="84" t="s">
        <v>1742</v>
      </c>
      <c r="AB701" s="85">
        <v>623</v>
      </c>
      <c r="AC701" s="81">
        <v>43132</v>
      </c>
      <c r="AD701" s="86">
        <v>54686940</v>
      </c>
      <c r="AE701" s="87">
        <f t="shared" si="71"/>
        <v>0</v>
      </c>
      <c r="AF701" s="85">
        <v>1370</v>
      </c>
      <c r="AG701" s="81">
        <v>43147</v>
      </c>
      <c r="AH701" s="86">
        <v>54686940</v>
      </c>
      <c r="AI701" s="63" t="s">
        <v>1991</v>
      </c>
      <c r="AJ701" s="63">
        <v>1270</v>
      </c>
      <c r="AK701" s="87">
        <f t="shared" si="73"/>
        <v>0</v>
      </c>
      <c r="AL701" s="86">
        <v>54686940</v>
      </c>
      <c r="AM701" s="86">
        <f t="shared" si="74"/>
        <v>0</v>
      </c>
      <c r="AN701" s="63" t="s">
        <v>1155</v>
      </c>
      <c r="AO701" s="86">
        <f t="shared" si="75"/>
        <v>0</v>
      </c>
      <c r="AP701" s="63"/>
      <c r="AQ701" s="63"/>
      <c r="AR701" s="63"/>
      <c r="AS701" s="63"/>
      <c r="AT701" s="63"/>
      <c r="AU701" s="220"/>
      <c r="AV701" s="220"/>
      <c r="AW701" s="220"/>
    </row>
    <row r="702" spans="1:49" s="221" customFormat="1" ht="342" x14ac:dyDescent="0.25">
      <c r="A702" s="63">
        <v>288</v>
      </c>
      <c r="B702" s="63" t="str">
        <f t="shared" si="72"/>
        <v>3075-288</v>
      </c>
      <c r="C702" s="76" t="s">
        <v>1141</v>
      </c>
      <c r="D702" s="76" t="s">
        <v>1142</v>
      </c>
      <c r="E702" s="76" t="s">
        <v>1424</v>
      </c>
      <c r="F702" s="76" t="s">
        <v>1175</v>
      </c>
      <c r="G702" s="77" t="s">
        <v>1176</v>
      </c>
      <c r="H702" s="78" t="s">
        <v>1425</v>
      </c>
      <c r="I702" s="76" t="s">
        <v>1147</v>
      </c>
      <c r="J702" s="76" t="s">
        <v>1148</v>
      </c>
      <c r="K702" s="76" t="s">
        <v>439</v>
      </c>
      <c r="L702" s="63" t="s">
        <v>1149</v>
      </c>
      <c r="M702" s="63" t="s">
        <v>58</v>
      </c>
      <c r="N702" s="63" t="s">
        <v>59</v>
      </c>
      <c r="O702" s="76" t="s">
        <v>1213</v>
      </c>
      <c r="P702" s="63" t="s">
        <v>1992</v>
      </c>
      <c r="Q702" s="83">
        <v>54686940</v>
      </c>
      <c r="R702" s="98">
        <v>1</v>
      </c>
      <c r="S702" s="80">
        <v>54686940</v>
      </c>
      <c r="T702" s="63" t="s">
        <v>1171</v>
      </c>
      <c r="U702" s="63" t="s">
        <v>1171</v>
      </c>
      <c r="V702" s="81" t="s">
        <v>493</v>
      </c>
      <c r="W702" s="82" t="s">
        <v>439</v>
      </c>
      <c r="X702" s="99" t="s">
        <v>1993</v>
      </c>
      <c r="Y702" s="81">
        <v>43131</v>
      </c>
      <c r="Z702" s="83">
        <v>54686940</v>
      </c>
      <c r="AA702" s="84" t="s">
        <v>1742</v>
      </c>
      <c r="AB702" s="85">
        <v>625</v>
      </c>
      <c r="AC702" s="81">
        <v>43132</v>
      </c>
      <c r="AD702" s="86">
        <v>54686940</v>
      </c>
      <c r="AE702" s="87">
        <f t="shared" si="71"/>
        <v>0</v>
      </c>
      <c r="AF702" s="85">
        <v>1339</v>
      </c>
      <c r="AG702" s="81">
        <v>43144</v>
      </c>
      <c r="AH702" s="86">
        <v>54686940</v>
      </c>
      <c r="AI702" s="63" t="s">
        <v>1994</v>
      </c>
      <c r="AJ702" s="63">
        <v>1105</v>
      </c>
      <c r="AK702" s="87">
        <f t="shared" si="73"/>
        <v>0</v>
      </c>
      <c r="AL702" s="86">
        <v>54686940</v>
      </c>
      <c r="AM702" s="86">
        <f t="shared" si="74"/>
        <v>0</v>
      </c>
      <c r="AN702" s="63" t="s">
        <v>1155</v>
      </c>
      <c r="AO702" s="86">
        <f t="shared" si="75"/>
        <v>0</v>
      </c>
      <c r="AP702" s="63"/>
      <c r="AQ702" s="63"/>
      <c r="AR702" s="63"/>
      <c r="AS702" s="63"/>
      <c r="AT702" s="63"/>
      <c r="AU702" s="220"/>
      <c r="AV702" s="220"/>
      <c r="AW702" s="220"/>
    </row>
    <row r="703" spans="1:49" s="221" customFormat="1" ht="342" x14ac:dyDescent="0.25">
      <c r="A703" s="63">
        <v>289</v>
      </c>
      <c r="B703" s="63" t="str">
        <f t="shared" si="72"/>
        <v>3075-289</v>
      </c>
      <c r="C703" s="76" t="s">
        <v>1141</v>
      </c>
      <c r="D703" s="76" t="s">
        <v>1142</v>
      </c>
      <c r="E703" s="76" t="s">
        <v>1424</v>
      </c>
      <c r="F703" s="76" t="s">
        <v>1175</v>
      </c>
      <c r="G703" s="77" t="s">
        <v>1176</v>
      </c>
      <c r="H703" s="78" t="s">
        <v>1425</v>
      </c>
      <c r="I703" s="76" t="s">
        <v>1147</v>
      </c>
      <c r="J703" s="76" t="s">
        <v>1148</v>
      </c>
      <c r="K703" s="76" t="s">
        <v>439</v>
      </c>
      <c r="L703" s="63" t="s">
        <v>1149</v>
      </c>
      <c r="M703" s="63" t="s">
        <v>58</v>
      </c>
      <c r="N703" s="63" t="s">
        <v>59</v>
      </c>
      <c r="O703" s="76" t="s">
        <v>1213</v>
      </c>
      <c r="P703" s="63" t="s">
        <v>1995</v>
      </c>
      <c r="Q703" s="83">
        <v>54686940</v>
      </c>
      <c r="R703" s="98">
        <v>1</v>
      </c>
      <c r="S703" s="80">
        <v>54686940</v>
      </c>
      <c r="T703" s="63" t="s">
        <v>1171</v>
      </c>
      <c r="U703" s="63" t="s">
        <v>1171</v>
      </c>
      <c r="V703" s="81" t="s">
        <v>493</v>
      </c>
      <c r="W703" s="82" t="s">
        <v>439</v>
      </c>
      <c r="X703" s="99" t="s">
        <v>1996</v>
      </c>
      <c r="Y703" s="81">
        <v>43131</v>
      </c>
      <c r="Z703" s="83">
        <v>54686940</v>
      </c>
      <c r="AA703" s="84" t="s">
        <v>1742</v>
      </c>
      <c r="AB703" s="85">
        <v>596</v>
      </c>
      <c r="AC703" s="81">
        <v>43132</v>
      </c>
      <c r="AD703" s="86">
        <v>54686940</v>
      </c>
      <c r="AE703" s="87">
        <f t="shared" si="71"/>
        <v>0</v>
      </c>
      <c r="AF703" s="85">
        <v>1337</v>
      </c>
      <c r="AG703" s="81">
        <v>43144</v>
      </c>
      <c r="AH703" s="86">
        <v>54686940</v>
      </c>
      <c r="AI703" s="63" t="s">
        <v>1997</v>
      </c>
      <c r="AJ703" s="63">
        <v>1101</v>
      </c>
      <c r="AK703" s="87">
        <f t="shared" si="73"/>
        <v>0</v>
      </c>
      <c r="AL703" s="86">
        <v>54686940</v>
      </c>
      <c r="AM703" s="86">
        <f t="shared" si="74"/>
        <v>0</v>
      </c>
      <c r="AN703" s="63" t="s">
        <v>1155</v>
      </c>
      <c r="AO703" s="86">
        <f t="shared" si="75"/>
        <v>0</v>
      </c>
      <c r="AP703" s="63"/>
      <c r="AQ703" s="63"/>
      <c r="AR703" s="63"/>
      <c r="AS703" s="63"/>
      <c r="AT703" s="63"/>
      <c r="AU703" s="220"/>
      <c r="AV703" s="220"/>
      <c r="AW703" s="220"/>
    </row>
    <row r="704" spans="1:49" s="221" customFormat="1" ht="342" x14ac:dyDescent="0.25">
      <c r="A704" s="63">
        <v>290</v>
      </c>
      <c r="B704" s="63" t="str">
        <f t="shared" si="72"/>
        <v>3075-290</v>
      </c>
      <c r="C704" s="76" t="s">
        <v>1141</v>
      </c>
      <c r="D704" s="76" t="s">
        <v>1142</v>
      </c>
      <c r="E704" s="76" t="s">
        <v>1424</v>
      </c>
      <c r="F704" s="76" t="s">
        <v>1175</v>
      </c>
      <c r="G704" s="77" t="s">
        <v>1176</v>
      </c>
      <c r="H704" s="78" t="s">
        <v>1425</v>
      </c>
      <c r="I704" s="76" t="s">
        <v>1147</v>
      </c>
      <c r="J704" s="76" t="s">
        <v>1148</v>
      </c>
      <c r="K704" s="76" t="s">
        <v>439</v>
      </c>
      <c r="L704" s="63" t="s">
        <v>1149</v>
      </c>
      <c r="M704" s="63" t="s">
        <v>58</v>
      </c>
      <c r="N704" s="63" t="s">
        <v>59</v>
      </c>
      <c r="O704" s="76" t="s">
        <v>1213</v>
      </c>
      <c r="P704" s="63" t="s">
        <v>1998</v>
      </c>
      <c r="Q704" s="83">
        <v>54686940</v>
      </c>
      <c r="R704" s="98">
        <v>1</v>
      </c>
      <c r="S704" s="80">
        <v>54686940</v>
      </c>
      <c r="T704" s="63" t="s">
        <v>1171</v>
      </c>
      <c r="U704" s="63" t="s">
        <v>1171</v>
      </c>
      <c r="V704" s="81" t="s">
        <v>493</v>
      </c>
      <c r="W704" s="82" t="s">
        <v>439</v>
      </c>
      <c r="X704" s="99" t="s">
        <v>1999</v>
      </c>
      <c r="Y704" s="81">
        <v>43131</v>
      </c>
      <c r="Z704" s="83">
        <v>54686940</v>
      </c>
      <c r="AA704" s="84" t="s">
        <v>1742</v>
      </c>
      <c r="AB704" s="85">
        <v>597</v>
      </c>
      <c r="AC704" s="81">
        <v>43132</v>
      </c>
      <c r="AD704" s="86">
        <v>54686940</v>
      </c>
      <c r="AE704" s="87">
        <f t="shared" si="71"/>
        <v>0</v>
      </c>
      <c r="AF704" s="85">
        <v>1372</v>
      </c>
      <c r="AG704" s="81">
        <v>43147</v>
      </c>
      <c r="AH704" s="86">
        <v>54686940</v>
      </c>
      <c r="AI704" s="63" t="s">
        <v>2000</v>
      </c>
      <c r="AJ704" s="63">
        <v>1271</v>
      </c>
      <c r="AK704" s="87">
        <f t="shared" si="73"/>
        <v>0</v>
      </c>
      <c r="AL704" s="86">
        <v>54686940</v>
      </c>
      <c r="AM704" s="86">
        <f t="shared" si="74"/>
        <v>0</v>
      </c>
      <c r="AN704" s="63" t="s">
        <v>1155</v>
      </c>
      <c r="AO704" s="86">
        <f t="shared" si="75"/>
        <v>0</v>
      </c>
      <c r="AP704" s="63"/>
      <c r="AQ704" s="63"/>
      <c r="AR704" s="63"/>
      <c r="AS704" s="63"/>
      <c r="AT704" s="63"/>
      <c r="AU704" s="220"/>
      <c r="AV704" s="220"/>
      <c r="AW704" s="220"/>
    </row>
    <row r="705" spans="1:49" s="221" customFormat="1" ht="342" x14ac:dyDescent="0.25">
      <c r="A705" s="63">
        <v>291</v>
      </c>
      <c r="B705" s="63" t="str">
        <f t="shared" si="72"/>
        <v>3075-291</v>
      </c>
      <c r="C705" s="76" t="s">
        <v>1141</v>
      </c>
      <c r="D705" s="76" t="s">
        <v>1142</v>
      </c>
      <c r="E705" s="76" t="s">
        <v>1424</v>
      </c>
      <c r="F705" s="76" t="s">
        <v>1175</v>
      </c>
      <c r="G705" s="77" t="s">
        <v>1176</v>
      </c>
      <c r="H705" s="78" t="s">
        <v>1425</v>
      </c>
      <c r="I705" s="76" t="s">
        <v>1147</v>
      </c>
      <c r="J705" s="76" t="s">
        <v>1148</v>
      </c>
      <c r="K705" s="76" t="s">
        <v>439</v>
      </c>
      <c r="L705" s="63" t="s">
        <v>1149</v>
      </c>
      <c r="M705" s="63" t="s">
        <v>58</v>
      </c>
      <c r="N705" s="63" t="s">
        <v>59</v>
      </c>
      <c r="O705" s="76" t="s">
        <v>1213</v>
      </c>
      <c r="P705" s="63" t="s">
        <v>2001</v>
      </c>
      <c r="Q705" s="83">
        <v>54686940</v>
      </c>
      <c r="R705" s="98">
        <v>1</v>
      </c>
      <c r="S705" s="80">
        <v>0</v>
      </c>
      <c r="T705" s="63"/>
      <c r="U705" s="63"/>
      <c r="V705" s="81"/>
      <c r="W705" s="82"/>
      <c r="X705" s="99" t="s">
        <v>2002</v>
      </c>
      <c r="Y705" s="81">
        <v>43131</v>
      </c>
      <c r="Z705" s="83">
        <f>54686940-54686940</f>
        <v>0</v>
      </c>
      <c r="AA705" s="84" t="s">
        <v>1742</v>
      </c>
      <c r="AB705" s="85"/>
      <c r="AC705" s="81"/>
      <c r="AD705" s="86"/>
      <c r="AE705" s="87">
        <v>0</v>
      </c>
      <c r="AF705" s="85"/>
      <c r="AG705" s="81"/>
      <c r="AH705" s="86"/>
      <c r="AI705" s="63"/>
      <c r="AJ705" s="63"/>
      <c r="AK705" s="87">
        <f t="shared" si="73"/>
        <v>0</v>
      </c>
      <c r="AL705" s="86"/>
      <c r="AM705" s="86">
        <f t="shared" si="74"/>
        <v>0</v>
      </c>
      <c r="AN705" s="63" t="s">
        <v>1155</v>
      </c>
      <c r="AO705" s="86">
        <f t="shared" si="75"/>
        <v>0</v>
      </c>
      <c r="AP705" s="63" t="s">
        <v>2003</v>
      </c>
      <c r="AQ705" s="63"/>
      <c r="AR705" s="63" t="s">
        <v>1157</v>
      </c>
      <c r="AS705" s="63"/>
      <c r="AT705" s="63"/>
      <c r="AU705" s="220"/>
      <c r="AV705" s="220"/>
      <c r="AW705" s="220"/>
    </row>
    <row r="706" spans="1:49" s="221" customFormat="1" ht="342" x14ac:dyDescent="0.25">
      <c r="A706" s="63">
        <v>292</v>
      </c>
      <c r="B706" s="63" t="str">
        <f t="shared" si="72"/>
        <v>3075-292</v>
      </c>
      <c r="C706" s="76" t="s">
        <v>1141</v>
      </c>
      <c r="D706" s="76" t="s">
        <v>1142</v>
      </c>
      <c r="E706" s="76" t="s">
        <v>1424</v>
      </c>
      <c r="F706" s="76" t="s">
        <v>1175</v>
      </c>
      <c r="G706" s="77" t="s">
        <v>1176</v>
      </c>
      <c r="H706" s="78" t="s">
        <v>1425</v>
      </c>
      <c r="I706" s="76" t="s">
        <v>1147</v>
      </c>
      <c r="J706" s="76" t="s">
        <v>1148</v>
      </c>
      <c r="K706" s="76" t="s">
        <v>439</v>
      </c>
      <c r="L706" s="63" t="s">
        <v>1149</v>
      </c>
      <c r="M706" s="63" t="s">
        <v>58</v>
      </c>
      <c r="N706" s="63" t="s">
        <v>59</v>
      </c>
      <c r="O706" s="76" t="s">
        <v>1213</v>
      </c>
      <c r="P706" s="63" t="s">
        <v>2004</v>
      </c>
      <c r="Q706" s="83">
        <v>54686940</v>
      </c>
      <c r="R706" s="98">
        <v>1</v>
      </c>
      <c r="S706" s="80">
        <v>54686940</v>
      </c>
      <c r="T706" s="63" t="s">
        <v>1171</v>
      </c>
      <c r="U706" s="63" t="s">
        <v>1171</v>
      </c>
      <c r="V706" s="81" t="s">
        <v>724</v>
      </c>
      <c r="W706" s="82" t="s">
        <v>439</v>
      </c>
      <c r="X706" s="99" t="s">
        <v>2005</v>
      </c>
      <c r="Y706" s="81">
        <v>43131</v>
      </c>
      <c r="Z706" s="83">
        <v>54686940</v>
      </c>
      <c r="AA706" s="84" t="s">
        <v>1742</v>
      </c>
      <c r="AB706" s="85">
        <v>599</v>
      </c>
      <c r="AC706" s="81">
        <v>43132</v>
      </c>
      <c r="AD706" s="86">
        <v>54686940</v>
      </c>
      <c r="AE706" s="87">
        <f t="shared" ref="AE706:AE768" si="76">S706-Z706</f>
        <v>0</v>
      </c>
      <c r="AF706" s="85">
        <v>1485</v>
      </c>
      <c r="AG706" s="81">
        <v>43160</v>
      </c>
      <c r="AH706" s="86">
        <v>54686940</v>
      </c>
      <c r="AI706" s="63" t="s">
        <v>2006</v>
      </c>
      <c r="AJ706" s="63">
        <v>1460</v>
      </c>
      <c r="AK706" s="87">
        <f t="shared" si="73"/>
        <v>0</v>
      </c>
      <c r="AL706" s="86">
        <v>54686940</v>
      </c>
      <c r="AM706" s="86">
        <f t="shared" si="74"/>
        <v>0</v>
      </c>
      <c r="AN706" s="63" t="s">
        <v>1155</v>
      </c>
      <c r="AO706" s="86">
        <f t="shared" si="75"/>
        <v>0</v>
      </c>
      <c r="AP706" s="63"/>
      <c r="AQ706" s="63"/>
      <c r="AR706" s="63"/>
      <c r="AS706" s="63"/>
      <c r="AT706" s="63"/>
      <c r="AU706" s="220"/>
      <c r="AV706" s="220"/>
      <c r="AW706" s="220"/>
    </row>
    <row r="707" spans="1:49" s="221" customFormat="1" ht="342" x14ac:dyDescent="0.25">
      <c r="A707" s="63">
        <v>293</v>
      </c>
      <c r="B707" s="63" t="str">
        <f t="shared" si="72"/>
        <v>3075-293</v>
      </c>
      <c r="C707" s="76" t="s">
        <v>1141</v>
      </c>
      <c r="D707" s="76" t="s">
        <v>1142</v>
      </c>
      <c r="E707" s="76" t="s">
        <v>1424</v>
      </c>
      <c r="F707" s="76" t="s">
        <v>1175</v>
      </c>
      <c r="G707" s="77" t="s">
        <v>1176</v>
      </c>
      <c r="H707" s="78" t="s">
        <v>1425</v>
      </c>
      <c r="I707" s="76" t="s">
        <v>1147</v>
      </c>
      <c r="J707" s="76" t="s">
        <v>1148</v>
      </c>
      <c r="K707" s="76" t="s">
        <v>439</v>
      </c>
      <c r="L707" s="63" t="s">
        <v>1149</v>
      </c>
      <c r="M707" s="63" t="s">
        <v>58</v>
      </c>
      <c r="N707" s="63" t="s">
        <v>59</v>
      </c>
      <c r="O707" s="76" t="s">
        <v>1213</v>
      </c>
      <c r="P707" s="63" t="s">
        <v>2007</v>
      </c>
      <c r="Q707" s="83">
        <v>54686940</v>
      </c>
      <c r="R707" s="98">
        <v>1</v>
      </c>
      <c r="S707" s="80">
        <v>54686940</v>
      </c>
      <c r="T707" s="63" t="s">
        <v>1171</v>
      </c>
      <c r="U707" s="63" t="s">
        <v>1171</v>
      </c>
      <c r="V707" s="81" t="s">
        <v>724</v>
      </c>
      <c r="W707" s="82" t="s">
        <v>439</v>
      </c>
      <c r="X707" s="99" t="s">
        <v>2008</v>
      </c>
      <c r="Y707" s="81">
        <v>43131</v>
      </c>
      <c r="Z707" s="83">
        <v>54686940</v>
      </c>
      <c r="AA707" s="84" t="s">
        <v>1742</v>
      </c>
      <c r="AB707" s="85">
        <v>600</v>
      </c>
      <c r="AC707" s="81">
        <v>43132</v>
      </c>
      <c r="AD707" s="86">
        <v>54686940</v>
      </c>
      <c r="AE707" s="87">
        <f t="shared" si="76"/>
        <v>0</v>
      </c>
      <c r="AF707" s="85">
        <v>1483</v>
      </c>
      <c r="AG707" s="81">
        <v>43160</v>
      </c>
      <c r="AH707" s="86">
        <v>54686940</v>
      </c>
      <c r="AI707" s="63" t="s">
        <v>2009</v>
      </c>
      <c r="AJ707" s="63">
        <v>1461</v>
      </c>
      <c r="AK707" s="87">
        <f t="shared" si="73"/>
        <v>0</v>
      </c>
      <c r="AL707" s="86">
        <v>54686940</v>
      </c>
      <c r="AM707" s="86">
        <f t="shared" si="74"/>
        <v>0</v>
      </c>
      <c r="AN707" s="63" t="s">
        <v>1155</v>
      </c>
      <c r="AO707" s="86">
        <f t="shared" si="75"/>
        <v>0</v>
      </c>
      <c r="AP707" s="63"/>
      <c r="AQ707" s="63"/>
      <c r="AR707" s="63"/>
      <c r="AS707" s="63"/>
      <c r="AT707" s="63"/>
      <c r="AU707" s="220"/>
      <c r="AV707" s="220"/>
      <c r="AW707" s="220"/>
    </row>
    <row r="708" spans="1:49" s="221" customFormat="1" ht="156.75" x14ac:dyDescent="0.25">
      <c r="A708" s="63">
        <v>294</v>
      </c>
      <c r="B708" s="63" t="str">
        <f t="shared" si="72"/>
        <v>3075-294</v>
      </c>
      <c r="C708" s="76" t="s">
        <v>1141</v>
      </c>
      <c r="D708" s="76" t="s">
        <v>1142</v>
      </c>
      <c r="E708" s="76" t="s">
        <v>1165</v>
      </c>
      <c r="F708" s="76" t="s">
        <v>1166</v>
      </c>
      <c r="G708" s="77" t="s">
        <v>1167</v>
      </c>
      <c r="H708" s="78" t="s">
        <v>1168</v>
      </c>
      <c r="I708" s="76" t="s">
        <v>1147</v>
      </c>
      <c r="J708" s="76" t="s">
        <v>1148</v>
      </c>
      <c r="K708" s="76" t="s">
        <v>439</v>
      </c>
      <c r="L708" s="63" t="s">
        <v>1149</v>
      </c>
      <c r="M708" s="63" t="s">
        <v>58</v>
      </c>
      <c r="N708" s="63" t="s">
        <v>59</v>
      </c>
      <c r="O708" s="76" t="s">
        <v>1169</v>
      </c>
      <c r="P708" s="63" t="s">
        <v>2010</v>
      </c>
      <c r="Q708" s="79">
        <v>22950000</v>
      </c>
      <c r="R708" s="63">
        <v>1</v>
      </c>
      <c r="S708" s="80">
        <v>22950000</v>
      </c>
      <c r="T708" s="63" t="s">
        <v>1171</v>
      </c>
      <c r="U708" s="63" t="s">
        <v>1171</v>
      </c>
      <c r="V708" s="81" t="s">
        <v>411</v>
      </c>
      <c r="W708" s="82" t="s">
        <v>439</v>
      </c>
      <c r="X708" s="99" t="s">
        <v>2011</v>
      </c>
      <c r="Y708" s="81">
        <v>43131</v>
      </c>
      <c r="Z708" s="83">
        <v>22950000</v>
      </c>
      <c r="AA708" s="84" t="s">
        <v>1782</v>
      </c>
      <c r="AB708" s="85">
        <v>602</v>
      </c>
      <c r="AC708" s="81">
        <v>43132</v>
      </c>
      <c r="AD708" s="86">
        <v>22950000</v>
      </c>
      <c r="AE708" s="87">
        <f t="shared" si="76"/>
        <v>0</v>
      </c>
      <c r="AF708" s="85">
        <v>1781</v>
      </c>
      <c r="AG708" s="81">
        <v>43202</v>
      </c>
      <c r="AH708" s="86">
        <v>22950000</v>
      </c>
      <c r="AI708" s="63" t="s">
        <v>2012</v>
      </c>
      <c r="AJ708" s="63">
        <v>1856</v>
      </c>
      <c r="AK708" s="87">
        <f t="shared" si="73"/>
        <v>0</v>
      </c>
      <c r="AL708" s="86">
        <v>0</v>
      </c>
      <c r="AM708" s="86">
        <f t="shared" si="74"/>
        <v>22950000</v>
      </c>
      <c r="AN708" s="63" t="s">
        <v>1155</v>
      </c>
      <c r="AO708" s="86">
        <f t="shared" si="75"/>
        <v>0</v>
      </c>
      <c r="AP708" s="63"/>
      <c r="AQ708" s="63"/>
      <c r="AR708" s="63"/>
      <c r="AS708" s="63"/>
      <c r="AT708" s="63"/>
      <c r="AU708" s="220"/>
      <c r="AV708" s="220"/>
      <c r="AW708" s="220"/>
    </row>
    <row r="709" spans="1:49" s="221" customFormat="1" ht="128.25" x14ac:dyDescent="0.25">
      <c r="A709" s="63">
        <v>295</v>
      </c>
      <c r="B709" s="63" t="str">
        <f t="shared" si="72"/>
        <v>3075-295</v>
      </c>
      <c r="C709" s="76" t="s">
        <v>1141</v>
      </c>
      <c r="D709" s="76" t="s">
        <v>1142</v>
      </c>
      <c r="E709" s="76" t="s">
        <v>1165</v>
      </c>
      <c r="F709" s="76" t="s">
        <v>1166</v>
      </c>
      <c r="G709" s="77" t="s">
        <v>1167</v>
      </c>
      <c r="H709" s="78" t="s">
        <v>1168</v>
      </c>
      <c r="I709" s="76" t="s">
        <v>1147</v>
      </c>
      <c r="J709" s="76" t="s">
        <v>1148</v>
      </c>
      <c r="K709" s="76" t="s">
        <v>439</v>
      </c>
      <c r="L709" s="63" t="s">
        <v>1149</v>
      </c>
      <c r="M709" s="63" t="s">
        <v>58</v>
      </c>
      <c r="N709" s="63" t="s">
        <v>59</v>
      </c>
      <c r="O709" s="76" t="s">
        <v>1169</v>
      </c>
      <c r="P709" s="63" t="s">
        <v>2013</v>
      </c>
      <c r="Q709" s="79">
        <v>59034400</v>
      </c>
      <c r="R709" s="63">
        <v>1</v>
      </c>
      <c r="S709" s="80">
        <v>59034400</v>
      </c>
      <c r="T709" s="63" t="s">
        <v>1171</v>
      </c>
      <c r="U709" s="63" t="s">
        <v>1171</v>
      </c>
      <c r="V709" s="81" t="s">
        <v>1208</v>
      </c>
      <c r="W709" s="82" t="s">
        <v>439</v>
      </c>
      <c r="X709" s="99" t="s">
        <v>2014</v>
      </c>
      <c r="Y709" s="81">
        <v>43131</v>
      </c>
      <c r="Z709" s="83">
        <v>59034400</v>
      </c>
      <c r="AA709" s="84" t="s">
        <v>1782</v>
      </c>
      <c r="AB709" s="85">
        <v>604</v>
      </c>
      <c r="AC709" s="81">
        <v>43132</v>
      </c>
      <c r="AD709" s="86">
        <v>59034400</v>
      </c>
      <c r="AE709" s="87">
        <f t="shared" si="76"/>
        <v>0</v>
      </c>
      <c r="AF709" s="85">
        <v>1993</v>
      </c>
      <c r="AG709" s="81">
        <v>43256</v>
      </c>
      <c r="AH709" s="86">
        <v>59034400</v>
      </c>
      <c r="AI709" s="63" t="s">
        <v>2015</v>
      </c>
      <c r="AJ709" s="63">
        <v>2191</v>
      </c>
      <c r="AK709" s="87">
        <f t="shared" si="73"/>
        <v>0</v>
      </c>
      <c r="AL709" s="86">
        <v>59034400</v>
      </c>
      <c r="AM709" s="86">
        <f t="shared" si="74"/>
        <v>0</v>
      </c>
      <c r="AN709" s="63" t="s">
        <v>1155</v>
      </c>
      <c r="AO709" s="86">
        <f t="shared" si="75"/>
        <v>0</v>
      </c>
      <c r="AP709" s="63"/>
      <c r="AQ709" s="63"/>
      <c r="AR709" s="63"/>
      <c r="AS709" s="63"/>
      <c r="AT709" s="63"/>
      <c r="AU709" s="220"/>
      <c r="AV709" s="220"/>
      <c r="AW709" s="220"/>
    </row>
    <row r="710" spans="1:49" s="221" customFormat="1" ht="142.5" x14ac:dyDescent="0.25">
      <c r="A710" s="63">
        <v>296</v>
      </c>
      <c r="B710" s="63" t="str">
        <f t="shared" si="72"/>
        <v>3075-296</v>
      </c>
      <c r="C710" s="76" t="s">
        <v>1141</v>
      </c>
      <c r="D710" s="76" t="s">
        <v>1142</v>
      </c>
      <c r="E710" s="76" t="s">
        <v>1165</v>
      </c>
      <c r="F710" s="76" t="s">
        <v>1166</v>
      </c>
      <c r="G710" s="77" t="s">
        <v>1167</v>
      </c>
      <c r="H710" s="78" t="s">
        <v>1168</v>
      </c>
      <c r="I710" s="76" t="s">
        <v>1147</v>
      </c>
      <c r="J710" s="76" t="s">
        <v>1148</v>
      </c>
      <c r="K710" s="76" t="s">
        <v>439</v>
      </c>
      <c r="L710" s="63" t="s">
        <v>1149</v>
      </c>
      <c r="M710" s="63" t="s">
        <v>58</v>
      </c>
      <c r="N710" s="63" t="s">
        <v>59</v>
      </c>
      <c r="O710" s="76" t="s">
        <v>1169</v>
      </c>
      <c r="P710" s="63" t="s">
        <v>2016</v>
      </c>
      <c r="Q710" s="79">
        <v>81785300</v>
      </c>
      <c r="R710" s="63">
        <v>1</v>
      </c>
      <c r="S710" s="80">
        <v>81785300</v>
      </c>
      <c r="T710" s="63" t="s">
        <v>1171</v>
      </c>
      <c r="U710" s="63" t="s">
        <v>1171</v>
      </c>
      <c r="V710" s="81" t="s">
        <v>411</v>
      </c>
      <c r="W710" s="82" t="s">
        <v>439</v>
      </c>
      <c r="X710" s="99" t="s">
        <v>2017</v>
      </c>
      <c r="Y710" s="81">
        <v>43131</v>
      </c>
      <c r="Z710" s="83">
        <v>81785300</v>
      </c>
      <c r="AA710" s="84" t="s">
        <v>1782</v>
      </c>
      <c r="AB710" s="85">
        <v>607</v>
      </c>
      <c r="AC710" s="81">
        <v>43132</v>
      </c>
      <c r="AD710" s="86">
        <v>81785300</v>
      </c>
      <c r="AE710" s="87">
        <f t="shared" si="76"/>
        <v>0</v>
      </c>
      <c r="AF710" s="85">
        <v>1782</v>
      </c>
      <c r="AG710" s="81">
        <v>43202</v>
      </c>
      <c r="AH710" s="86">
        <v>81785300</v>
      </c>
      <c r="AI710" s="63" t="s">
        <v>2018</v>
      </c>
      <c r="AJ710" s="63">
        <v>1857</v>
      </c>
      <c r="AK710" s="87">
        <f t="shared" si="73"/>
        <v>0</v>
      </c>
      <c r="AL710" s="86">
        <v>24535590</v>
      </c>
      <c r="AM710" s="86">
        <f t="shared" si="74"/>
        <v>57249710</v>
      </c>
      <c r="AN710" s="63" t="s">
        <v>1155</v>
      </c>
      <c r="AO710" s="86">
        <f t="shared" si="75"/>
        <v>0</v>
      </c>
      <c r="AP710" s="63"/>
      <c r="AQ710" s="63"/>
      <c r="AR710" s="63"/>
      <c r="AS710" s="63"/>
      <c r="AT710" s="63"/>
      <c r="AU710" s="220"/>
      <c r="AV710" s="220"/>
      <c r="AW710" s="220"/>
    </row>
    <row r="711" spans="1:49" s="221" customFormat="1" ht="142.5" x14ac:dyDescent="0.25">
      <c r="A711" s="63">
        <v>297</v>
      </c>
      <c r="B711" s="63" t="str">
        <f t="shared" si="72"/>
        <v>3075-297</v>
      </c>
      <c r="C711" s="76" t="s">
        <v>1141</v>
      </c>
      <c r="D711" s="76" t="s">
        <v>1142</v>
      </c>
      <c r="E711" s="76" t="s">
        <v>1165</v>
      </c>
      <c r="F711" s="76" t="s">
        <v>1166</v>
      </c>
      <c r="G711" s="77" t="s">
        <v>1167</v>
      </c>
      <c r="H711" s="78" t="s">
        <v>1168</v>
      </c>
      <c r="I711" s="76" t="s">
        <v>1147</v>
      </c>
      <c r="J711" s="76" t="s">
        <v>1148</v>
      </c>
      <c r="K711" s="76" t="s">
        <v>439</v>
      </c>
      <c r="L711" s="63" t="s">
        <v>1149</v>
      </c>
      <c r="M711" s="63" t="s">
        <v>58</v>
      </c>
      <c r="N711" s="63" t="s">
        <v>59</v>
      </c>
      <c r="O711" s="76" t="s">
        <v>1169</v>
      </c>
      <c r="P711" s="63" t="s">
        <v>2019</v>
      </c>
      <c r="Q711" s="79">
        <v>64571600</v>
      </c>
      <c r="R711" s="63">
        <v>1</v>
      </c>
      <c r="S711" s="80">
        <v>64571600</v>
      </c>
      <c r="T711" s="63" t="s">
        <v>1171</v>
      </c>
      <c r="U711" s="63" t="s">
        <v>1171</v>
      </c>
      <c r="V711" s="81" t="s">
        <v>1023</v>
      </c>
      <c r="W711" s="82" t="s">
        <v>439</v>
      </c>
      <c r="X711" s="99" t="s">
        <v>2020</v>
      </c>
      <c r="Y711" s="81">
        <v>43131</v>
      </c>
      <c r="Z711" s="83">
        <v>64571600</v>
      </c>
      <c r="AA711" s="84" t="s">
        <v>1782</v>
      </c>
      <c r="AB711" s="85">
        <v>609</v>
      </c>
      <c r="AC711" s="81">
        <v>43132</v>
      </c>
      <c r="AD711" s="86">
        <v>64571600</v>
      </c>
      <c r="AE711" s="87">
        <f t="shared" si="76"/>
        <v>0</v>
      </c>
      <c r="AF711" s="85">
        <v>1957</v>
      </c>
      <c r="AG711" s="81">
        <v>43245</v>
      </c>
      <c r="AH711" s="86">
        <v>64571600</v>
      </c>
      <c r="AI711" s="63" t="s">
        <v>2021</v>
      </c>
      <c r="AJ711" s="63">
        <v>2119</v>
      </c>
      <c r="AK711" s="87">
        <f t="shared" si="73"/>
        <v>0</v>
      </c>
      <c r="AL711" s="86">
        <v>0</v>
      </c>
      <c r="AM711" s="86">
        <f t="shared" si="74"/>
        <v>64571600</v>
      </c>
      <c r="AN711" s="63" t="s">
        <v>1155</v>
      </c>
      <c r="AO711" s="86">
        <f t="shared" si="75"/>
        <v>0</v>
      </c>
      <c r="AP711" s="63"/>
      <c r="AQ711" s="63"/>
      <c r="AR711" s="63"/>
      <c r="AS711" s="63"/>
      <c r="AT711" s="63"/>
      <c r="AU711" s="220"/>
      <c r="AV711" s="220"/>
      <c r="AW711" s="220"/>
    </row>
    <row r="712" spans="1:49" s="221" customFormat="1" ht="171" x14ac:dyDescent="0.25">
      <c r="A712" s="63">
        <v>298</v>
      </c>
      <c r="B712" s="63" t="str">
        <f t="shared" si="72"/>
        <v>3075-298</v>
      </c>
      <c r="C712" s="76" t="s">
        <v>1141</v>
      </c>
      <c r="D712" s="76" t="s">
        <v>1142</v>
      </c>
      <c r="E712" s="76" t="s">
        <v>1174</v>
      </c>
      <c r="F712" s="76" t="s">
        <v>1175</v>
      </c>
      <c r="G712" s="77" t="s">
        <v>1176</v>
      </c>
      <c r="H712" s="78" t="s">
        <v>1177</v>
      </c>
      <c r="I712" s="76" t="s">
        <v>1147</v>
      </c>
      <c r="J712" s="76" t="s">
        <v>1178</v>
      </c>
      <c r="K712" s="76" t="s">
        <v>439</v>
      </c>
      <c r="L712" s="63" t="s">
        <v>1149</v>
      </c>
      <c r="M712" s="63" t="s">
        <v>58</v>
      </c>
      <c r="N712" s="63" t="s">
        <v>59</v>
      </c>
      <c r="O712" s="76" t="s">
        <v>1169</v>
      </c>
      <c r="P712" s="76" t="s">
        <v>2022</v>
      </c>
      <c r="Q712" s="79">
        <v>30749982</v>
      </c>
      <c r="R712" s="63">
        <v>1</v>
      </c>
      <c r="S712" s="80">
        <v>30749982</v>
      </c>
      <c r="T712" s="63" t="s">
        <v>1171</v>
      </c>
      <c r="U712" s="63" t="s">
        <v>1171</v>
      </c>
      <c r="V712" s="81" t="s">
        <v>724</v>
      </c>
      <c r="W712" s="82" t="s">
        <v>439</v>
      </c>
      <c r="X712" s="99" t="s">
        <v>2023</v>
      </c>
      <c r="Y712" s="81">
        <v>43131</v>
      </c>
      <c r="Z712" s="83">
        <v>30749982</v>
      </c>
      <c r="AA712" s="84" t="s">
        <v>2024</v>
      </c>
      <c r="AB712" s="85">
        <v>614</v>
      </c>
      <c r="AC712" s="81">
        <v>43132</v>
      </c>
      <c r="AD712" s="86">
        <v>30749982</v>
      </c>
      <c r="AE712" s="87">
        <f t="shared" si="76"/>
        <v>0</v>
      </c>
      <c r="AF712" s="85">
        <v>1621</v>
      </c>
      <c r="AG712" s="81">
        <v>43182</v>
      </c>
      <c r="AH712" s="86">
        <v>30749982</v>
      </c>
      <c r="AI712" s="63" t="s">
        <v>2025</v>
      </c>
      <c r="AJ712" s="63">
        <v>1541</v>
      </c>
      <c r="AK712" s="87">
        <f t="shared" si="73"/>
        <v>0</v>
      </c>
      <c r="AL712" s="86">
        <v>30749982</v>
      </c>
      <c r="AM712" s="86">
        <f t="shared" si="74"/>
        <v>0</v>
      </c>
      <c r="AN712" s="63" t="s">
        <v>1155</v>
      </c>
      <c r="AO712" s="86">
        <f t="shared" si="75"/>
        <v>0</v>
      </c>
      <c r="AP712" s="63"/>
      <c r="AQ712" s="63"/>
      <c r="AR712" s="63"/>
      <c r="AS712" s="63"/>
      <c r="AT712" s="63"/>
      <c r="AU712" s="220"/>
      <c r="AV712" s="220"/>
      <c r="AW712" s="220"/>
    </row>
    <row r="713" spans="1:49" s="221" customFormat="1" ht="342" x14ac:dyDescent="0.25">
      <c r="A713" s="63">
        <v>299</v>
      </c>
      <c r="B713" s="63" t="str">
        <f t="shared" si="72"/>
        <v>3075-299</v>
      </c>
      <c r="C713" s="76" t="s">
        <v>1141</v>
      </c>
      <c r="D713" s="76" t="s">
        <v>1142</v>
      </c>
      <c r="E713" s="76" t="s">
        <v>1424</v>
      </c>
      <c r="F713" s="76" t="s">
        <v>1175</v>
      </c>
      <c r="G713" s="77" t="s">
        <v>1176</v>
      </c>
      <c r="H713" s="78" t="s">
        <v>1425</v>
      </c>
      <c r="I713" s="76" t="s">
        <v>1147</v>
      </c>
      <c r="J713" s="76" t="s">
        <v>1148</v>
      </c>
      <c r="K713" s="76" t="s">
        <v>439</v>
      </c>
      <c r="L713" s="63" t="s">
        <v>1149</v>
      </c>
      <c r="M713" s="63" t="s">
        <v>58</v>
      </c>
      <c r="N713" s="63" t="s">
        <v>59</v>
      </c>
      <c r="O713" s="76" t="s">
        <v>1213</v>
      </c>
      <c r="P713" s="63" t="s">
        <v>2026</v>
      </c>
      <c r="Q713" s="83">
        <v>54686940</v>
      </c>
      <c r="R713" s="98">
        <v>1</v>
      </c>
      <c r="S713" s="80">
        <v>54686940</v>
      </c>
      <c r="T713" s="63" t="s">
        <v>1171</v>
      </c>
      <c r="U713" s="63" t="s">
        <v>1171</v>
      </c>
      <c r="V713" s="81" t="s">
        <v>724</v>
      </c>
      <c r="W713" s="82" t="s">
        <v>439</v>
      </c>
      <c r="X713" s="99" t="s">
        <v>2027</v>
      </c>
      <c r="Y713" s="81">
        <v>43133</v>
      </c>
      <c r="Z713" s="83">
        <v>54686940</v>
      </c>
      <c r="AA713" s="84" t="s">
        <v>1742</v>
      </c>
      <c r="AB713" s="85">
        <v>635</v>
      </c>
      <c r="AC713" s="81">
        <v>43139</v>
      </c>
      <c r="AD713" s="86">
        <v>54686940</v>
      </c>
      <c r="AE713" s="87">
        <f t="shared" si="76"/>
        <v>0</v>
      </c>
      <c r="AF713" s="85">
        <v>1480</v>
      </c>
      <c r="AG713" s="81">
        <v>43160</v>
      </c>
      <c r="AH713" s="86">
        <v>54686940</v>
      </c>
      <c r="AI713" s="63" t="s">
        <v>2028</v>
      </c>
      <c r="AJ713" s="63">
        <v>1414</v>
      </c>
      <c r="AK713" s="87">
        <f t="shared" si="73"/>
        <v>0</v>
      </c>
      <c r="AL713" s="86">
        <v>54686940</v>
      </c>
      <c r="AM713" s="86">
        <f t="shared" si="74"/>
        <v>0</v>
      </c>
      <c r="AN713" s="63" t="s">
        <v>1155</v>
      </c>
      <c r="AO713" s="86">
        <f t="shared" si="75"/>
        <v>0</v>
      </c>
      <c r="AP713" s="63"/>
      <c r="AQ713" s="63"/>
      <c r="AR713" s="63"/>
      <c r="AS713" s="63"/>
      <c r="AT713" s="63"/>
      <c r="AU713" s="220"/>
      <c r="AV713" s="220"/>
      <c r="AW713" s="220"/>
    </row>
    <row r="714" spans="1:49" s="221" customFormat="1" ht="342" x14ac:dyDescent="0.25">
      <c r="A714" s="63">
        <v>300</v>
      </c>
      <c r="B714" s="63" t="str">
        <f t="shared" si="72"/>
        <v>3075-300</v>
      </c>
      <c r="C714" s="76" t="s">
        <v>1141</v>
      </c>
      <c r="D714" s="76" t="s">
        <v>1142</v>
      </c>
      <c r="E714" s="76" t="s">
        <v>1424</v>
      </c>
      <c r="F714" s="76" t="s">
        <v>1175</v>
      </c>
      <c r="G714" s="77" t="s">
        <v>1176</v>
      </c>
      <c r="H714" s="78" t="s">
        <v>1425</v>
      </c>
      <c r="I714" s="76" t="s">
        <v>1147</v>
      </c>
      <c r="J714" s="76" t="s">
        <v>1148</v>
      </c>
      <c r="K714" s="76" t="s">
        <v>439</v>
      </c>
      <c r="L714" s="63" t="s">
        <v>1149</v>
      </c>
      <c r="M714" s="63" t="s">
        <v>58</v>
      </c>
      <c r="N714" s="63" t="s">
        <v>59</v>
      </c>
      <c r="O714" s="76" t="s">
        <v>1213</v>
      </c>
      <c r="P714" s="63" t="s">
        <v>2029</v>
      </c>
      <c r="Q714" s="83">
        <v>54686940</v>
      </c>
      <c r="R714" s="98">
        <v>1</v>
      </c>
      <c r="S714" s="80">
        <v>54686940</v>
      </c>
      <c r="T714" s="63" t="s">
        <v>1171</v>
      </c>
      <c r="U714" s="63" t="s">
        <v>1171</v>
      </c>
      <c r="V714" s="81" t="s">
        <v>724</v>
      </c>
      <c r="W714" s="82" t="s">
        <v>439</v>
      </c>
      <c r="X714" s="99" t="s">
        <v>2030</v>
      </c>
      <c r="Y714" s="81">
        <v>43133</v>
      </c>
      <c r="Z714" s="83">
        <v>54686940</v>
      </c>
      <c r="AA714" s="84" t="s">
        <v>1742</v>
      </c>
      <c r="AB714" s="85">
        <v>633</v>
      </c>
      <c r="AC714" s="81">
        <v>43138</v>
      </c>
      <c r="AD714" s="86">
        <v>54686940</v>
      </c>
      <c r="AE714" s="87">
        <f t="shared" si="76"/>
        <v>0</v>
      </c>
      <c r="AF714" s="85">
        <v>1479</v>
      </c>
      <c r="AG714" s="81">
        <v>43160</v>
      </c>
      <c r="AH714" s="86">
        <v>54686940</v>
      </c>
      <c r="AI714" s="63" t="s">
        <v>2031</v>
      </c>
      <c r="AJ714" s="63">
        <v>1417</v>
      </c>
      <c r="AK714" s="87">
        <f t="shared" si="73"/>
        <v>0</v>
      </c>
      <c r="AL714" s="86">
        <v>54686940</v>
      </c>
      <c r="AM714" s="86">
        <f t="shared" si="74"/>
        <v>0</v>
      </c>
      <c r="AN714" s="63" t="s">
        <v>1155</v>
      </c>
      <c r="AO714" s="86">
        <f t="shared" si="75"/>
        <v>0</v>
      </c>
      <c r="AP714" s="63"/>
      <c r="AQ714" s="63"/>
      <c r="AR714" s="63"/>
      <c r="AS714" s="63"/>
      <c r="AT714" s="63"/>
      <c r="AU714" s="220"/>
      <c r="AV714" s="220"/>
      <c r="AW714" s="220"/>
    </row>
    <row r="715" spans="1:49" s="221" customFormat="1" ht="342" x14ac:dyDescent="0.25">
      <c r="A715" s="63">
        <v>301</v>
      </c>
      <c r="B715" s="63" t="str">
        <f t="shared" si="72"/>
        <v>3075-301</v>
      </c>
      <c r="C715" s="76" t="s">
        <v>1141</v>
      </c>
      <c r="D715" s="76" t="s">
        <v>1142</v>
      </c>
      <c r="E715" s="76" t="s">
        <v>1424</v>
      </c>
      <c r="F715" s="76" t="s">
        <v>1175</v>
      </c>
      <c r="G715" s="77" t="s">
        <v>1176</v>
      </c>
      <c r="H715" s="78" t="s">
        <v>1425</v>
      </c>
      <c r="I715" s="76" t="s">
        <v>1147</v>
      </c>
      <c r="J715" s="76" t="s">
        <v>1148</v>
      </c>
      <c r="K715" s="76" t="s">
        <v>439</v>
      </c>
      <c r="L715" s="63" t="s">
        <v>1149</v>
      </c>
      <c r="M715" s="63" t="s">
        <v>58</v>
      </c>
      <c r="N715" s="63" t="s">
        <v>59</v>
      </c>
      <c r="O715" s="76" t="s">
        <v>1213</v>
      </c>
      <c r="P715" s="63" t="s">
        <v>2032</v>
      </c>
      <c r="Q715" s="83">
        <v>54686940</v>
      </c>
      <c r="R715" s="98">
        <v>1</v>
      </c>
      <c r="S715" s="80">
        <v>54686940</v>
      </c>
      <c r="T715" s="63" t="s">
        <v>1171</v>
      </c>
      <c r="U715" s="63" t="s">
        <v>1171</v>
      </c>
      <c r="V715" s="81" t="s">
        <v>493</v>
      </c>
      <c r="W715" s="82" t="s">
        <v>439</v>
      </c>
      <c r="X715" s="99" t="s">
        <v>2033</v>
      </c>
      <c r="Y715" s="81">
        <v>43133</v>
      </c>
      <c r="Z715" s="83">
        <v>54686940</v>
      </c>
      <c r="AA715" s="84" t="s">
        <v>1742</v>
      </c>
      <c r="AB715" s="85">
        <v>631</v>
      </c>
      <c r="AC715" s="81">
        <v>43137</v>
      </c>
      <c r="AD715" s="86">
        <v>54686940</v>
      </c>
      <c r="AE715" s="87">
        <f t="shared" si="76"/>
        <v>0</v>
      </c>
      <c r="AF715" s="85">
        <v>1377</v>
      </c>
      <c r="AG715" s="81">
        <v>43147</v>
      </c>
      <c r="AH715" s="86">
        <v>54686940</v>
      </c>
      <c r="AI715" s="63" t="s">
        <v>2034</v>
      </c>
      <c r="AJ715" s="63">
        <v>1281</v>
      </c>
      <c r="AK715" s="87">
        <f t="shared" si="73"/>
        <v>0</v>
      </c>
      <c r="AL715" s="86">
        <v>54686940</v>
      </c>
      <c r="AM715" s="86">
        <f t="shared" si="74"/>
        <v>0</v>
      </c>
      <c r="AN715" s="63" t="s">
        <v>1155</v>
      </c>
      <c r="AO715" s="86">
        <f t="shared" si="75"/>
        <v>0</v>
      </c>
      <c r="AP715" s="63"/>
      <c r="AQ715" s="63"/>
      <c r="AR715" s="63"/>
      <c r="AS715" s="63"/>
      <c r="AT715" s="63"/>
      <c r="AU715" s="220"/>
      <c r="AV715" s="220"/>
      <c r="AW715" s="220"/>
    </row>
    <row r="716" spans="1:49" s="221" customFormat="1" ht="342" x14ac:dyDescent="0.25">
      <c r="A716" s="63">
        <v>302</v>
      </c>
      <c r="B716" s="63" t="str">
        <f t="shared" si="72"/>
        <v>3075-302</v>
      </c>
      <c r="C716" s="76" t="s">
        <v>1141</v>
      </c>
      <c r="D716" s="76" t="s">
        <v>1142</v>
      </c>
      <c r="E716" s="76" t="s">
        <v>1424</v>
      </c>
      <c r="F716" s="76" t="s">
        <v>1175</v>
      </c>
      <c r="G716" s="77" t="s">
        <v>1176</v>
      </c>
      <c r="H716" s="78" t="s">
        <v>1425</v>
      </c>
      <c r="I716" s="76" t="s">
        <v>1147</v>
      </c>
      <c r="J716" s="76" t="s">
        <v>1148</v>
      </c>
      <c r="K716" s="76" t="s">
        <v>439</v>
      </c>
      <c r="L716" s="63" t="s">
        <v>1149</v>
      </c>
      <c r="M716" s="63" t="s">
        <v>58</v>
      </c>
      <c r="N716" s="63" t="s">
        <v>59</v>
      </c>
      <c r="O716" s="76" t="s">
        <v>1213</v>
      </c>
      <c r="P716" s="63" t="s">
        <v>2035</v>
      </c>
      <c r="Q716" s="83">
        <v>54686940</v>
      </c>
      <c r="R716" s="98">
        <v>1</v>
      </c>
      <c r="S716" s="80">
        <v>54686940</v>
      </c>
      <c r="T716" s="63" t="s">
        <v>1171</v>
      </c>
      <c r="U716" s="63" t="s">
        <v>1171</v>
      </c>
      <c r="V716" s="81" t="s">
        <v>493</v>
      </c>
      <c r="W716" s="82" t="s">
        <v>439</v>
      </c>
      <c r="X716" s="99" t="s">
        <v>2036</v>
      </c>
      <c r="Y716" s="81">
        <v>43133</v>
      </c>
      <c r="Z716" s="83">
        <v>54686940</v>
      </c>
      <c r="AA716" s="84" t="s">
        <v>1742</v>
      </c>
      <c r="AB716" s="85">
        <v>634</v>
      </c>
      <c r="AC716" s="81">
        <v>43138</v>
      </c>
      <c r="AD716" s="86">
        <v>54686940</v>
      </c>
      <c r="AE716" s="87">
        <f t="shared" si="76"/>
        <v>0</v>
      </c>
      <c r="AF716" s="85">
        <v>1376</v>
      </c>
      <c r="AG716" s="81">
        <v>43147</v>
      </c>
      <c r="AH716" s="86">
        <v>54686940</v>
      </c>
      <c r="AI716" s="63" t="s">
        <v>2037</v>
      </c>
      <c r="AJ716" s="63">
        <v>1282</v>
      </c>
      <c r="AK716" s="87">
        <f t="shared" si="73"/>
        <v>0</v>
      </c>
      <c r="AL716" s="86">
        <v>54686940</v>
      </c>
      <c r="AM716" s="86">
        <f t="shared" si="74"/>
        <v>0</v>
      </c>
      <c r="AN716" s="63" t="s">
        <v>1155</v>
      </c>
      <c r="AO716" s="86">
        <f t="shared" si="75"/>
        <v>0</v>
      </c>
      <c r="AP716" s="63"/>
      <c r="AQ716" s="63"/>
      <c r="AR716" s="63"/>
      <c r="AS716" s="63"/>
      <c r="AT716" s="63"/>
      <c r="AU716" s="220"/>
      <c r="AV716" s="220"/>
      <c r="AW716" s="220"/>
    </row>
    <row r="717" spans="1:49" s="221" customFormat="1" ht="342" x14ac:dyDescent="0.25">
      <c r="A717" s="63">
        <v>303</v>
      </c>
      <c r="B717" s="63" t="str">
        <f t="shared" si="72"/>
        <v>3075-303</v>
      </c>
      <c r="C717" s="76" t="s">
        <v>1141</v>
      </c>
      <c r="D717" s="76" t="s">
        <v>1142</v>
      </c>
      <c r="E717" s="76" t="s">
        <v>1424</v>
      </c>
      <c r="F717" s="76" t="s">
        <v>1175</v>
      </c>
      <c r="G717" s="77" t="s">
        <v>1176</v>
      </c>
      <c r="H717" s="78" t="s">
        <v>1425</v>
      </c>
      <c r="I717" s="76" t="s">
        <v>1147</v>
      </c>
      <c r="J717" s="76" t="s">
        <v>1148</v>
      </c>
      <c r="K717" s="76" t="s">
        <v>439</v>
      </c>
      <c r="L717" s="63" t="s">
        <v>1149</v>
      </c>
      <c r="M717" s="63" t="s">
        <v>58</v>
      </c>
      <c r="N717" s="63" t="s">
        <v>59</v>
      </c>
      <c r="O717" s="76" t="s">
        <v>1213</v>
      </c>
      <c r="P717" s="63" t="s">
        <v>2038</v>
      </c>
      <c r="Q717" s="83">
        <v>54686940</v>
      </c>
      <c r="R717" s="98">
        <v>1</v>
      </c>
      <c r="S717" s="80">
        <v>54686940</v>
      </c>
      <c r="T717" s="63" t="s">
        <v>1171</v>
      </c>
      <c r="U717" s="63" t="s">
        <v>1171</v>
      </c>
      <c r="V717" s="81" t="s">
        <v>724</v>
      </c>
      <c r="W717" s="82" t="s">
        <v>439</v>
      </c>
      <c r="X717" s="99" t="s">
        <v>2039</v>
      </c>
      <c r="Y717" s="81">
        <v>43138</v>
      </c>
      <c r="Z717" s="86">
        <v>54686940</v>
      </c>
      <c r="AA717" s="84" t="s">
        <v>1742</v>
      </c>
      <c r="AB717" s="85">
        <v>641</v>
      </c>
      <c r="AC717" s="81">
        <v>43140</v>
      </c>
      <c r="AD717" s="86">
        <v>54686940</v>
      </c>
      <c r="AE717" s="87">
        <f t="shared" si="76"/>
        <v>0</v>
      </c>
      <c r="AF717" s="85">
        <v>1582</v>
      </c>
      <c r="AG717" s="81">
        <v>43174</v>
      </c>
      <c r="AH717" s="86">
        <v>54686940</v>
      </c>
      <c r="AI717" s="63" t="s">
        <v>2040</v>
      </c>
      <c r="AJ717" s="63">
        <v>1509</v>
      </c>
      <c r="AK717" s="87">
        <f t="shared" si="73"/>
        <v>0</v>
      </c>
      <c r="AL717" s="86">
        <v>54686940</v>
      </c>
      <c r="AM717" s="86">
        <f t="shared" si="74"/>
        <v>0</v>
      </c>
      <c r="AN717" s="63" t="s">
        <v>1155</v>
      </c>
      <c r="AO717" s="86">
        <f t="shared" si="75"/>
        <v>0</v>
      </c>
      <c r="AP717" s="63"/>
      <c r="AQ717" s="63"/>
      <c r="AR717" s="63"/>
      <c r="AS717" s="63"/>
      <c r="AT717" s="63"/>
      <c r="AU717" s="220"/>
      <c r="AV717" s="220"/>
      <c r="AW717" s="220"/>
    </row>
    <row r="718" spans="1:49" s="221" customFormat="1" ht="342" x14ac:dyDescent="0.25">
      <c r="A718" s="63">
        <v>304</v>
      </c>
      <c r="B718" s="63" t="str">
        <f t="shared" si="72"/>
        <v>3075-304</v>
      </c>
      <c r="C718" s="76" t="s">
        <v>1141</v>
      </c>
      <c r="D718" s="76" t="s">
        <v>1142</v>
      </c>
      <c r="E718" s="76" t="s">
        <v>1424</v>
      </c>
      <c r="F718" s="76" t="s">
        <v>1175</v>
      </c>
      <c r="G718" s="77" t="s">
        <v>1176</v>
      </c>
      <c r="H718" s="78" t="s">
        <v>1425</v>
      </c>
      <c r="I718" s="76" t="s">
        <v>1147</v>
      </c>
      <c r="J718" s="76" t="s">
        <v>1148</v>
      </c>
      <c r="K718" s="76" t="s">
        <v>439</v>
      </c>
      <c r="L718" s="63" t="s">
        <v>1149</v>
      </c>
      <c r="M718" s="63" t="s">
        <v>58</v>
      </c>
      <c r="N718" s="63" t="s">
        <v>59</v>
      </c>
      <c r="O718" s="76" t="s">
        <v>1213</v>
      </c>
      <c r="P718" s="63" t="s">
        <v>2041</v>
      </c>
      <c r="Q718" s="83">
        <v>54686940</v>
      </c>
      <c r="R718" s="98">
        <v>1</v>
      </c>
      <c r="S718" s="80">
        <v>54686940</v>
      </c>
      <c r="T718" s="63" t="s">
        <v>1171</v>
      </c>
      <c r="U718" s="63" t="s">
        <v>1171</v>
      </c>
      <c r="V718" s="81" t="s">
        <v>493</v>
      </c>
      <c r="W718" s="82" t="s">
        <v>439</v>
      </c>
      <c r="X718" s="99" t="s">
        <v>2042</v>
      </c>
      <c r="Y718" s="81">
        <v>43138</v>
      </c>
      <c r="Z718" s="86">
        <v>54686940</v>
      </c>
      <c r="AA718" s="84" t="s">
        <v>1742</v>
      </c>
      <c r="AB718" s="85">
        <v>642</v>
      </c>
      <c r="AC718" s="81">
        <v>43140</v>
      </c>
      <c r="AD718" s="86">
        <v>54686940</v>
      </c>
      <c r="AE718" s="87">
        <f t="shared" si="76"/>
        <v>0</v>
      </c>
      <c r="AF718" s="85">
        <v>1381</v>
      </c>
      <c r="AG718" s="81">
        <v>43150</v>
      </c>
      <c r="AH718" s="86">
        <v>54686940</v>
      </c>
      <c r="AI718" s="63" t="s">
        <v>2043</v>
      </c>
      <c r="AJ718" s="63">
        <v>1284</v>
      </c>
      <c r="AK718" s="87">
        <f t="shared" si="73"/>
        <v>0</v>
      </c>
      <c r="AL718" s="86">
        <v>54686940</v>
      </c>
      <c r="AM718" s="86">
        <f t="shared" si="74"/>
        <v>0</v>
      </c>
      <c r="AN718" s="63" t="s">
        <v>1155</v>
      </c>
      <c r="AO718" s="86">
        <f t="shared" si="75"/>
        <v>0</v>
      </c>
      <c r="AP718" s="63"/>
      <c r="AQ718" s="63"/>
      <c r="AR718" s="63"/>
      <c r="AS718" s="63"/>
      <c r="AT718" s="63"/>
      <c r="AU718" s="220"/>
      <c r="AV718" s="220"/>
      <c r="AW718" s="220"/>
    </row>
    <row r="719" spans="1:49" s="221" customFormat="1" ht="342" x14ac:dyDescent="0.25">
      <c r="A719" s="63">
        <v>305</v>
      </c>
      <c r="B719" s="63" t="str">
        <f t="shared" si="72"/>
        <v>3075-305</v>
      </c>
      <c r="C719" s="76" t="s">
        <v>1141</v>
      </c>
      <c r="D719" s="76" t="s">
        <v>1142</v>
      </c>
      <c r="E719" s="76" t="s">
        <v>1424</v>
      </c>
      <c r="F719" s="76" t="s">
        <v>1175</v>
      </c>
      <c r="G719" s="77" t="s">
        <v>1176</v>
      </c>
      <c r="H719" s="78" t="s">
        <v>1425</v>
      </c>
      <c r="I719" s="76" t="s">
        <v>1147</v>
      </c>
      <c r="J719" s="76" t="s">
        <v>1148</v>
      </c>
      <c r="K719" s="76" t="s">
        <v>439</v>
      </c>
      <c r="L719" s="63" t="s">
        <v>1149</v>
      </c>
      <c r="M719" s="63" t="s">
        <v>58</v>
      </c>
      <c r="N719" s="63" t="s">
        <v>59</v>
      </c>
      <c r="O719" s="76" t="s">
        <v>1213</v>
      </c>
      <c r="P719" s="63" t="s">
        <v>2044</v>
      </c>
      <c r="Q719" s="83">
        <v>54686940</v>
      </c>
      <c r="R719" s="98">
        <v>1</v>
      </c>
      <c r="S719" s="80">
        <v>54686940</v>
      </c>
      <c r="T719" s="63" t="s">
        <v>1171</v>
      </c>
      <c r="U719" s="63" t="s">
        <v>1171</v>
      </c>
      <c r="V719" s="81" t="s">
        <v>493</v>
      </c>
      <c r="W719" s="82" t="s">
        <v>439</v>
      </c>
      <c r="X719" s="99" t="s">
        <v>2045</v>
      </c>
      <c r="Y719" s="81">
        <v>43138</v>
      </c>
      <c r="Z719" s="86">
        <v>54686940</v>
      </c>
      <c r="AA719" s="84" t="s">
        <v>1742</v>
      </c>
      <c r="AB719" s="85">
        <v>637</v>
      </c>
      <c r="AC719" s="81">
        <v>43139</v>
      </c>
      <c r="AD719" s="86">
        <v>54686940</v>
      </c>
      <c r="AE719" s="87">
        <f t="shared" si="76"/>
        <v>0</v>
      </c>
      <c r="AF719" s="85">
        <v>1375</v>
      </c>
      <c r="AG719" s="81">
        <v>43147</v>
      </c>
      <c r="AH719" s="86">
        <v>54686940</v>
      </c>
      <c r="AI719" s="63" t="s">
        <v>2046</v>
      </c>
      <c r="AJ719" s="63">
        <v>1283</v>
      </c>
      <c r="AK719" s="87">
        <f t="shared" si="73"/>
        <v>0</v>
      </c>
      <c r="AL719" s="86">
        <v>54686940</v>
      </c>
      <c r="AM719" s="86">
        <f t="shared" si="74"/>
        <v>0</v>
      </c>
      <c r="AN719" s="63" t="s">
        <v>1155</v>
      </c>
      <c r="AO719" s="86">
        <f t="shared" si="75"/>
        <v>0</v>
      </c>
      <c r="AP719" s="63"/>
      <c r="AQ719" s="63"/>
      <c r="AR719" s="63"/>
      <c r="AS719" s="63"/>
      <c r="AT719" s="63"/>
      <c r="AU719" s="220"/>
      <c r="AV719" s="220"/>
      <c r="AW719" s="220"/>
    </row>
    <row r="720" spans="1:49" s="221" customFormat="1" ht="342" x14ac:dyDescent="0.25">
      <c r="A720" s="63">
        <v>306</v>
      </c>
      <c r="B720" s="63" t="str">
        <f t="shared" si="72"/>
        <v>3075-306</v>
      </c>
      <c r="C720" s="76" t="s">
        <v>1141</v>
      </c>
      <c r="D720" s="76" t="s">
        <v>1142</v>
      </c>
      <c r="E720" s="76" t="s">
        <v>1424</v>
      </c>
      <c r="F720" s="76" t="s">
        <v>1175</v>
      </c>
      <c r="G720" s="77" t="s">
        <v>1176</v>
      </c>
      <c r="H720" s="78" t="s">
        <v>1425</v>
      </c>
      <c r="I720" s="76" t="s">
        <v>1147</v>
      </c>
      <c r="J720" s="76" t="s">
        <v>1148</v>
      </c>
      <c r="K720" s="76" t="s">
        <v>439</v>
      </c>
      <c r="L720" s="63" t="s">
        <v>1149</v>
      </c>
      <c r="M720" s="63" t="s">
        <v>58</v>
      </c>
      <c r="N720" s="63" t="s">
        <v>59</v>
      </c>
      <c r="O720" s="76" t="s">
        <v>1213</v>
      </c>
      <c r="P720" s="63" t="s">
        <v>2047</v>
      </c>
      <c r="Q720" s="83">
        <v>54686940</v>
      </c>
      <c r="R720" s="98">
        <v>1</v>
      </c>
      <c r="S720" s="80">
        <v>54686940</v>
      </c>
      <c r="T720" s="63" t="s">
        <v>1171</v>
      </c>
      <c r="U720" s="63" t="s">
        <v>1171</v>
      </c>
      <c r="V720" s="81" t="s">
        <v>724</v>
      </c>
      <c r="W720" s="82" t="s">
        <v>439</v>
      </c>
      <c r="X720" s="99" t="s">
        <v>2048</v>
      </c>
      <c r="Y720" s="81">
        <v>43138</v>
      </c>
      <c r="Z720" s="86">
        <v>54686940</v>
      </c>
      <c r="AA720" s="84" t="s">
        <v>1742</v>
      </c>
      <c r="AB720" s="85">
        <v>636</v>
      </c>
      <c r="AC720" s="81">
        <v>43139</v>
      </c>
      <c r="AD720" s="86">
        <v>54686940</v>
      </c>
      <c r="AE720" s="87">
        <f t="shared" si="76"/>
        <v>0</v>
      </c>
      <c r="AF720" s="85">
        <v>1481</v>
      </c>
      <c r="AG720" s="81">
        <v>43160</v>
      </c>
      <c r="AH720" s="86">
        <v>54686940</v>
      </c>
      <c r="AI720" s="63" t="s">
        <v>2049</v>
      </c>
      <c r="AJ720" s="63">
        <v>1418</v>
      </c>
      <c r="AK720" s="87">
        <f t="shared" si="73"/>
        <v>0</v>
      </c>
      <c r="AL720" s="86">
        <v>54686940</v>
      </c>
      <c r="AM720" s="86">
        <f t="shared" si="74"/>
        <v>0</v>
      </c>
      <c r="AN720" s="63" t="s">
        <v>1155</v>
      </c>
      <c r="AO720" s="86">
        <f t="shared" si="75"/>
        <v>0</v>
      </c>
      <c r="AP720" s="63"/>
      <c r="AQ720" s="63"/>
      <c r="AR720" s="63"/>
      <c r="AS720" s="63"/>
      <c r="AT720" s="63"/>
      <c r="AU720" s="220"/>
      <c r="AV720" s="220"/>
      <c r="AW720" s="220"/>
    </row>
    <row r="721" spans="1:49" s="221" customFormat="1" ht="342" x14ac:dyDescent="0.25">
      <c r="A721" s="63">
        <v>307</v>
      </c>
      <c r="B721" s="63" t="str">
        <f t="shared" si="72"/>
        <v>3075-307</v>
      </c>
      <c r="C721" s="76" t="s">
        <v>1141</v>
      </c>
      <c r="D721" s="76" t="s">
        <v>1142</v>
      </c>
      <c r="E721" s="76" t="s">
        <v>1424</v>
      </c>
      <c r="F721" s="76" t="s">
        <v>1175</v>
      </c>
      <c r="G721" s="77" t="s">
        <v>1176</v>
      </c>
      <c r="H721" s="78" t="s">
        <v>1425</v>
      </c>
      <c r="I721" s="76" t="s">
        <v>1147</v>
      </c>
      <c r="J721" s="76" t="s">
        <v>1148</v>
      </c>
      <c r="K721" s="76" t="s">
        <v>439</v>
      </c>
      <c r="L721" s="63" t="s">
        <v>1149</v>
      </c>
      <c r="M721" s="63" t="s">
        <v>58</v>
      </c>
      <c r="N721" s="63" t="s">
        <v>59</v>
      </c>
      <c r="O721" s="76" t="s">
        <v>1213</v>
      </c>
      <c r="P721" s="63" t="s">
        <v>2050</v>
      </c>
      <c r="Q721" s="83">
        <v>54686940</v>
      </c>
      <c r="R721" s="98">
        <v>1</v>
      </c>
      <c r="S721" s="80">
        <v>54686940</v>
      </c>
      <c r="T721" s="63" t="s">
        <v>1171</v>
      </c>
      <c r="U721" s="63" t="s">
        <v>1171</v>
      </c>
      <c r="V721" s="81" t="s">
        <v>724</v>
      </c>
      <c r="W721" s="82" t="s">
        <v>439</v>
      </c>
      <c r="X721" s="99" t="s">
        <v>2051</v>
      </c>
      <c r="Y721" s="81">
        <v>43138</v>
      </c>
      <c r="Z721" s="86">
        <v>54686940</v>
      </c>
      <c r="AA721" s="84" t="s">
        <v>1742</v>
      </c>
      <c r="AB721" s="85">
        <v>638</v>
      </c>
      <c r="AC721" s="81">
        <v>43139</v>
      </c>
      <c r="AD721" s="86">
        <v>54686940</v>
      </c>
      <c r="AE721" s="87">
        <f t="shared" si="76"/>
        <v>0</v>
      </c>
      <c r="AF721" s="85">
        <v>1583</v>
      </c>
      <c r="AG721" s="81">
        <v>43174</v>
      </c>
      <c r="AH721" s="86">
        <v>54686940</v>
      </c>
      <c r="AI721" s="63" t="s">
        <v>2052</v>
      </c>
      <c r="AJ721" s="63">
        <v>1510</v>
      </c>
      <c r="AK721" s="87">
        <f t="shared" si="73"/>
        <v>0</v>
      </c>
      <c r="AL721" s="86">
        <v>54686940</v>
      </c>
      <c r="AM721" s="86">
        <f t="shared" si="74"/>
        <v>0</v>
      </c>
      <c r="AN721" s="63" t="s">
        <v>1155</v>
      </c>
      <c r="AO721" s="86">
        <f t="shared" si="75"/>
        <v>0</v>
      </c>
      <c r="AP721" s="63"/>
      <c r="AQ721" s="63"/>
      <c r="AR721" s="63"/>
      <c r="AS721" s="63"/>
      <c r="AT721" s="63"/>
      <c r="AU721" s="220"/>
      <c r="AV721" s="220"/>
      <c r="AW721" s="220"/>
    </row>
    <row r="722" spans="1:49" s="221" customFormat="1" ht="171" x14ac:dyDescent="0.25">
      <c r="A722" s="63">
        <v>308</v>
      </c>
      <c r="B722" s="63" t="str">
        <f t="shared" si="72"/>
        <v>3075-308</v>
      </c>
      <c r="C722" s="76" t="s">
        <v>1141</v>
      </c>
      <c r="D722" s="76" t="s">
        <v>1142</v>
      </c>
      <c r="E722" s="76" t="s">
        <v>1143</v>
      </c>
      <c r="F722" s="76" t="s">
        <v>1166</v>
      </c>
      <c r="G722" s="88" t="s">
        <v>2053</v>
      </c>
      <c r="H722" s="92" t="s">
        <v>2054</v>
      </c>
      <c r="I722" s="76" t="s">
        <v>1147</v>
      </c>
      <c r="J722" s="76" t="s">
        <v>1148</v>
      </c>
      <c r="K722" s="93" t="s">
        <v>439</v>
      </c>
      <c r="L722" s="63" t="s">
        <v>1149</v>
      </c>
      <c r="M722" s="63" t="s">
        <v>58</v>
      </c>
      <c r="N722" s="63" t="s">
        <v>59</v>
      </c>
      <c r="O722" s="76" t="s">
        <v>1199</v>
      </c>
      <c r="P722" s="76" t="s">
        <v>2055</v>
      </c>
      <c r="Q722" s="83">
        <v>614764</v>
      </c>
      <c r="R722" s="63">
        <v>1</v>
      </c>
      <c r="S722" s="80">
        <v>614764</v>
      </c>
      <c r="T722" s="63" t="s">
        <v>1171</v>
      </c>
      <c r="U722" s="63" t="s">
        <v>1171</v>
      </c>
      <c r="V722" s="81" t="s">
        <v>411</v>
      </c>
      <c r="W722" s="82">
        <v>1</v>
      </c>
      <c r="X722" s="99" t="s">
        <v>2056</v>
      </c>
      <c r="Y722" s="81">
        <v>43138</v>
      </c>
      <c r="Z722" s="86">
        <v>614764</v>
      </c>
      <c r="AA722" s="84" t="s">
        <v>2057</v>
      </c>
      <c r="AB722" s="85">
        <v>643</v>
      </c>
      <c r="AC722" s="81">
        <v>43140</v>
      </c>
      <c r="AD722" s="86">
        <v>614764</v>
      </c>
      <c r="AE722" s="87">
        <f t="shared" si="76"/>
        <v>0</v>
      </c>
      <c r="AF722" s="85">
        <v>1779</v>
      </c>
      <c r="AG722" s="81">
        <v>43202</v>
      </c>
      <c r="AH722" s="86">
        <v>614764</v>
      </c>
      <c r="AI722" s="63" t="s">
        <v>2058</v>
      </c>
      <c r="AJ722" s="63">
        <v>1286</v>
      </c>
      <c r="AK722" s="87">
        <f t="shared" si="73"/>
        <v>0</v>
      </c>
      <c r="AL722" s="86">
        <v>614764</v>
      </c>
      <c r="AM722" s="86">
        <f t="shared" si="74"/>
        <v>0</v>
      </c>
      <c r="AN722" s="63" t="s">
        <v>1155</v>
      </c>
      <c r="AO722" s="86">
        <f t="shared" si="75"/>
        <v>0</v>
      </c>
      <c r="AP722" s="63"/>
      <c r="AQ722" s="63"/>
      <c r="AR722" s="63"/>
      <c r="AS722" s="63"/>
      <c r="AT722" s="63"/>
      <c r="AU722" s="220"/>
      <c r="AV722" s="220"/>
      <c r="AW722" s="220"/>
    </row>
    <row r="723" spans="1:49" s="221" customFormat="1" ht="342" x14ac:dyDescent="0.25">
      <c r="A723" s="63">
        <v>309</v>
      </c>
      <c r="B723" s="63" t="str">
        <f t="shared" si="72"/>
        <v>3075-309</v>
      </c>
      <c r="C723" s="76" t="s">
        <v>1141</v>
      </c>
      <c r="D723" s="76" t="s">
        <v>1142</v>
      </c>
      <c r="E723" s="76" t="s">
        <v>1424</v>
      </c>
      <c r="F723" s="76" t="s">
        <v>1175</v>
      </c>
      <c r="G723" s="77" t="s">
        <v>1176</v>
      </c>
      <c r="H723" s="78" t="s">
        <v>1425</v>
      </c>
      <c r="I723" s="76" t="s">
        <v>1147</v>
      </c>
      <c r="J723" s="76" t="s">
        <v>1148</v>
      </c>
      <c r="K723" s="76" t="s">
        <v>439</v>
      </c>
      <c r="L723" s="63" t="s">
        <v>1149</v>
      </c>
      <c r="M723" s="63" t="s">
        <v>58</v>
      </c>
      <c r="N723" s="63" t="s">
        <v>59</v>
      </c>
      <c r="O723" s="76" t="s">
        <v>1213</v>
      </c>
      <c r="P723" s="63" t="s">
        <v>2059</v>
      </c>
      <c r="Q723" s="83">
        <v>54886940</v>
      </c>
      <c r="R723" s="98">
        <v>1</v>
      </c>
      <c r="S723" s="80">
        <v>54686940</v>
      </c>
      <c r="T723" s="63" t="s">
        <v>1171</v>
      </c>
      <c r="U723" s="63" t="s">
        <v>1171</v>
      </c>
      <c r="V723" s="81" t="s">
        <v>493</v>
      </c>
      <c r="W723" s="82" t="s">
        <v>439</v>
      </c>
      <c r="X723" s="99" t="s">
        <v>2060</v>
      </c>
      <c r="Y723" s="81">
        <v>43140</v>
      </c>
      <c r="Z723" s="83">
        <v>54686940</v>
      </c>
      <c r="AA723" s="84" t="s">
        <v>1742</v>
      </c>
      <c r="AB723" s="85">
        <v>646</v>
      </c>
      <c r="AC723" s="81">
        <v>43144</v>
      </c>
      <c r="AD723" s="86">
        <v>54686940</v>
      </c>
      <c r="AE723" s="87">
        <f t="shared" si="76"/>
        <v>0</v>
      </c>
      <c r="AF723" s="85">
        <v>1461</v>
      </c>
      <c r="AG723" s="81">
        <v>43154</v>
      </c>
      <c r="AH723" s="86">
        <v>54686940</v>
      </c>
      <c r="AI723" s="63" t="s">
        <v>2061</v>
      </c>
      <c r="AJ723" s="63">
        <v>1356</v>
      </c>
      <c r="AK723" s="87">
        <f t="shared" si="73"/>
        <v>0</v>
      </c>
      <c r="AL723" s="86">
        <v>54686940</v>
      </c>
      <c r="AM723" s="86">
        <f t="shared" si="74"/>
        <v>0</v>
      </c>
      <c r="AN723" s="63" t="s">
        <v>1155</v>
      </c>
      <c r="AO723" s="86">
        <f t="shared" si="75"/>
        <v>0</v>
      </c>
      <c r="AP723" s="63"/>
      <c r="AQ723" s="63"/>
      <c r="AR723" s="63"/>
      <c r="AS723" s="63"/>
      <c r="AT723" s="63"/>
      <c r="AU723" s="220"/>
      <c r="AV723" s="220"/>
      <c r="AW723" s="220"/>
    </row>
    <row r="724" spans="1:49" s="221" customFormat="1" ht="342" x14ac:dyDescent="0.25">
      <c r="A724" s="63">
        <v>310</v>
      </c>
      <c r="B724" s="63" t="str">
        <f t="shared" si="72"/>
        <v>3075-310</v>
      </c>
      <c r="C724" s="76" t="s">
        <v>1141</v>
      </c>
      <c r="D724" s="76" t="s">
        <v>1142</v>
      </c>
      <c r="E724" s="76" t="s">
        <v>1424</v>
      </c>
      <c r="F724" s="76" t="s">
        <v>1175</v>
      </c>
      <c r="G724" s="77" t="s">
        <v>1176</v>
      </c>
      <c r="H724" s="78" t="s">
        <v>1425</v>
      </c>
      <c r="I724" s="76" t="s">
        <v>1147</v>
      </c>
      <c r="J724" s="76" t="s">
        <v>1148</v>
      </c>
      <c r="K724" s="76" t="s">
        <v>439</v>
      </c>
      <c r="L724" s="63" t="s">
        <v>1149</v>
      </c>
      <c r="M724" s="63" t="s">
        <v>58</v>
      </c>
      <c r="N724" s="63" t="s">
        <v>59</v>
      </c>
      <c r="O724" s="76" t="s">
        <v>1213</v>
      </c>
      <c r="P724" s="63" t="s">
        <v>2062</v>
      </c>
      <c r="Q724" s="83">
        <v>54886940</v>
      </c>
      <c r="R724" s="98">
        <v>1</v>
      </c>
      <c r="S724" s="80">
        <v>54686940</v>
      </c>
      <c r="T724" s="63" t="s">
        <v>1171</v>
      </c>
      <c r="U724" s="63" t="s">
        <v>1171</v>
      </c>
      <c r="V724" s="81" t="s">
        <v>724</v>
      </c>
      <c r="W724" s="82" t="s">
        <v>439</v>
      </c>
      <c r="X724" s="99" t="s">
        <v>2063</v>
      </c>
      <c r="Y724" s="81">
        <v>43140</v>
      </c>
      <c r="Z724" s="83">
        <v>54686940</v>
      </c>
      <c r="AA724" s="84" t="s">
        <v>1742</v>
      </c>
      <c r="AB724" s="85">
        <v>647</v>
      </c>
      <c r="AC724" s="81">
        <v>43144</v>
      </c>
      <c r="AD724" s="86">
        <v>54686940</v>
      </c>
      <c r="AE724" s="87">
        <f t="shared" si="76"/>
        <v>0</v>
      </c>
      <c r="AF724" s="85">
        <v>1478</v>
      </c>
      <c r="AG724" s="81">
        <v>43160</v>
      </c>
      <c r="AH724" s="86">
        <v>54686940</v>
      </c>
      <c r="AI724" s="63" t="s">
        <v>2064</v>
      </c>
      <c r="AJ724" s="63">
        <v>1413</v>
      </c>
      <c r="AK724" s="87">
        <f t="shared" si="73"/>
        <v>0</v>
      </c>
      <c r="AL724" s="86">
        <v>54686940</v>
      </c>
      <c r="AM724" s="86">
        <f t="shared" si="74"/>
        <v>0</v>
      </c>
      <c r="AN724" s="63" t="s">
        <v>1155</v>
      </c>
      <c r="AO724" s="86">
        <f t="shared" si="75"/>
        <v>0</v>
      </c>
      <c r="AP724" s="63"/>
      <c r="AQ724" s="63"/>
      <c r="AR724" s="63"/>
      <c r="AS724" s="63"/>
      <c r="AT724" s="63"/>
      <c r="AU724" s="220"/>
      <c r="AV724" s="220"/>
      <c r="AW724" s="220"/>
    </row>
    <row r="725" spans="1:49" s="221" customFormat="1" ht="342" x14ac:dyDescent="0.25">
      <c r="A725" s="63">
        <v>311</v>
      </c>
      <c r="B725" s="63" t="str">
        <f t="shared" si="72"/>
        <v>3075-311</v>
      </c>
      <c r="C725" s="76" t="s">
        <v>1141</v>
      </c>
      <c r="D725" s="76" t="s">
        <v>1142</v>
      </c>
      <c r="E725" s="76" t="s">
        <v>1424</v>
      </c>
      <c r="F725" s="76" t="s">
        <v>1175</v>
      </c>
      <c r="G725" s="77" t="s">
        <v>1176</v>
      </c>
      <c r="H725" s="78" t="s">
        <v>1425</v>
      </c>
      <c r="I725" s="76" t="s">
        <v>1147</v>
      </c>
      <c r="J725" s="76" t="s">
        <v>1148</v>
      </c>
      <c r="K725" s="76" t="s">
        <v>439</v>
      </c>
      <c r="L725" s="63" t="s">
        <v>1149</v>
      </c>
      <c r="M725" s="63" t="s">
        <v>58</v>
      </c>
      <c r="N725" s="63" t="s">
        <v>59</v>
      </c>
      <c r="O725" s="76" t="s">
        <v>1213</v>
      </c>
      <c r="P725" s="63" t="s">
        <v>2065</v>
      </c>
      <c r="Q725" s="83">
        <v>54886940</v>
      </c>
      <c r="R725" s="98">
        <v>1</v>
      </c>
      <c r="S725" s="80">
        <v>54686940</v>
      </c>
      <c r="T725" s="63" t="s">
        <v>1171</v>
      </c>
      <c r="U725" s="63" t="s">
        <v>1171</v>
      </c>
      <c r="V725" s="81" t="s">
        <v>1023</v>
      </c>
      <c r="W725" s="82" t="s">
        <v>439</v>
      </c>
      <c r="X725" s="99" t="s">
        <v>2066</v>
      </c>
      <c r="Y725" s="81">
        <v>43140</v>
      </c>
      <c r="Z725" s="83">
        <v>54686940</v>
      </c>
      <c r="AA725" s="84" t="s">
        <v>1742</v>
      </c>
      <c r="AB725" s="85">
        <v>645</v>
      </c>
      <c r="AC725" s="81">
        <v>43144</v>
      </c>
      <c r="AD725" s="86">
        <v>54686940</v>
      </c>
      <c r="AE725" s="87">
        <f t="shared" si="76"/>
        <v>0</v>
      </c>
      <c r="AF725" s="85">
        <v>1852</v>
      </c>
      <c r="AG725" s="81">
        <v>43223</v>
      </c>
      <c r="AH725" s="86">
        <v>54686940</v>
      </c>
      <c r="AI725" s="63" t="s">
        <v>2067</v>
      </c>
      <c r="AJ725" s="63">
        <v>1960</v>
      </c>
      <c r="AK725" s="87">
        <f t="shared" si="73"/>
        <v>0</v>
      </c>
      <c r="AL725" s="86">
        <v>54686940</v>
      </c>
      <c r="AM725" s="86">
        <f t="shared" si="74"/>
        <v>0</v>
      </c>
      <c r="AN725" s="63" t="s">
        <v>1155</v>
      </c>
      <c r="AO725" s="86">
        <f t="shared" si="75"/>
        <v>0</v>
      </c>
      <c r="AP725" s="63"/>
      <c r="AQ725" s="63"/>
      <c r="AR725" s="63"/>
      <c r="AS725" s="63"/>
      <c r="AT725" s="63"/>
      <c r="AU725" s="220"/>
      <c r="AV725" s="220"/>
      <c r="AW725" s="220"/>
    </row>
    <row r="726" spans="1:49" s="221" customFormat="1" ht="156.75" x14ac:dyDescent="0.25">
      <c r="A726" s="63">
        <v>312</v>
      </c>
      <c r="B726" s="63" t="str">
        <f t="shared" si="72"/>
        <v>3075-312</v>
      </c>
      <c r="C726" s="76" t="s">
        <v>1141</v>
      </c>
      <c r="D726" s="76" t="s">
        <v>1142</v>
      </c>
      <c r="E726" s="76" t="s">
        <v>1174</v>
      </c>
      <c r="F726" s="76" t="s">
        <v>1175</v>
      </c>
      <c r="G726" s="77" t="s">
        <v>1176</v>
      </c>
      <c r="H726" s="78" t="s">
        <v>1177</v>
      </c>
      <c r="I726" s="76" t="s">
        <v>1147</v>
      </c>
      <c r="J726" s="76" t="s">
        <v>1178</v>
      </c>
      <c r="K726" s="76" t="s">
        <v>439</v>
      </c>
      <c r="L726" s="63" t="s">
        <v>1149</v>
      </c>
      <c r="M726" s="63" t="s">
        <v>58</v>
      </c>
      <c r="N726" s="63" t="s">
        <v>59</v>
      </c>
      <c r="O726" s="76" t="s">
        <v>1169</v>
      </c>
      <c r="P726" s="76" t="s">
        <v>2068</v>
      </c>
      <c r="Q726" s="79">
        <v>39062100</v>
      </c>
      <c r="R726" s="63">
        <v>1</v>
      </c>
      <c r="S726" s="80">
        <v>39062100</v>
      </c>
      <c r="T726" s="63" t="s">
        <v>1171</v>
      </c>
      <c r="U726" s="63" t="s">
        <v>1171</v>
      </c>
      <c r="V726" s="81" t="s">
        <v>724</v>
      </c>
      <c r="W726" s="82" t="s">
        <v>439</v>
      </c>
      <c r="X726" s="99" t="s">
        <v>2069</v>
      </c>
      <c r="Y726" s="81">
        <v>43140</v>
      </c>
      <c r="Z726" s="83">
        <v>39062100</v>
      </c>
      <c r="AA726" s="84" t="s">
        <v>2024</v>
      </c>
      <c r="AB726" s="85">
        <v>644</v>
      </c>
      <c r="AC726" s="81">
        <v>43144</v>
      </c>
      <c r="AD726" s="86">
        <v>39062100</v>
      </c>
      <c r="AE726" s="87">
        <f t="shared" si="76"/>
        <v>0</v>
      </c>
      <c r="AF726" s="85">
        <v>1581</v>
      </c>
      <c r="AG726" s="81">
        <v>43174</v>
      </c>
      <c r="AH726" s="86">
        <v>39062100</v>
      </c>
      <c r="AI726" s="63" t="s">
        <v>2070</v>
      </c>
      <c r="AJ726" s="63">
        <v>1540</v>
      </c>
      <c r="AK726" s="87">
        <f t="shared" si="73"/>
        <v>0</v>
      </c>
      <c r="AL726" s="86">
        <v>0</v>
      </c>
      <c r="AM726" s="86">
        <f t="shared" si="74"/>
        <v>39062100</v>
      </c>
      <c r="AN726" s="63" t="s">
        <v>1155</v>
      </c>
      <c r="AO726" s="86">
        <f t="shared" si="75"/>
        <v>0</v>
      </c>
      <c r="AP726" s="63"/>
      <c r="AQ726" s="63"/>
      <c r="AR726" s="63"/>
      <c r="AS726" s="63"/>
      <c r="AT726" s="63"/>
      <c r="AU726" s="220"/>
      <c r="AV726" s="220"/>
      <c r="AW726" s="220"/>
    </row>
    <row r="727" spans="1:49" s="221" customFormat="1" ht="342" x14ac:dyDescent="0.25">
      <c r="A727" s="63">
        <v>313</v>
      </c>
      <c r="B727" s="63" t="str">
        <f t="shared" si="72"/>
        <v>3075-313</v>
      </c>
      <c r="C727" s="76" t="s">
        <v>1141</v>
      </c>
      <c r="D727" s="76" t="s">
        <v>1142</v>
      </c>
      <c r="E727" s="76" t="s">
        <v>1424</v>
      </c>
      <c r="F727" s="76" t="s">
        <v>1175</v>
      </c>
      <c r="G727" s="77" t="s">
        <v>1176</v>
      </c>
      <c r="H727" s="78" t="s">
        <v>1425</v>
      </c>
      <c r="I727" s="76" t="s">
        <v>1147</v>
      </c>
      <c r="J727" s="76" t="s">
        <v>1148</v>
      </c>
      <c r="K727" s="76" t="s">
        <v>439</v>
      </c>
      <c r="L727" s="63" t="s">
        <v>1149</v>
      </c>
      <c r="M727" s="63" t="s">
        <v>58</v>
      </c>
      <c r="N727" s="63" t="s">
        <v>59</v>
      </c>
      <c r="O727" s="76" t="s">
        <v>1213</v>
      </c>
      <c r="P727" s="63" t="s">
        <v>2071</v>
      </c>
      <c r="Q727" s="83">
        <v>54686940</v>
      </c>
      <c r="R727" s="98">
        <v>1</v>
      </c>
      <c r="S727" s="80">
        <v>54686940</v>
      </c>
      <c r="T727" s="63" t="s">
        <v>1171</v>
      </c>
      <c r="U727" s="63" t="s">
        <v>1171</v>
      </c>
      <c r="V727" s="81" t="s">
        <v>411</v>
      </c>
      <c r="W727" s="82" t="s">
        <v>439</v>
      </c>
      <c r="X727" s="99" t="s">
        <v>2072</v>
      </c>
      <c r="Y727" s="81">
        <v>43147</v>
      </c>
      <c r="Z727" s="83">
        <v>54686940</v>
      </c>
      <c r="AA727" s="84" t="s">
        <v>1742</v>
      </c>
      <c r="AB727" s="85">
        <v>650</v>
      </c>
      <c r="AC727" s="81">
        <v>43150</v>
      </c>
      <c r="AD727" s="86">
        <v>54686940</v>
      </c>
      <c r="AE727" s="87">
        <f t="shared" si="76"/>
        <v>0</v>
      </c>
      <c r="AF727" s="85">
        <v>1737</v>
      </c>
      <c r="AG727" s="81">
        <v>43196</v>
      </c>
      <c r="AH727" s="86">
        <v>54686940</v>
      </c>
      <c r="AI727" s="63" t="s">
        <v>2073</v>
      </c>
      <c r="AJ727" s="63">
        <v>1748</v>
      </c>
      <c r="AK727" s="87">
        <f t="shared" si="73"/>
        <v>0</v>
      </c>
      <c r="AL727" s="86">
        <v>54686940</v>
      </c>
      <c r="AM727" s="86">
        <f t="shared" si="74"/>
        <v>0</v>
      </c>
      <c r="AN727" s="63" t="s">
        <v>1155</v>
      </c>
      <c r="AO727" s="86">
        <f t="shared" si="75"/>
        <v>0</v>
      </c>
      <c r="AP727" s="63"/>
      <c r="AQ727" s="63"/>
      <c r="AR727" s="63"/>
      <c r="AS727" s="63"/>
      <c r="AT727" s="63"/>
      <c r="AU727" s="220"/>
      <c r="AV727" s="220"/>
      <c r="AW727" s="220"/>
    </row>
    <row r="728" spans="1:49" s="221" customFormat="1" ht="342" x14ac:dyDescent="0.25">
      <c r="A728" s="63">
        <v>314</v>
      </c>
      <c r="B728" s="63" t="str">
        <f t="shared" si="72"/>
        <v>3075-314</v>
      </c>
      <c r="C728" s="76" t="s">
        <v>1141</v>
      </c>
      <c r="D728" s="76" t="s">
        <v>1142</v>
      </c>
      <c r="E728" s="76" t="s">
        <v>1424</v>
      </c>
      <c r="F728" s="76" t="s">
        <v>1175</v>
      </c>
      <c r="G728" s="77" t="s">
        <v>1176</v>
      </c>
      <c r="H728" s="78" t="s">
        <v>1425</v>
      </c>
      <c r="I728" s="76" t="s">
        <v>1147</v>
      </c>
      <c r="J728" s="76" t="s">
        <v>1148</v>
      </c>
      <c r="K728" s="76" t="s">
        <v>439</v>
      </c>
      <c r="L728" s="63" t="s">
        <v>1149</v>
      </c>
      <c r="M728" s="63" t="s">
        <v>58</v>
      </c>
      <c r="N728" s="63" t="s">
        <v>59</v>
      </c>
      <c r="O728" s="76" t="s">
        <v>1213</v>
      </c>
      <c r="P728" s="63" t="s">
        <v>2074</v>
      </c>
      <c r="Q728" s="83">
        <v>54686940</v>
      </c>
      <c r="R728" s="98">
        <v>1</v>
      </c>
      <c r="S728" s="80">
        <v>54686940</v>
      </c>
      <c r="T728" s="63" t="s">
        <v>1171</v>
      </c>
      <c r="U728" s="63" t="s">
        <v>1171</v>
      </c>
      <c r="V728" s="81" t="s">
        <v>724</v>
      </c>
      <c r="W728" s="82" t="s">
        <v>439</v>
      </c>
      <c r="X728" s="99" t="s">
        <v>2075</v>
      </c>
      <c r="Y728" s="81">
        <v>43147</v>
      </c>
      <c r="Z728" s="83">
        <v>54686940</v>
      </c>
      <c r="AA728" s="84" t="s">
        <v>1742</v>
      </c>
      <c r="AB728" s="85">
        <v>657</v>
      </c>
      <c r="AC728" s="81">
        <v>43153</v>
      </c>
      <c r="AD728" s="86">
        <v>54686940</v>
      </c>
      <c r="AE728" s="87">
        <f t="shared" si="76"/>
        <v>0</v>
      </c>
      <c r="AF728" s="85">
        <v>1577</v>
      </c>
      <c r="AG728" s="81">
        <v>43174</v>
      </c>
      <c r="AH728" s="86">
        <v>54686940</v>
      </c>
      <c r="AI728" s="63" t="s">
        <v>2076</v>
      </c>
      <c r="AJ728" s="63">
        <v>1511</v>
      </c>
      <c r="AK728" s="87">
        <f t="shared" si="73"/>
        <v>0</v>
      </c>
      <c r="AL728" s="86">
        <v>0</v>
      </c>
      <c r="AM728" s="86">
        <f t="shared" si="74"/>
        <v>54686940</v>
      </c>
      <c r="AN728" s="63" t="s">
        <v>1155</v>
      </c>
      <c r="AO728" s="86">
        <f t="shared" si="75"/>
        <v>0</v>
      </c>
      <c r="AP728" s="63"/>
      <c r="AQ728" s="63"/>
      <c r="AR728" s="63"/>
      <c r="AS728" s="63"/>
      <c r="AT728" s="63"/>
      <c r="AU728" s="220"/>
      <c r="AV728" s="220"/>
      <c r="AW728" s="220"/>
    </row>
    <row r="729" spans="1:49" s="221" customFormat="1" ht="342" x14ac:dyDescent="0.25">
      <c r="A729" s="63">
        <v>315</v>
      </c>
      <c r="B729" s="63" t="str">
        <f t="shared" si="72"/>
        <v>3075-315</v>
      </c>
      <c r="C729" s="76" t="s">
        <v>1141</v>
      </c>
      <c r="D729" s="76" t="s">
        <v>1142</v>
      </c>
      <c r="E729" s="76" t="s">
        <v>1424</v>
      </c>
      <c r="F729" s="76" t="s">
        <v>1175</v>
      </c>
      <c r="G729" s="77" t="s">
        <v>1176</v>
      </c>
      <c r="H729" s="78" t="s">
        <v>1425</v>
      </c>
      <c r="I729" s="76" t="s">
        <v>1147</v>
      </c>
      <c r="J729" s="76" t="s">
        <v>1148</v>
      </c>
      <c r="K729" s="76" t="s">
        <v>439</v>
      </c>
      <c r="L729" s="63" t="s">
        <v>1149</v>
      </c>
      <c r="M729" s="63" t="s">
        <v>58</v>
      </c>
      <c r="N729" s="63" t="s">
        <v>59</v>
      </c>
      <c r="O729" s="76" t="s">
        <v>1213</v>
      </c>
      <c r="P729" s="63" t="s">
        <v>2077</v>
      </c>
      <c r="Q729" s="83">
        <v>54686940</v>
      </c>
      <c r="R729" s="98">
        <v>1</v>
      </c>
      <c r="S729" s="80">
        <v>54686940</v>
      </c>
      <c r="T729" s="63" t="s">
        <v>1171</v>
      </c>
      <c r="U729" s="63" t="s">
        <v>1171</v>
      </c>
      <c r="V729" s="81" t="s">
        <v>724</v>
      </c>
      <c r="W729" s="82" t="s">
        <v>439</v>
      </c>
      <c r="X729" s="99" t="s">
        <v>2078</v>
      </c>
      <c r="Y729" s="81">
        <v>43147</v>
      </c>
      <c r="Z729" s="83">
        <v>54686940</v>
      </c>
      <c r="AA729" s="84" t="s">
        <v>1742</v>
      </c>
      <c r="AB729" s="85">
        <v>651</v>
      </c>
      <c r="AC729" s="81">
        <v>43150</v>
      </c>
      <c r="AD729" s="86">
        <v>54686940</v>
      </c>
      <c r="AE729" s="87">
        <f t="shared" si="76"/>
        <v>0</v>
      </c>
      <c r="AF729" s="85">
        <v>1578</v>
      </c>
      <c r="AG729" s="81">
        <v>43174</v>
      </c>
      <c r="AH729" s="86">
        <v>54686940</v>
      </c>
      <c r="AI729" s="63" t="s">
        <v>2079</v>
      </c>
      <c r="AJ729" s="63">
        <v>1512</v>
      </c>
      <c r="AK729" s="87">
        <f t="shared" si="73"/>
        <v>0</v>
      </c>
      <c r="AL729" s="86">
        <v>54686940</v>
      </c>
      <c r="AM729" s="86">
        <f t="shared" si="74"/>
        <v>0</v>
      </c>
      <c r="AN729" s="63" t="s">
        <v>1155</v>
      </c>
      <c r="AO729" s="86">
        <f t="shared" si="75"/>
        <v>0</v>
      </c>
      <c r="AP729" s="63"/>
      <c r="AQ729" s="63"/>
      <c r="AR729" s="63"/>
      <c r="AS729" s="63"/>
      <c r="AT729" s="63"/>
      <c r="AU729" s="220"/>
      <c r="AV729" s="220"/>
      <c r="AW729" s="220"/>
    </row>
    <row r="730" spans="1:49" s="221" customFormat="1" ht="342" x14ac:dyDescent="0.25">
      <c r="A730" s="63">
        <v>316</v>
      </c>
      <c r="B730" s="63" t="str">
        <f t="shared" si="72"/>
        <v>3075-316</v>
      </c>
      <c r="C730" s="76" t="s">
        <v>1141</v>
      </c>
      <c r="D730" s="76" t="s">
        <v>1142</v>
      </c>
      <c r="E730" s="76" t="s">
        <v>1424</v>
      </c>
      <c r="F730" s="76" t="s">
        <v>1175</v>
      </c>
      <c r="G730" s="77" t="s">
        <v>1176</v>
      </c>
      <c r="H730" s="78" t="s">
        <v>1425</v>
      </c>
      <c r="I730" s="76" t="s">
        <v>1147</v>
      </c>
      <c r="J730" s="76" t="s">
        <v>1148</v>
      </c>
      <c r="K730" s="76" t="s">
        <v>439</v>
      </c>
      <c r="L730" s="63" t="s">
        <v>1149</v>
      </c>
      <c r="M730" s="63" t="s">
        <v>58</v>
      </c>
      <c r="N730" s="63" t="s">
        <v>59</v>
      </c>
      <c r="O730" s="76" t="s">
        <v>1213</v>
      </c>
      <c r="P730" s="63" t="s">
        <v>2080</v>
      </c>
      <c r="Q730" s="83">
        <v>54686940</v>
      </c>
      <c r="R730" s="98">
        <v>1</v>
      </c>
      <c r="S730" s="80">
        <v>54686940</v>
      </c>
      <c r="T730" s="63" t="s">
        <v>1171</v>
      </c>
      <c r="U730" s="63" t="s">
        <v>1171</v>
      </c>
      <c r="V730" s="81" t="s">
        <v>724</v>
      </c>
      <c r="W730" s="82" t="s">
        <v>439</v>
      </c>
      <c r="X730" s="99" t="s">
        <v>2081</v>
      </c>
      <c r="Y730" s="81">
        <v>43147</v>
      </c>
      <c r="Z730" s="83">
        <v>54686940</v>
      </c>
      <c r="AA730" s="84" t="s">
        <v>1742</v>
      </c>
      <c r="AB730" s="85">
        <v>652</v>
      </c>
      <c r="AC730" s="81">
        <v>43150</v>
      </c>
      <c r="AD730" s="86">
        <v>54686940</v>
      </c>
      <c r="AE730" s="87">
        <f t="shared" si="76"/>
        <v>0</v>
      </c>
      <c r="AF730" s="85">
        <v>1579</v>
      </c>
      <c r="AG730" s="81">
        <v>43174</v>
      </c>
      <c r="AH730" s="86">
        <v>54686940</v>
      </c>
      <c r="AI730" s="63" t="s">
        <v>2082</v>
      </c>
      <c r="AJ730" s="63">
        <v>1513</v>
      </c>
      <c r="AK730" s="87">
        <f t="shared" si="73"/>
        <v>0</v>
      </c>
      <c r="AL730" s="86">
        <v>54686940</v>
      </c>
      <c r="AM730" s="86">
        <f t="shared" si="74"/>
        <v>0</v>
      </c>
      <c r="AN730" s="63" t="s">
        <v>1155</v>
      </c>
      <c r="AO730" s="86">
        <f t="shared" si="75"/>
        <v>0</v>
      </c>
      <c r="AP730" s="63"/>
      <c r="AQ730" s="63"/>
      <c r="AR730" s="63"/>
      <c r="AS730" s="63"/>
      <c r="AT730" s="63"/>
      <c r="AU730" s="220"/>
      <c r="AV730" s="220"/>
      <c r="AW730" s="220"/>
    </row>
    <row r="731" spans="1:49" s="221" customFormat="1" ht="171" x14ac:dyDescent="0.25">
      <c r="A731" s="63">
        <v>317</v>
      </c>
      <c r="B731" s="63" t="str">
        <f t="shared" si="72"/>
        <v>3075-317</v>
      </c>
      <c r="C731" s="76" t="s">
        <v>1141</v>
      </c>
      <c r="D731" s="76" t="s">
        <v>1142</v>
      </c>
      <c r="E731" s="76" t="s">
        <v>1197</v>
      </c>
      <c r="F731" s="76" t="s">
        <v>1175</v>
      </c>
      <c r="G731" s="77" t="s">
        <v>1176</v>
      </c>
      <c r="H731" s="78" t="s">
        <v>1198</v>
      </c>
      <c r="I731" s="76" t="s">
        <v>1147</v>
      </c>
      <c r="J731" s="76" t="s">
        <v>1148</v>
      </c>
      <c r="K731" s="76" t="s">
        <v>439</v>
      </c>
      <c r="L731" s="63" t="s">
        <v>1149</v>
      </c>
      <c r="M731" s="63" t="s">
        <v>58</v>
      </c>
      <c r="N731" s="63" t="s">
        <v>59</v>
      </c>
      <c r="O731" s="76" t="s">
        <v>1199</v>
      </c>
      <c r="P731" s="76" t="s">
        <v>1200</v>
      </c>
      <c r="Q731" s="79">
        <v>2031457538</v>
      </c>
      <c r="R731" s="63">
        <v>1</v>
      </c>
      <c r="S731" s="80">
        <v>2031457538</v>
      </c>
      <c r="T731" s="63" t="s">
        <v>1171</v>
      </c>
      <c r="U731" s="63" t="s">
        <v>1171</v>
      </c>
      <c r="V731" s="81" t="s">
        <v>1208</v>
      </c>
      <c r="W731" s="82" t="s">
        <v>439</v>
      </c>
      <c r="X731" s="99" t="s">
        <v>2083</v>
      </c>
      <c r="Y731" s="81">
        <v>43147</v>
      </c>
      <c r="Z731" s="83">
        <v>2031457538</v>
      </c>
      <c r="AA731" s="84" t="s">
        <v>2084</v>
      </c>
      <c r="AB731" s="85">
        <v>649</v>
      </c>
      <c r="AC731" s="81">
        <v>43150</v>
      </c>
      <c r="AD731" s="86">
        <v>2031457538</v>
      </c>
      <c r="AE731" s="87">
        <f t="shared" si="76"/>
        <v>0</v>
      </c>
      <c r="AF731" s="85" t="s">
        <v>1202</v>
      </c>
      <c r="AG731" s="81" t="s">
        <v>1202</v>
      </c>
      <c r="AH731" s="86">
        <v>2019436119</v>
      </c>
      <c r="AI731" s="63" t="s">
        <v>1202</v>
      </c>
      <c r="AJ731" s="63" t="s">
        <v>1202</v>
      </c>
      <c r="AK731" s="87">
        <f t="shared" si="73"/>
        <v>12021419</v>
      </c>
      <c r="AL731" s="86">
        <v>1030779301</v>
      </c>
      <c r="AM731" s="86">
        <f t="shared" si="74"/>
        <v>988656818</v>
      </c>
      <c r="AN731" s="63" t="s">
        <v>1155</v>
      </c>
      <c r="AO731" s="86">
        <f t="shared" si="75"/>
        <v>12021419</v>
      </c>
      <c r="AP731" s="63"/>
      <c r="AQ731" s="63"/>
      <c r="AR731" s="63"/>
      <c r="AS731" s="63"/>
      <c r="AT731" s="63"/>
      <c r="AU731" s="220"/>
      <c r="AV731" s="220"/>
      <c r="AW731" s="220"/>
    </row>
    <row r="732" spans="1:49" s="221" customFormat="1" ht="342" x14ac:dyDescent="0.25">
      <c r="A732" s="63">
        <v>318</v>
      </c>
      <c r="B732" s="63" t="str">
        <f t="shared" si="72"/>
        <v>3075-318</v>
      </c>
      <c r="C732" s="76" t="s">
        <v>1141</v>
      </c>
      <c r="D732" s="76" t="s">
        <v>1142</v>
      </c>
      <c r="E732" s="76" t="s">
        <v>1424</v>
      </c>
      <c r="F732" s="76" t="s">
        <v>1175</v>
      </c>
      <c r="G732" s="77" t="s">
        <v>1176</v>
      </c>
      <c r="H732" s="78" t="s">
        <v>1425</v>
      </c>
      <c r="I732" s="76" t="s">
        <v>1147</v>
      </c>
      <c r="J732" s="76" t="s">
        <v>1148</v>
      </c>
      <c r="K732" s="76" t="s">
        <v>439</v>
      </c>
      <c r="L732" s="63" t="s">
        <v>1149</v>
      </c>
      <c r="M732" s="63" t="s">
        <v>58</v>
      </c>
      <c r="N732" s="63" t="s">
        <v>59</v>
      </c>
      <c r="O732" s="76" t="s">
        <v>1213</v>
      </c>
      <c r="P732" s="63" t="s">
        <v>2085</v>
      </c>
      <c r="Q732" s="83">
        <v>54686940</v>
      </c>
      <c r="R732" s="98">
        <v>1</v>
      </c>
      <c r="S732" s="80">
        <v>54686940</v>
      </c>
      <c r="T732" s="63" t="s">
        <v>1171</v>
      </c>
      <c r="U732" s="63" t="s">
        <v>1171</v>
      </c>
      <c r="V732" s="81" t="s">
        <v>724</v>
      </c>
      <c r="W732" s="82" t="s">
        <v>439</v>
      </c>
      <c r="X732" s="99" t="s">
        <v>2086</v>
      </c>
      <c r="Y732" s="81">
        <v>43151</v>
      </c>
      <c r="Z732" s="83">
        <v>54686940</v>
      </c>
      <c r="AA732" s="84" t="s">
        <v>1742</v>
      </c>
      <c r="AB732" s="85">
        <v>656</v>
      </c>
      <c r="AC732" s="81">
        <v>43151</v>
      </c>
      <c r="AD732" s="86">
        <v>54686940</v>
      </c>
      <c r="AE732" s="87">
        <f t="shared" si="76"/>
        <v>0</v>
      </c>
      <c r="AF732" s="85">
        <v>1482</v>
      </c>
      <c r="AG732" s="81">
        <v>43160</v>
      </c>
      <c r="AH732" s="86">
        <v>54686940</v>
      </c>
      <c r="AI732" s="63" t="s">
        <v>2087</v>
      </c>
      <c r="AJ732" s="63">
        <v>1462</v>
      </c>
      <c r="AK732" s="87">
        <f t="shared" si="73"/>
        <v>0</v>
      </c>
      <c r="AL732" s="86">
        <v>54686940</v>
      </c>
      <c r="AM732" s="86">
        <f t="shared" si="74"/>
        <v>0</v>
      </c>
      <c r="AN732" s="63" t="s">
        <v>1155</v>
      </c>
      <c r="AO732" s="86">
        <f t="shared" si="75"/>
        <v>0</v>
      </c>
      <c r="AP732" s="63"/>
      <c r="AQ732" s="63"/>
      <c r="AR732" s="63"/>
      <c r="AS732" s="63"/>
      <c r="AT732" s="63"/>
      <c r="AU732" s="220"/>
      <c r="AV732" s="220"/>
      <c r="AW732" s="220"/>
    </row>
    <row r="733" spans="1:49" s="221" customFormat="1" ht="342" x14ac:dyDescent="0.25">
      <c r="A733" s="63">
        <v>319</v>
      </c>
      <c r="B733" s="63" t="str">
        <f t="shared" si="72"/>
        <v>3075-319</v>
      </c>
      <c r="C733" s="76" t="s">
        <v>1141</v>
      </c>
      <c r="D733" s="76" t="s">
        <v>1142</v>
      </c>
      <c r="E733" s="76" t="s">
        <v>1424</v>
      </c>
      <c r="F733" s="76" t="s">
        <v>1175</v>
      </c>
      <c r="G733" s="77" t="s">
        <v>1176</v>
      </c>
      <c r="H733" s="78" t="s">
        <v>1425</v>
      </c>
      <c r="I733" s="76" t="s">
        <v>1147</v>
      </c>
      <c r="J733" s="76" t="s">
        <v>1148</v>
      </c>
      <c r="K733" s="76" t="s">
        <v>439</v>
      </c>
      <c r="L733" s="63" t="s">
        <v>1149</v>
      </c>
      <c r="M733" s="63" t="s">
        <v>58</v>
      </c>
      <c r="N733" s="63" t="s">
        <v>59</v>
      </c>
      <c r="O733" s="76" t="s">
        <v>1213</v>
      </c>
      <c r="P733" s="63" t="s">
        <v>2088</v>
      </c>
      <c r="Q733" s="83">
        <v>54686940</v>
      </c>
      <c r="R733" s="98">
        <v>1</v>
      </c>
      <c r="S733" s="80">
        <v>54686940</v>
      </c>
      <c r="T733" s="63" t="s">
        <v>1171</v>
      </c>
      <c r="U733" s="63" t="s">
        <v>1171</v>
      </c>
      <c r="V733" s="81" t="s">
        <v>724</v>
      </c>
      <c r="W733" s="82" t="s">
        <v>439</v>
      </c>
      <c r="X733" s="99" t="s">
        <v>2089</v>
      </c>
      <c r="Y733" s="81">
        <v>43152</v>
      </c>
      <c r="Z733" s="83">
        <v>54686940</v>
      </c>
      <c r="AA733" s="84" t="s">
        <v>1742</v>
      </c>
      <c r="AB733" s="85">
        <v>658</v>
      </c>
      <c r="AC733" s="81">
        <v>43154</v>
      </c>
      <c r="AD733" s="86">
        <v>54686940</v>
      </c>
      <c r="AE733" s="87">
        <f t="shared" si="76"/>
        <v>0</v>
      </c>
      <c r="AF733" s="85">
        <v>1610</v>
      </c>
      <c r="AG733" s="81">
        <v>43180</v>
      </c>
      <c r="AH733" s="86">
        <v>54686940</v>
      </c>
      <c r="AI733" s="63" t="s">
        <v>2090</v>
      </c>
      <c r="AJ733" s="63">
        <v>1608</v>
      </c>
      <c r="AK733" s="87">
        <f t="shared" si="73"/>
        <v>0</v>
      </c>
      <c r="AL733" s="86">
        <v>54686940</v>
      </c>
      <c r="AM733" s="86">
        <f t="shared" si="74"/>
        <v>0</v>
      </c>
      <c r="AN733" s="63" t="s">
        <v>1155</v>
      </c>
      <c r="AO733" s="86">
        <f t="shared" si="75"/>
        <v>0</v>
      </c>
      <c r="AP733" s="63"/>
      <c r="AQ733" s="63"/>
      <c r="AR733" s="63"/>
      <c r="AS733" s="63"/>
      <c r="AT733" s="63"/>
      <c r="AU733" s="220"/>
      <c r="AV733" s="220"/>
      <c r="AW733" s="220"/>
    </row>
    <row r="734" spans="1:49" s="221" customFormat="1" ht="342" x14ac:dyDescent="0.25">
      <c r="A734" s="63">
        <v>320</v>
      </c>
      <c r="B734" s="63" t="str">
        <f t="shared" si="72"/>
        <v>3075-320</v>
      </c>
      <c r="C734" s="76" t="s">
        <v>1141</v>
      </c>
      <c r="D734" s="76" t="s">
        <v>1142</v>
      </c>
      <c r="E734" s="76" t="s">
        <v>1424</v>
      </c>
      <c r="F734" s="76" t="s">
        <v>1175</v>
      </c>
      <c r="G734" s="77" t="s">
        <v>1176</v>
      </c>
      <c r="H734" s="78" t="s">
        <v>1425</v>
      </c>
      <c r="I734" s="76" t="s">
        <v>1147</v>
      </c>
      <c r="J734" s="76" t="s">
        <v>1148</v>
      </c>
      <c r="K734" s="76" t="s">
        <v>439</v>
      </c>
      <c r="L734" s="63" t="s">
        <v>1149</v>
      </c>
      <c r="M734" s="63" t="s">
        <v>58</v>
      </c>
      <c r="N734" s="63" t="s">
        <v>59</v>
      </c>
      <c r="O734" s="76" t="s">
        <v>1213</v>
      </c>
      <c r="P734" s="63" t="s">
        <v>2091</v>
      </c>
      <c r="Q734" s="83">
        <v>54686940</v>
      </c>
      <c r="R734" s="98">
        <v>1</v>
      </c>
      <c r="S734" s="80">
        <v>54686940</v>
      </c>
      <c r="T734" s="63" t="s">
        <v>1171</v>
      </c>
      <c r="U734" s="63" t="s">
        <v>1171</v>
      </c>
      <c r="V734" s="81" t="s">
        <v>724</v>
      </c>
      <c r="W734" s="82" t="s">
        <v>439</v>
      </c>
      <c r="X734" s="99" t="s">
        <v>2092</v>
      </c>
      <c r="Y734" s="81">
        <v>43152</v>
      </c>
      <c r="Z734" s="83">
        <v>54686940</v>
      </c>
      <c r="AA734" s="84" t="s">
        <v>1742</v>
      </c>
      <c r="AB734" s="85">
        <v>660</v>
      </c>
      <c r="AC734" s="81">
        <v>43154</v>
      </c>
      <c r="AD734" s="86">
        <v>54686940</v>
      </c>
      <c r="AE734" s="87">
        <f t="shared" si="76"/>
        <v>0</v>
      </c>
      <c r="AF734" s="85">
        <v>1611</v>
      </c>
      <c r="AG734" s="81">
        <v>43180</v>
      </c>
      <c r="AH734" s="86">
        <v>54686940</v>
      </c>
      <c r="AI734" s="63" t="s">
        <v>2093</v>
      </c>
      <c r="AJ734" s="63">
        <v>1609</v>
      </c>
      <c r="AK734" s="87">
        <f t="shared" si="73"/>
        <v>0</v>
      </c>
      <c r="AL734" s="86">
        <v>54686940</v>
      </c>
      <c r="AM734" s="86">
        <f t="shared" si="74"/>
        <v>0</v>
      </c>
      <c r="AN734" s="63" t="s">
        <v>1155</v>
      </c>
      <c r="AO734" s="86">
        <f t="shared" si="75"/>
        <v>0</v>
      </c>
      <c r="AP734" s="63"/>
      <c r="AQ734" s="63"/>
      <c r="AR734" s="63"/>
      <c r="AS734" s="63"/>
      <c r="AT734" s="63"/>
      <c r="AU734" s="220"/>
      <c r="AV734" s="220"/>
      <c r="AW734" s="220"/>
    </row>
    <row r="735" spans="1:49" s="221" customFormat="1" ht="342" x14ac:dyDescent="0.25">
      <c r="A735" s="63">
        <v>321</v>
      </c>
      <c r="B735" s="63" t="str">
        <f t="shared" ref="B735:B798" si="77">CONCATENATE("3075","-",A735)</f>
        <v>3075-321</v>
      </c>
      <c r="C735" s="76" t="s">
        <v>1141</v>
      </c>
      <c r="D735" s="76" t="s">
        <v>1142</v>
      </c>
      <c r="E735" s="76" t="s">
        <v>1424</v>
      </c>
      <c r="F735" s="76" t="s">
        <v>1175</v>
      </c>
      <c r="G735" s="77" t="s">
        <v>1176</v>
      </c>
      <c r="H735" s="78" t="s">
        <v>1425</v>
      </c>
      <c r="I735" s="76" t="s">
        <v>1147</v>
      </c>
      <c r="J735" s="76" t="s">
        <v>1148</v>
      </c>
      <c r="K735" s="76" t="s">
        <v>439</v>
      </c>
      <c r="L735" s="63" t="s">
        <v>1149</v>
      </c>
      <c r="M735" s="63" t="s">
        <v>58</v>
      </c>
      <c r="N735" s="63" t="s">
        <v>59</v>
      </c>
      <c r="O735" s="76" t="s">
        <v>1213</v>
      </c>
      <c r="P735" s="63" t="s">
        <v>2094</v>
      </c>
      <c r="Q735" s="83">
        <v>54686940</v>
      </c>
      <c r="R735" s="98">
        <v>1</v>
      </c>
      <c r="S735" s="80">
        <v>54686940</v>
      </c>
      <c r="T735" s="63" t="s">
        <v>1171</v>
      </c>
      <c r="U735" s="63" t="s">
        <v>1171</v>
      </c>
      <c r="V735" s="81" t="s">
        <v>724</v>
      </c>
      <c r="W735" s="82" t="s">
        <v>439</v>
      </c>
      <c r="X735" s="99" t="s">
        <v>2095</v>
      </c>
      <c r="Y735" s="81">
        <v>43159</v>
      </c>
      <c r="Z735" s="83">
        <v>54686940</v>
      </c>
      <c r="AA735" s="84" t="s">
        <v>1742</v>
      </c>
      <c r="AB735" s="85">
        <v>668</v>
      </c>
      <c r="AC735" s="81">
        <v>43160</v>
      </c>
      <c r="AD735" s="86">
        <v>54686940</v>
      </c>
      <c r="AE735" s="87">
        <f t="shared" si="76"/>
        <v>0</v>
      </c>
      <c r="AF735" s="85">
        <v>1640</v>
      </c>
      <c r="AG735" s="81">
        <v>43182</v>
      </c>
      <c r="AH735" s="86">
        <v>54686940</v>
      </c>
      <c r="AI735" s="63" t="s">
        <v>2096</v>
      </c>
      <c r="AJ735" s="63">
        <v>1631</v>
      </c>
      <c r="AK735" s="87">
        <f t="shared" ref="AK735:AK798" si="78">AD735-AH735</f>
        <v>0</v>
      </c>
      <c r="AL735" s="86">
        <v>54686940</v>
      </c>
      <c r="AM735" s="86">
        <f t="shared" ref="AM735:AM798" si="79">AH735-AL735</f>
        <v>0</v>
      </c>
      <c r="AN735" s="63" t="s">
        <v>1155</v>
      </c>
      <c r="AO735" s="86">
        <f t="shared" ref="AO735:AO798" si="80">S735-AH735</f>
        <v>0</v>
      </c>
      <c r="AP735" s="63"/>
      <c r="AQ735" s="63"/>
      <c r="AR735" s="63"/>
      <c r="AS735" s="63"/>
      <c r="AT735" s="63"/>
      <c r="AU735" s="220"/>
      <c r="AV735" s="220"/>
      <c r="AW735" s="220"/>
    </row>
    <row r="736" spans="1:49" s="221" customFormat="1" ht="342" x14ac:dyDescent="0.25">
      <c r="A736" s="63">
        <v>322</v>
      </c>
      <c r="B736" s="63" t="str">
        <f t="shared" si="77"/>
        <v>3075-322</v>
      </c>
      <c r="C736" s="76" t="s">
        <v>1141</v>
      </c>
      <c r="D736" s="76" t="s">
        <v>1142</v>
      </c>
      <c r="E736" s="76" t="s">
        <v>1424</v>
      </c>
      <c r="F736" s="76" t="s">
        <v>1175</v>
      </c>
      <c r="G736" s="77" t="s">
        <v>1176</v>
      </c>
      <c r="H736" s="78" t="s">
        <v>1425</v>
      </c>
      <c r="I736" s="76" t="s">
        <v>1147</v>
      </c>
      <c r="J736" s="76" t="s">
        <v>1148</v>
      </c>
      <c r="K736" s="76" t="s">
        <v>439</v>
      </c>
      <c r="L736" s="63" t="s">
        <v>1149</v>
      </c>
      <c r="M736" s="63" t="s">
        <v>58</v>
      </c>
      <c r="N736" s="63" t="s">
        <v>59</v>
      </c>
      <c r="O736" s="76" t="s">
        <v>1213</v>
      </c>
      <c r="P736" s="63" t="s">
        <v>2097</v>
      </c>
      <c r="Q736" s="83">
        <v>54686940</v>
      </c>
      <c r="R736" s="98">
        <v>1</v>
      </c>
      <c r="S736" s="80">
        <v>54686940</v>
      </c>
      <c r="T736" s="63" t="s">
        <v>1171</v>
      </c>
      <c r="U736" s="63" t="s">
        <v>1171</v>
      </c>
      <c r="V736" s="81" t="s">
        <v>411</v>
      </c>
      <c r="W736" s="82" t="s">
        <v>439</v>
      </c>
      <c r="X736" s="99" t="s">
        <v>2098</v>
      </c>
      <c r="Y736" s="81">
        <v>43159</v>
      </c>
      <c r="Z736" s="83">
        <v>54686940</v>
      </c>
      <c r="AA736" s="84" t="s">
        <v>1742</v>
      </c>
      <c r="AB736" s="85">
        <v>666</v>
      </c>
      <c r="AC736" s="81">
        <v>43160</v>
      </c>
      <c r="AD736" s="86">
        <v>54686940</v>
      </c>
      <c r="AE736" s="87">
        <f t="shared" si="76"/>
        <v>0</v>
      </c>
      <c r="AF736" s="85">
        <v>1764</v>
      </c>
      <c r="AG736" s="81">
        <v>43201</v>
      </c>
      <c r="AH736" s="86">
        <v>54686940</v>
      </c>
      <c r="AI736" s="63" t="s">
        <v>2099</v>
      </c>
      <c r="AJ736" s="63">
        <v>1774</v>
      </c>
      <c r="AK736" s="87">
        <f t="shared" si="78"/>
        <v>0</v>
      </c>
      <c r="AL736" s="86">
        <v>54686940</v>
      </c>
      <c r="AM736" s="86">
        <f t="shared" si="79"/>
        <v>0</v>
      </c>
      <c r="AN736" s="63" t="s">
        <v>1155</v>
      </c>
      <c r="AO736" s="86">
        <f t="shared" si="80"/>
        <v>0</v>
      </c>
      <c r="AP736" s="63"/>
      <c r="AQ736" s="63"/>
      <c r="AR736" s="63"/>
      <c r="AS736" s="63"/>
      <c r="AT736" s="63"/>
      <c r="AU736" s="220"/>
      <c r="AV736" s="220"/>
      <c r="AW736" s="220"/>
    </row>
    <row r="737" spans="1:49" s="221" customFormat="1" ht="342" x14ac:dyDescent="0.25">
      <c r="A737" s="63">
        <v>323</v>
      </c>
      <c r="B737" s="63" t="str">
        <f t="shared" si="77"/>
        <v>3075-323</v>
      </c>
      <c r="C737" s="76" t="s">
        <v>1141</v>
      </c>
      <c r="D737" s="76" t="s">
        <v>1142</v>
      </c>
      <c r="E737" s="76" t="s">
        <v>1424</v>
      </c>
      <c r="F737" s="76" t="s">
        <v>1175</v>
      </c>
      <c r="G737" s="77" t="s">
        <v>1176</v>
      </c>
      <c r="H737" s="78" t="s">
        <v>1425</v>
      </c>
      <c r="I737" s="76" t="s">
        <v>1147</v>
      </c>
      <c r="J737" s="76" t="s">
        <v>1148</v>
      </c>
      <c r="K737" s="76" t="s">
        <v>439</v>
      </c>
      <c r="L737" s="63" t="s">
        <v>1149</v>
      </c>
      <c r="M737" s="63" t="s">
        <v>58</v>
      </c>
      <c r="N737" s="63" t="s">
        <v>59</v>
      </c>
      <c r="O737" s="76" t="s">
        <v>1213</v>
      </c>
      <c r="P737" s="63" t="s">
        <v>2100</v>
      </c>
      <c r="Q737" s="83">
        <v>54686940</v>
      </c>
      <c r="R737" s="98">
        <v>1</v>
      </c>
      <c r="S737" s="80">
        <v>54686940</v>
      </c>
      <c r="T737" s="63" t="s">
        <v>1171</v>
      </c>
      <c r="U737" s="63" t="s">
        <v>1171</v>
      </c>
      <c r="V737" s="81" t="s">
        <v>411</v>
      </c>
      <c r="W737" s="82" t="s">
        <v>439</v>
      </c>
      <c r="X737" s="99" t="s">
        <v>2101</v>
      </c>
      <c r="Y737" s="81">
        <v>43159</v>
      </c>
      <c r="Z737" s="83">
        <v>54686940</v>
      </c>
      <c r="AA737" s="84" t="s">
        <v>1742</v>
      </c>
      <c r="AB737" s="85">
        <v>670</v>
      </c>
      <c r="AC737" s="81">
        <v>43161</v>
      </c>
      <c r="AD737" s="86">
        <v>54686940</v>
      </c>
      <c r="AE737" s="87">
        <f t="shared" si="76"/>
        <v>0</v>
      </c>
      <c r="AF737" s="85">
        <v>1807</v>
      </c>
      <c r="AG737" s="81">
        <v>43207</v>
      </c>
      <c r="AH737" s="86">
        <v>54686940</v>
      </c>
      <c r="AI737" s="63" t="s">
        <v>2102</v>
      </c>
      <c r="AJ737" s="63">
        <v>1865</v>
      </c>
      <c r="AK737" s="87">
        <f t="shared" si="78"/>
        <v>0</v>
      </c>
      <c r="AL737" s="86">
        <v>54686940</v>
      </c>
      <c r="AM737" s="86">
        <f t="shared" si="79"/>
        <v>0</v>
      </c>
      <c r="AN737" s="63" t="s">
        <v>1155</v>
      </c>
      <c r="AO737" s="86">
        <f t="shared" si="80"/>
        <v>0</v>
      </c>
      <c r="AP737" s="63"/>
      <c r="AQ737" s="63"/>
      <c r="AR737" s="63"/>
      <c r="AS737" s="63"/>
      <c r="AT737" s="63"/>
      <c r="AU737" s="220"/>
      <c r="AV737" s="220"/>
      <c r="AW737" s="220"/>
    </row>
    <row r="738" spans="1:49" s="221" customFormat="1" ht="342" x14ac:dyDescent="0.25">
      <c r="A738" s="63">
        <v>324</v>
      </c>
      <c r="B738" s="63" t="str">
        <f t="shared" si="77"/>
        <v>3075-324</v>
      </c>
      <c r="C738" s="76" t="s">
        <v>1141</v>
      </c>
      <c r="D738" s="76" t="s">
        <v>1142</v>
      </c>
      <c r="E738" s="76" t="s">
        <v>1424</v>
      </c>
      <c r="F738" s="76" t="s">
        <v>1175</v>
      </c>
      <c r="G738" s="77" t="s">
        <v>1176</v>
      </c>
      <c r="H738" s="78" t="s">
        <v>1425</v>
      </c>
      <c r="I738" s="76" t="s">
        <v>1147</v>
      </c>
      <c r="J738" s="76" t="s">
        <v>1148</v>
      </c>
      <c r="K738" s="76" t="s">
        <v>439</v>
      </c>
      <c r="L738" s="63" t="s">
        <v>1149</v>
      </c>
      <c r="M738" s="63" t="s">
        <v>58</v>
      </c>
      <c r="N738" s="63" t="s">
        <v>59</v>
      </c>
      <c r="O738" s="76" t="s">
        <v>1213</v>
      </c>
      <c r="P738" s="63" t="s">
        <v>2103</v>
      </c>
      <c r="Q738" s="83">
        <v>54686940</v>
      </c>
      <c r="R738" s="98">
        <v>1</v>
      </c>
      <c r="S738" s="80">
        <v>54686940</v>
      </c>
      <c r="T738" s="63" t="s">
        <v>1171</v>
      </c>
      <c r="U738" s="63" t="s">
        <v>1171</v>
      </c>
      <c r="V738" s="81" t="s">
        <v>411</v>
      </c>
      <c r="W738" s="82" t="s">
        <v>439</v>
      </c>
      <c r="X738" s="99" t="s">
        <v>2104</v>
      </c>
      <c r="Y738" s="81">
        <v>43159</v>
      </c>
      <c r="Z738" s="83">
        <v>54686940</v>
      </c>
      <c r="AA738" s="84" t="s">
        <v>1742</v>
      </c>
      <c r="AB738" s="85">
        <v>667</v>
      </c>
      <c r="AC738" s="81">
        <v>43160</v>
      </c>
      <c r="AD738" s="86">
        <v>54686940</v>
      </c>
      <c r="AE738" s="87">
        <f t="shared" si="76"/>
        <v>0</v>
      </c>
      <c r="AF738" s="85">
        <v>1768</v>
      </c>
      <c r="AG738" s="81">
        <v>43201</v>
      </c>
      <c r="AH738" s="86">
        <v>54686940</v>
      </c>
      <c r="AI738" s="63" t="s">
        <v>2105</v>
      </c>
      <c r="AJ738" s="63">
        <v>1776</v>
      </c>
      <c r="AK738" s="87">
        <f t="shared" si="78"/>
        <v>0</v>
      </c>
      <c r="AL738" s="86">
        <v>54686940</v>
      </c>
      <c r="AM738" s="86">
        <f t="shared" si="79"/>
        <v>0</v>
      </c>
      <c r="AN738" s="63" t="s">
        <v>1155</v>
      </c>
      <c r="AO738" s="86">
        <f t="shared" si="80"/>
        <v>0</v>
      </c>
      <c r="AP738" s="63"/>
      <c r="AQ738" s="63"/>
      <c r="AR738" s="63"/>
      <c r="AS738" s="63"/>
      <c r="AT738" s="63"/>
      <c r="AU738" s="220"/>
      <c r="AV738" s="220"/>
      <c r="AW738" s="220"/>
    </row>
    <row r="739" spans="1:49" s="221" customFormat="1" ht="409.5" x14ac:dyDescent="0.25">
      <c r="A739" s="63">
        <v>325</v>
      </c>
      <c r="B739" s="63" t="str">
        <f t="shared" si="77"/>
        <v>3075-325</v>
      </c>
      <c r="C739" s="76" t="s">
        <v>1141</v>
      </c>
      <c r="D739" s="76" t="s">
        <v>1142</v>
      </c>
      <c r="E739" s="76" t="s">
        <v>1424</v>
      </c>
      <c r="F739" s="76" t="s">
        <v>1158</v>
      </c>
      <c r="G739" s="77" t="s">
        <v>1159</v>
      </c>
      <c r="H739" s="101" t="s">
        <v>1160</v>
      </c>
      <c r="I739" s="76" t="s">
        <v>1147</v>
      </c>
      <c r="J739" s="76" t="s">
        <v>1148</v>
      </c>
      <c r="K739" s="76">
        <v>801116</v>
      </c>
      <c r="L739" s="63" t="s">
        <v>1149</v>
      </c>
      <c r="M739" s="63" t="s">
        <v>58</v>
      </c>
      <c r="N739" s="63" t="s">
        <v>59</v>
      </c>
      <c r="O739" s="76" t="s">
        <v>1213</v>
      </c>
      <c r="P739" s="63" t="s">
        <v>2106</v>
      </c>
      <c r="Q739" s="83">
        <v>3450000</v>
      </c>
      <c r="R739" s="63">
        <v>1</v>
      </c>
      <c r="S739" s="80">
        <v>10350000</v>
      </c>
      <c r="T739" s="63" t="s">
        <v>888</v>
      </c>
      <c r="U739" s="63" t="s">
        <v>1163</v>
      </c>
      <c r="V739" s="81" t="s">
        <v>724</v>
      </c>
      <c r="W739" s="82">
        <v>3</v>
      </c>
      <c r="X739" s="63" t="s">
        <v>2107</v>
      </c>
      <c r="Y739" s="81">
        <v>43161</v>
      </c>
      <c r="Z739" s="83">
        <v>10350000</v>
      </c>
      <c r="AA739" s="84" t="s">
        <v>1676</v>
      </c>
      <c r="AB739" s="85">
        <v>676</v>
      </c>
      <c r="AC739" s="81">
        <v>43164</v>
      </c>
      <c r="AD739" s="86">
        <v>10350000</v>
      </c>
      <c r="AE739" s="86">
        <f t="shared" si="76"/>
        <v>0</v>
      </c>
      <c r="AF739" s="85">
        <v>1612</v>
      </c>
      <c r="AG739" s="81">
        <v>43181</v>
      </c>
      <c r="AH739" s="86">
        <v>10350000</v>
      </c>
      <c r="AI739" s="63" t="s">
        <v>2108</v>
      </c>
      <c r="AJ739" s="63">
        <v>561</v>
      </c>
      <c r="AK739" s="87">
        <f t="shared" si="78"/>
        <v>0</v>
      </c>
      <c r="AL739" s="86">
        <v>10350000</v>
      </c>
      <c r="AM739" s="86">
        <f t="shared" si="79"/>
        <v>0</v>
      </c>
      <c r="AN739" s="63" t="s">
        <v>1155</v>
      </c>
      <c r="AO739" s="86">
        <f t="shared" si="80"/>
        <v>0</v>
      </c>
      <c r="AP739" s="63"/>
      <c r="AQ739" s="81">
        <v>43160</v>
      </c>
      <c r="AR739" s="63" t="s">
        <v>2109</v>
      </c>
      <c r="AS739" s="81">
        <v>43161</v>
      </c>
      <c r="AT739" s="63" t="s">
        <v>1453</v>
      </c>
      <c r="AU739" s="220"/>
      <c r="AV739" s="220"/>
      <c r="AW739" s="220"/>
    </row>
    <row r="740" spans="1:49" s="221" customFormat="1" ht="199.5" x14ac:dyDescent="0.25">
      <c r="A740" s="63">
        <v>326</v>
      </c>
      <c r="B740" s="63" t="str">
        <f t="shared" si="77"/>
        <v>3075-326</v>
      </c>
      <c r="C740" s="76" t="s">
        <v>1141</v>
      </c>
      <c r="D740" s="76" t="s">
        <v>1142</v>
      </c>
      <c r="E740" s="76" t="s">
        <v>1174</v>
      </c>
      <c r="F740" s="76" t="s">
        <v>1175</v>
      </c>
      <c r="G740" s="77" t="s">
        <v>1176</v>
      </c>
      <c r="H740" s="78" t="s">
        <v>1177</v>
      </c>
      <c r="I740" s="76" t="s">
        <v>1147</v>
      </c>
      <c r="J740" s="76" t="s">
        <v>1178</v>
      </c>
      <c r="K740" s="76" t="s">
        <v>439</v>
      </c>
      <c r="L740" s="63" t="s">
        <v>1149</v>
      </c>
      <c r="M740" s="63" t="s">
        <v>58</v>
      </c>
      <c r="N740" s="63" t="s">
        <v>59</v>
      </c>
      <c r="O740" s="76" t="s">
        <v>1169</v>
      </c>
      <c r="P740" s="76" t="s">
        <v>2110</v>
      </c>
      <c r="Q740" s="79">
        <v>39062100</v>
      </c>
      <c r="R740" s="63">
        <v>1</v>
      </c>
      <c r="S740" s="80">
        <v>39062100</v>
      </c>
      <c r="T740" s="63" t="s">
        <v>1171</v>
      </c>
      <c r="U740" s="63" t="s">
        <v>1171</v>
      </c>
      <c r="V740" s="81" t="s">
        <v>724</v>
      </c>
      <c r="W740" s="82" t="s">
        <v>439</v>
      </c>
      <c r="X740" s="90" t="s">
        <v>2111</v>
      </c>
      <c r="Y740" s="81">
        <v>43161</v>
      </c>
      <c r="Z740" s="86">
        <v>39062100</v>
      </c>
      <c r="AA740" s="84" t="s">
        <v>2024</v>
      </c>
      <c r="AB740" s="85">
        <v>682</v>
      </c>
      <c r="AC740" s="81">
        <v>43164</v>
      </c>
      <c r="AD740" s="86">
        <v>39062100</v>
      </c>
      <c r="AE740" s="87">
        <f t="shared" si="76"/>
        <v>0</v>
      </c>
      <c r="AF740" s="85">
        <v>1661</v>
      </c>
      <c r="AG740" s="81">
        <v>43186</v>
      </c>
      <c r="AH740" s="86">
        <v>39062100</v>
      </c>
      <c r="AI740" s="63" t="s">
        <v>2112</v>
      </c>
      <c r="AJ740" s="63">
        <v>1627</v>
      </c>
      <c r="AK740" s="87">
        <f t="shared" si="78"/>
        <v>0</v>
      </c>
      <c r="AL740" s="86">
        <v>39062100</v>
      </c>
      <c r="AM740" s="86">
        <f t="shared" si="79"/>
        <v>0</v>
      </c>
      <c r="AN740" s="63" t="s">
        <v>1155</v>
      </c>
      <c r="AO740" s="86">
        <f t="shared" si="80"/>
        <v>0</v>
      </c>
      <c r="AP740" s="63"/>
      <c r="AQ740" s="81">
        <v>43160</v>
      </c>
      <c r="AR740" s="63" t="s">
        <v>2109</v>
      </c>
      <c r="AS740" s="81">
        <v>43161</v>
      </c>
      <c r="AT740" s="63" t="s">
        <v>2110</v>
      </c>
      <c r="AU740" s="220"/>
      <c r="AV740" s="220"/>
      <c r="AW740" s="220"/>
    </row>
    <row r="741" spans="1:49" s="221" customFormat="1" ht="256.5" x14ac:dyDescent="0.25">
      <c r="A741" s="63">
        <v>327</v>
      </c>
      <c r="B741" s="63" t="str">
        <f t="shared" si="77"/>
        <v>3075-327</v>
      </c>
      <c r="C741" s="76" t="s">
        <v>1141</v>
      </c>
      <c r="D741" s="76" t="s">
        <v>1142</v>
      </c>
      <c r="E741" s="76" t="s">
        <v>1174</v>
      </c>
      <c r="F741" s="76" t="s">
        <v>1175</v>
      </c>
      <c r="G741" s="77" t="s">
        <v>1176</v>
      </c>
      <c r="H741" s="78" t="s">
        <v>1177</v>
      </c>
      <c r="I741" s="76" t="s">
        <v>1147</v>
      </c>
      <c r="J741" s="76" t="s">
        <v>1178</v>
      </c>
      <c r="K741" s="76" t="s">
        <v>439</v>
      </c>
      <c r="L741" s="63" t="s">
        <v>1149</v>
      </c>
      <c r="M741" s="63" t="s">
        <v>58</v>
      </c>
      <c r="N741" s="63" t="s">
        <v>59</v>
      </c>
      <c r="O741" s="76" t="s">
        <v>1169</v>
      </c>
      <c r="P741" s="76" t="s">
        <v>2113</v>
      </c>
      <c r="Q741" s="79">
        <v>39062100</v>
      </c>
      <c r="R741" s="63">
        <v>1</v>
      </c>
      <c r="S741" s="80">
        <v>39062100</v>
      </c>
      <c r="T741" s="63" t="s">
        <v>1171</v>
      </c>
      <c r="U741" s="63" t="s">
        <v>1171</v>
      </c>
      <c r="V741" s="81" t="s">
        <v>411</v>
      </c>
      <c r="W741" s="82" t="s">
        <v>439</v>
      </c>
      <c r="X741" s="63" t="s">
        <v>2114</v>
      </c>
      <c r="Y741" s="81">
        <v>43161</v>
      </c>
      <c r="Z741" s="86">
        <v>39062100</v>
      </c>
      <c r="AA741" s="84" t="s">
        <v>2024</v>
      </c>
      <c r="AB741" s="85">
        <v>674</v>
      </c>
      <c r="AC741" s="81">
        <v>43164</v>
      </c>
      <c r="AD741" s="86">
        <v>39062100</v>
      </c>
      <c r="AE741" s="87">
        <f t="shared" si="76"/>
        <v>0</v>
      </c>
      <c r="AF741" s="85">
        <v>1718</v>
      </c>
      <c r="AG741" s="81">
        <v>43195</v>
      </c>
      <c r="AH741" s="86">
        <v>39062100</v>
      </c>
      <c r="AI741" s="63" t="s">
        <v>2115</v>
      </c>
      <c r="AJ741" s="63">
        <v>1690</v>
      </c>
      <c r="AK741" s="87">
        <f t="shared" si="78"/>
        <v>0</v>
      </c>
      <c r="AL741" s="86">
        <v>0</v>
      </c>
      <c r="AM741" s="86">
        <f t="shared" si="79"/>
        <v>39062100</v>
      </c>
      <c r="AN741" s="63" t="s">
        <v>1155</v>
      </c>
      <c r="AO741" s="86">
        <f t="shared" si="80"/>
        <v>0</v>
      </c>
      <c r="AP741" s="63"/>
      <c r="AQ741" s="81">
        <v>43160</v>
      </c>
      <c r="AR741" s="63" t="s">
        <v>2109</v>
      </c>
      <c r="AS741" s="81">
        <v>43161</v>
      </c>
      <c r="AT741" s="63" t="str">
        <f>P741</f>
        <v>VUR de la actual vigencia. Decreto 255 de 2013. LOCALIDAD: CIUDAD BOLIVAR; BARRIO: SAUCES HORTALIZAS (HORTALIZAS); ID:2012-19-14175</v>
      </c>
      <c r="AU741" s="220"/>
      <c r="AV741" s="220"/>
      <c r="AW741" s="220"/>
    </row>
    <row r="742" spans="1:49" s="221" customFormat="1" ht="399" x14ac:dyDescent="0.25">
      <c r="A742" s="63">
        <v>328</v>
      </c>
      <c r="B742" s="63" t="str">
        <f t="shared" si="77"/>
        <v>3075-328</v>
      </c>
      <c r="C742" s="76" t="s">
        <v>1141</v>
      </c>
      <c r="D742" s="76" t="s">
        <v>1142</v>
      </c>
      <c r="E742" s="76" t="s">
        <v>1174</v>
      </c>
      <c r="F742" s="76" t="s">
        <v>1175</v>
      </c>
      <c r="G742" s="77" t="s">
        <v>1176</v>
      </c>
      <c r="H742" s="78" t="s">
        <v>1177</v>
      </c>
      <c r="I742" s="76" t="s">
        <v>1147</v>
      </c>
      <c r="J742" s="76" t="s">
        <v>1178</v>
      </c>
      <c r="K742" s="76" t="s">
        <v>439</v>
      </c>
      <c r="L742" s="63" t="s">
        <v>1149</v>
      </c>
      <c r="M742" s="63" t="s">
        <v>58</v>
      </c>
      <c r="N742" s="63" t="s">
        <v>59</v>
      </c>
      <c r="O742" s="76" t="s">
        <v>1169</v>
      </c>
      <c r="P742" s="76" t="s">
        <v>2116</v>
      </c>
      <c r="Q742" s="79">
        <v>5100000</v>
      </c>
      <c r="R742" s="63">
        <v>1</v>
      </c>
      <c r="S742" s="80">
        <v>5100000</v>
      </c>
      <c r="T742" s="63" t="s">
        <v>1171</v>
      </c>
      <c r="U742" s="63" t="s">
        <v>1171</v>
      </c>
      <c r="V742" s="81" t="s">
        <v>1208</v>
      </c>
      <c r="W742" s="82" t="s">
        <v>439</v>
      </c>
      <c r="X742" s="90" t="s">
        <v>2117</v>
      </c>
      <c r="Y742" s="81">
        <v>43161</v>
      </c>
      <c r="Z742" s="83">
        <v>5100000</v>
      </c>
      <c r="AA742" s="84" t="s">
        <v>2024</v>
      </c>
      <c r="AB742" s="85">
        <v>765</v>
      </c>
      <c r="AC742" s="81">
        <v>43164</v>
      </c>
      <c r="AD742" s="86">
        <v>4672700</v>
      </c>
      <c r="AE742" s="87">
        <f t="shared" si="76"/>
        <v>0</v>
      </c>
      <c r="AF742" s="85">
        <v>2409</v>
      </c>
      <c r="AG742" s="81">
        <v>43280</v>
      </c>
      <c r="AH742" s="86">
        <v>4672700</v>
      </c>
      <c r="AI742" s="63" t="s">
        <v>2118</v>
      </c>
      <c r="AJ742" s="63">
        <v>2819</v>
      </c>
      <c r="AK742" s="87">
        <f t="shared" si="78"/>
        <v>0</v>
      </c>
      <c r="AL742" s="86">
        <v>4672700</v>
      </c>
      <c r="AM742" s="86">
        <f t="shared" si="79"/>
        <v>0</v>
      </c>
      <c r="AN742" s="63" t="s">
        <v>1155</v>
      </c>
      <c r="AO742" s="86">
        <f t="shared" si="80"/>
        <v>427300</v>
      </c>
      <c r="AP742" s="63"/>
      <c r="AQ742" s="81">
        <v>43160</v>
      </c>
      <c r="AR742" s="63" t="s">
        <v>2109</v>
      </c>
      <c r="AS742" s="81">
        <v>43161</v>
      </c>
      <c r="AT742" s="63" t="str">
        <f>P742</f>
        <v>Reajuste de VUR para completar el cierre financiero de la vivienda de reposición escogida por el beneficiario en el proyecto Torres de San Miguel. LOCALIDAD: CIUDAD BOLIVAR; BARRIO: MIRADOR DE LA ESTANCIA I; ID:2012-ALES-231</v>
      </c>
      <c r="AU742" s="220"/>
      <c r="AV742" s="220"/>
      <c r="AW742" s="220"/>
    </row>
    <row r="743" spans="1:49" s="221" customFormat="1" ht="342" x14ac:dyDescent="0.25">
      <c r="A743" s="63">
        <v>329</v>
      </c>
      <c r="B743" s="63" t="str">
        <f t="shared" si="77"/>
        <v>3075-329</v>
      </c>
      <c r="C743" s="76" t="s">
        <v>1141</v>
      </c>
      <c r="D743" s="76" t="s">
        <v>1142</v>
      </c>
      <c r="E743" s="76" t="s">
        <v>1424</v>
      </c>
      <c r="F743" s="76" t="s">
        <v>1175</v>
      </c>
      <c r="G743" s="77" t="s">
        <v>1176</v>
      </c>
      <c r="H743" s="78" t="s">
        <v>1425</v>
      </c>
      <c r="I743" s="76" t="s">
        <v>1147</v>
      </c>
      <c r="J743" s="76" t="s">
        <v>1148</v>
      </c>
      <c r="K743" s="76" t="s">
        <v>439</v>
      </c>
      <c r="L743" s="63" t="s">
        <v>1149</v>
      </c>
      <c r="M743" s="63" t="s">
        <v>58</v>
      </c>
      <c r="N743" s="63" t="s">
        <v>59</v>
      </c>
      <c r="O743" s="76" t="s">
        <v>1213</v>
      </c>
      <c r="P743" s="63" t="s">
        <v>2119</v>
      </c>
      <c r="Q743" s="83">
        <v>54686940</v>
      </c>
      <c r="R743" s="98">
        <v>1</v>
      </c>
      <c r="S743" s="80">
        <v>54686940</v>
      </c>
      <c r="T743" s="63" t="s">
        <v>1171</v>
      </c>
      <c r="U743" s="63" t="s">
        <v>1171</v>
      </c>
      <c r="V743" s="81" t="s">
        <v>1208</v>
      </c>
      <c r="W743" s="82" t="s">
        <v>439</v>
      </c>
      <c r="X743" s="63" t="s">
        <v>2120</v>
      </c>
      <c r="Y743" s="81">
        <v>43161</v>
      </c>
      <c r="Z743" s="83">
        <v>54686940</v>
      </c>
      <c r="AA743" s="84" t="s">
        <v>1742</v>
      </c>
      <c r="AB743" s="85">
        <v>675</v>
      </c>
      <c r="AC743" s="81">
        <v>43164</v>
      </c>
      <c r="AD743" s="86">
        <v>54686940</v>
      </c>
      <c r="AE743" s="87">
        <f t="shared" si="76"/>
        <v>0</v>
      </c>
      <c r="AF743" s="85">
        <v>2040</v>
      </c>
      <c r="AG743" s="81">
        <v>43271</v>
      </c>
      <c r="AH743" s="86">
        <v>54686940</v>
      </c>
      <c r="AI743" s="63" t="s">
        <v>2121</v>
      </c>
      <c r="AJ743" s="63">
        <v>2296</v>
      </c>
      <c r="AK743" s="87">
        <f t="shared" si="78"/>
        <v>0</v>
      </c>
      <c r="AL743" s="86">
        <v>54686940</v>
      </c>
      <c r="AM743" s="86">
        <f t="shared" si="79"/>
        <v>0</v>
      </c>
      <c r="AN743" s="63" t="s">
        <v>1155</v>
      </c>
      <c r="AO743" s="86">
        <f t="shared" si="80"/>
        <v>0</v>
      </c>
      <c r="AP743" s="63"/>
      <c r="AQ743" s="63"/>
      <c r="AR743" s="63"/>
      <c r="AS743" s="63"/>
      <c r="AT743" s="63"/>
      <c r="AU743" s="220"/>
      <c r="AV743" s="220"/>
      <c r="AW743" s="220"/>
    </row>
    <row r="744" spans="1:49" s="221" customFormat="1" ht="342" x14ac:dyDescent="0.25">
      <c r="A744" s="63">
        <v>330</v>
      </c>
      <c r="B744" s="63" t="str">
        <f t="shared" si="77"/>
        <v>3075-330</v>
      </c>
      <c r="C744" s="76" t="s">
        <v>1141</v>
      </c>
      <c r="D744" s="76" t="s">
        <v>1142</v>
      </c>
      <c r="E744" s="76" t="s">
        <v>1424</v>
      </c>
      <c r="F744" s="76" t="s">
        <v>1175</v>
      </c>
      <c r="G744" s="77" t="s">
        <v>1176</v>
      </c>
      <c r="H744" s="78" t="s">
        <v>1425</v>
      </c>
      <c r="I744" s="76" t="s">
        <v>1147</v>
      </c>
      <c r="J744" s="76" t="s">
        <v>1148</v>
      </c>
      <c r="K744" s="76" t="s">
        <v>439</v>
      </c>
      <c r="L744" s="63" t="s">
        <v>1149</v>
      </c>
      <c r="M744" s="63" t="s">
        <v>58</v>
      </c>
      <c r="N744" s="63" t="s">
        <v>59</v>
      </c>
      <c r="O744" s="76" t="s">
        <v>1213</v>
      </c>
      <c r="P744" s="63" t="s">
        <v>2122</v>
      </c>
      <c r="Q744" s="83">
        <v>54686940</v>
      </c>
      <c r="R744" s="98">
        <v>1</v>
      </c>
      <c r="S744" s="80">
        <v>54686940</v>
      </c>
      <c r="T744" s="63" t="s">
        <v>1171</v>
      </c>
      <c r="U744" s="63" t="s">
        <v>1171</v>
      </c>
      <c r="V744" s="81" t="s">
        <v>724</v>
      </c>
      <c r="W744" s="82" t="s">
        <v>439</v>
      </c>
      <c r="X744" s="90" t="s">
        <v>2123</v>
      </c>
      <c r="Y744" s="81">
        <v>43161</v>
      </c>
      <c r="Z744" s="83">
        <v>54686940</v>
      </c>
      <c r="AA744" s="84" t="s">
        <v>1742</v>
      </c>
      <c r="AB744" s="85">
        <v>678</v>
      </c>
      <c r="AC744" s="81">
        <v>43164</v>
      </c>
      <c r="AD744" s="86">
        <v>54686940</v>
      </c>
      <c r="AE744" s="87">
        <f t="shared" si="76"/>
        <v>0</v>
      </c>
      <c r="AF744" s="85">
        <v>1641</v>
      </c>
      <c r="AG744" s="81">
        <v>43182</v>
      </c>
      <c r="AH744" s="86">
        <v>54686940</v>
      </c>
      <c r="AI744" s="63" t="s">
        <v>2124</v>
      </c>
      <c r="AJ744" s="63">
        <v>1629</v>
      </c>
      <c r="AK744" s="87">
        <f t="shared" si="78"/>
        <v>0</v>
      </c>
      <c r="AL744" s="86">
        <v>54686940</v>
      </c>
      <c r="AM744" s="86">
        <f t="shared" si="79"/>
        <v>0</v>
      </c>
      <c r="AN744" s="63" t="s">
        <v>1155</v>
      </c>
      <c r="AO744" s="86">
        <f t="shared" si="80"/>
        <v>0</v>
      </c>
      <c r="AP744" s="63"/>
      <c r="AQ744" s="63"/>
      <c r="AR744" s="63"/>
      <c r="AS744" s="63"/>
      <c r="AT744" s="63"/>
      <c r="AU744" s="220"/>
      <c r="AV744" s="220"/>
      <c r="AW744" s="220"/>
    </row>
    <row r="745" spans="1:49" s="221" customFormat="1" ht="342" x14ac:dyDescent="0.25">
      <c r="A745" s="63">
        <v>331</v>
      </c>
      <c r="B745" s="63" t="str">
        <f t="shared" si="77"/>
        <v>3075-331</v>
      </c>
      <c r="C745" s="76" t="s">
        <v>1141</v>
      </c>
      <c r="D745" s="76" t="s">
        <v>1142</v>
      </c>
      <c r="E745" s="76" t="s">
        <v>1424</v>
      </c>
      <c r="F745" s="76" t="s">
        <v>1175</v>
      </c>
      <c r="G745" s="77" t="s">
        <v>1176</v>
      </c>
      <c r="H745" s="78" t="s">
        <v>1425</v>
      </c>
      <c r="I745" s="76" t="s">
        <v>1147</v>
      </c>
      <c r="J745" s="76" t="s">
        <v>1148</v>
      </c>
      <c r="K745" s="76" t="s">
        <v>439</v>
      </c>
      <c r="L745" s="63" t="s">
        <v>1149</v>
      </c>
      <c r="M745" s="63" t="s">
        <v>58</v>
      </c>
      <c r="N745" s="63" t="s">
        <v>59</v>
      </c>
      <c r="O745" s="76" t="s">
        <v>1213</v>
      </c>
      <c r="P745" s="63" t="s">
        <v>2125</v>
      </c>
      <c r="Q745" s="83">
        <v>54686940</v>
      </c>
      <c r="R745" s="98">
        <v>1</v>
      </c>
      <c r="S745" s="80">
        <v>54686940</v>
      </c>
      <c r="T745" s="63" t="s">
        <v>1171</v>
      </c>
      <c r="U745" s="63" t="s">
        <v>1171</v>
      </c>
      <c r="V745" s="81" t="s">
        <v>411</v>
      </c>
      <c r="W745" s="82" t="s">
        <v>439</v>
      </c>
      <c r="X745" s="63" t="s">
        <v>2126</v>
      </c>
      <c r="Y745" s="81">
        <v>43161</v>
      </c>
      <c r="Z745" s="83">
        <v>54686940</v>
      </c>
      <c r="AA745" s="84" t="s">
        <v>1742</v>
      </c>
      <c r="AB745" s="85">
        <v>679</v>
      </c>
      <c r="AC745" s="81">
        <v>43164</v>
      </c>
      <c r="AD745" s="86">
        <v>54686940</v>
      </c>
      <c r="AE745" s="87">
        <f t="shared" si="76"/>
        <v>0</v>
      </c>
      <c r="AF745" s="85">
        <v>1763</v>
      </c>
      <c r="AG745" s="81">
        <v>43201</v>
      </c>
      <c r="AH745" s="86">
        <v>54686940</v>
      </c>
      <c r="AI745" s="63" t="s">
        <v>2127</v>
      </c>
      <c r="AJ745" s="63">
        <v>1773</v>
      </c>
      <c r="AK745" s="87">
        <f t="shared" si="78"/>
        <v>0</v>
      </c>
      <c r="AL745" s="86">
        <v>54686940</v>
      </c>
      <c r="AM745" s="86">
        <f t="shared" si="79"/>
        <v>0</v>
      </c>
      <c r="AN745" s="63" t="s">
        <v>1155</v>
      </c>
      <c r="AO745" s="86">
        <f t="shared" si="80"/>
        <v>0</v>
      </c>
      <c r="AP745" s="63"/>
      <c r="AQ745" s="63"/>
      <c r="AR745" s="63"/>
      <c r="AS745" s="63"/>
      <c r="AT745" s="63"/>
      <c r="AU745" s="220"/>
      <c r="AV745" s="220"/>
      <c r="AW745" s="220"/>
    </row>
    <row r="746" spans="1:49" s="221" customFormat="1" ht="213.75" x14ac:dyDescent="0.25">
      <c r="A746" s="63">
        <v>332</v>
      </c>
      <c r="B746" s="63" t="str">
        <f t="shared" si="77"/>
        <v>3075-332</v>
      </c>
      <c r="C746" s="76" t="s">
        <v>1141</v>
      </c>
      <c r="D746" s="76" t="s">
        <v>1142</v>
      </c>
      <c r="E746" s="76" t="s">
        <v>1165</v>
      </c>
      <c r="F746" s="76" t="s">
        <v>1166</v>
      </c>
      <c r="G746" s="77" t="s">
        <v>1167</v>
      </c>
      <c r="H746" s="78" t="s">
        <v>1168</v>
      </c>
      <c r="I746" s="76" t="s">
        <v>1147</v>
      </c>
      <c r="J746" s="76" t="s">
        <v>1148</v>
      </c>
      <c r="K746" s="76" t="s">
        <v>439</v>
      </c>
      <c r="L746" s="63" t="s">
        <v>1149</v>
      </c>
      <c r="M746" s="63" t="s">
        <v>58</v>
      </c>
      <c r="N746" s="63" t="s">
        <v>59</v>
      </c>
      <c r="O746" s="76" t="s">
        <v>1169</v>
      </c>
      <c r="P746" s="63" t="s">
        <v>2128</v>
      </c>
      <c r="Q746" s="79">
        <v>240679600</v>
      </c>
      <c r="R746" s="63">
        <v>1</v>
      </c>
      <c r="S746" s="80">
        <f>300000000-65920800-52944200+12438274+47106326</f>
        <v>240679600</v>
      </c>
      <c r="T746" s="63" t="s">
        <v>1171</v>
      </c>
      <c r="U746" s="63" t="s">
        <v>1171</v>
      </c>
      <c r="V746" s="81" t="s">
        <v>1023</v>
      </c>
      <c r="W746" s="82" t="s">
        <v>439</v>
      </c>
      <c r="X746" s="90" t="s">
        <v>2129</v>
      </c>
      <c r="Y746" s="89">
        <v>43209</v>
      </c>
      <c r="Z746" s="83">
        <v>240679600</v>
      </c>
      <c r="AA746" s="84" t="s">
        <v>2130</v>
      </c>
      <c r="AB746" s="85">
        <v>803</v>
      </c>
      <c r="AC746" s="81">
        <v>43210</v>
      </c>
      <c r="AD746" s="86">
        <v>240679600</v>
      </c>
      <c r="AE746" s="87">
        <f t="shared" si="76"/>
        <v>0</v>
      </c>
      <c r="AF746" s="85">
        <v>1914</v>
      </c>
      <c r="AG746" s="81">
        <v>43237</v>
      </c>
      <c r="AH746" s="86">
        <v>240679600</v>
      </c>
      <c r="AI746" s="63" t="s">
        <v>2131</v>
      </c>
      <c r="AJ746" s="63">
        <v>2070</v>
      </c>
      <c r="AK746" s="87">
        <f t="shared" si="78"/>
        <v>0</v>
      </c>
      <c r="AL746" s="86">
        <v>72203880</v>
      </c>
      <c r="AM746" s="86">
        <f t="shared" si="79"/>
        <v>168475720</v>
      </c>
      <c r="AN746" s="63" t="s">
        <v>1155</v>
      </c>
      <c r="AO746" s="86">
        <f t="shared" si="80"/>
        <v>0</v>
      </c>
      <c r="AP746" s="63" t="s">
        <v>2132</v>
      </c>
      <c r="AQ746" s="81">
        <v>43209</v>
      </c>
      <c r="AR746" s="63" t="s">
        <v>1156</v>
      </c>
      <c r="AS746" s="81">
        <v>43209</v>
      </c>
      <c r="AT746" s="63" t="s">
        <v>2128</v>
      </c>
      <c r="AU746" s="220"/>
      <c r="AV746" s="220"/>
      <c r="AW746" s="220"/>
    </row>
    <row r="747" spans="1:49" s="221" customFormat="1" ht="142.5" x14ac:dyDescent="0.25">
      <c r="A747" s="63">
        <v>333</v>
      </c>
      <c r="B747" s="63" t="str">
        <f t="shared" si="77"/>
        <v>3075-333</v>
      </c>
      <c r="C747" s="76" t="s">
        <v>1141</v>
      </c>
      <c r="D747" s="76" t="s">
        <v>1142</v>
      </c>
      <c r="E747" s="76" t="s">
        <v>1165</v>
      </c>
      <c r="F747" s="76" t="s">
        <v>1166</v>
      </c>
      <c r="G747" s="77" t="s">
        <v>1167</v>
      </c>
      <c r="H747" s="78" t="s">
        <v>1168</v>
      </c>
      <c r="I747" s="76" t="s">
        <v>1147</v>
      </c>
      <c r="J747" s="76" t="s">
        <v>1148</v>
      </c>
      <c r="K747" s="76" t="s">
        <v>439</v>
      </c>
      <c r="L747" s="63" t="s">
        <v>1149</v>
      </c>
      <c r="M747" s="63" t="s">
        <v>58</v>
      </c>
      <c r="N747" s="63" t="s">
        <v>59</v>
      </c>
      <c r="O747" s="76" t="s">
        <v>1169</v>
      </c>
      <c r="P747" s="63" t="s">
        <v>2133</v>
      </c>
      <c r="Q747" s="79">
        <v>300000000</v>
      </c>
      <c r="R747" s="63">
        <v>1</v>
      </c>
      <c r="S747" s="80">
        <f>300000000-47106326-33401186-20501658-38051600-20351100-42139350-16512000-5680380</f>
        <v>76256400</v>
      </c>
      <c r="T747" s="63" t="s">
        <v>1171</v>
      </c>
      <c r="U747" s="63" t="s">
        <v>1171</v>
      </c>
      <c r="V747" s="81" t="s">
        <v>844</v>
      </c>
      <c r="W747" s="82" t="s">
        <v>439</v>
      </c>
      <c r="X747" s="90" t="s">
        <v>2134</v>
      </c>
      <c r="Y747" s="89">
        <v>43273</v>
      </c>
      <c r="Z747" s="83">
        <v>76256400</v>
      </c>
      <c r="AA747" s="84" t="s">
        <v>1782</v>
      </c>
      <c r="AB747" s="85">
        <v>913</v>
      </c>
      <c r="AC747" s="81">
        <v>43276</v>
      </c>
      <c r="AD747" s="86">
        <v>76256400</v>
      </c>
      <c r="AE747" s="87">
        <f t="shared" si="76"/>
        <v>0</v>
      </c>
      <c r="AF747" s="85">
        <v>2464</v>
      </c>
      <c r="AG747" s="81">
        <v>43292</v>
      </c>
      <c r="AH747" s="86">
        <v>76256400</v>
      </c>
      <c r="AI747" s="63" t="s">
        <v>2135</v>
      </c>
      <c r="AJ747" s="63">
        <v>2837</v>
      </c>
      <c r="AK747" s="87">
        <f t="shared" si="78"/>
        <v>0</v>
      </c>
      <c r="AL747" s="86">
        <v>22876920</v>
      </c>
      <c r="AM747" s="86">
        <f t="shared" si="79"/>
        <v>53379480</v>
      </c>
      <c r="AN747" s="63" t="s">
        <v>1155</v>
      </c>
      <c r="AO747" s="86">
        <f t="shared" si="80"/>
        <v>0</v>
      </c>
      <c r="AP747" s="63" t="s">
        <v>2132</v>
      </c>
      <c r="AQ747" s="81">
        <v>43272</v>
      </c>
      <c r="AR747" s="63" t="s">
        <v>1156</v>
      </c>
      <c r="AS747" s="81">
        <v>43273</v>
      </c>
      <c r="AT747" s="63"/>
      <c r="AU747" s="220"/>
      <c r="AV747" s="220"/>
      <c r="AW747" s="220"/>
    </row>
    <row r="748" spans="1:49" s="221" customFormat="1" ht="228" x14ac:dyDescent="0.25">
      <c r="A748" s="63">
        <v>334</v>
      </c>
      <c r="B748" s="63" t="str">
        <f t="shared" si="77"/>
        <v>3075-334</v>
      </c>
      <c r="C748" s="76" t="s">
        <v>1141</v>
      </c>
      <c r="D748" s="76" t="s">
        <v>1142</v>
      </c>
      <c r="E748" s="76" t="s">
        <v>1165</v>
      </c>
      <c r="F748" s="76" t="s">
        <v>1166</v>
      </c>
      <c r="G748" s="77" t="s">
        <v>1167</v>
      </c>
      <c r="H748" s="78" t="s">
        <v>1168</v>
      </c>
      <c r="I748" s="76" t="s">
        <v>1147</v>
      </c>
      <c r="J748" s="76" t="s">
        <v>1148</v>
      </c>
      <c r="K748" s="76" t="s">
        <v>439</v>
      </c>
      <c r="L748" s="63" t="s">
        <v>1149</v>
      </c>
      <c r="M748" s="63" t="s">
        <v>58</v>
      </c>
      <c r="N748" s="63" t="s">
        <v>59</v>
      </c>
      <c r="O748" s="76" t="s">
        <v>1169</v>
      </c>
      <c r="P748" s="63" t="s">
        <v>2136</v>
      </c>
      <c r="Q748" s="79">
        <v>300000000</v>
      </c>
      <c r="R748" s="63">
        <v>1</v>
      </c>
      <c r="S748" s="80">
        <f>300000000-12535620-10962000-45084240-65332300-34750800-23438800-32148000-23177496</f>
        <v>52570744</v>
      </c>
      <c r="T748" s="63"/>
      <c r="U748" s="63" t="s">
        <v>1171</v>
      </c>
      <c r="V748" s="81" t="s">
        <v>830</v>
      </c>
      <c r="W748" s="82" t="s">
        <v>439</v>
      </c>
      <c r="X748" s="90"/>
      <c r="Y748" s="89"/>
      <c r="Z748" s="83"/>
      <c r="AA748" s="84" t="s">
        <v>1782</v>
      </c>
      <c r="AB748" s="85"/>
      <c r="AC748" s="81"/>
      <c r="AD748" s="86"/>
      <c r="AE748" s="87">
        <f t="shared" si="76"/>
        <v>52570744</v>
      </c>
      <c r="AF748" s="85"/>
      <c r="AG748" s="81"/>
      <c r="AH748" s="86"/>
      <c r="AI748" s="63"/>
      <c r="AJ748" s="63"/>
      <c r="AK748" s="87">
        <f t="shared" si="78"/>
        <v>0</v>
      </c>
      <c r="AL748" s="86"/>
      <c r="AM748" s="86">
        <f t="shared" si="79"/>
        <v>0</v>
      </c>
      <c r="AN748" s="63" t="s">
        <v>1155</v>
      </c>
      <c r="AO748" s="86">
        <f t="shared" si="80"/>
        <v>52570744</v>
      </c>
      <c r="AP748" s="63" t="s">
        <v>2132</v>
      </c>
      <c r="AQ748" s="63"/>
      <c r="AR748" s="63" t="s">
        <v>2109</v>
      </c>
      <c r="AS748" s="63"/>
      <c r="AT748" s="63"/>
      <c r="AU748" s="220"/>
      <c r="AV748" s="220"/>
      <c r="AW748" s="220"/>
    </row>
    <row r="749" spans="1:49" s="221" customFormat="1" ht="228" x14ac:dyDescent="0.25">
      <c r="A749" s="63">
        <v>335</v>
      </c>
      <c r="B749" s="63" t="str">
        <f t="shared" si="77"/>
        <v>3075-335</v>
      </c>
      <c r="C749" s="76" t="s">
        <v>1141</v>
      </c>
      <c r="D749" s="76" t="s">
        <v>1142</v>
      </c>
      <c r="E749" s="76" t="s">
        <v>1165</v>
      </c>
      <c r="F749" s="76" t="s">
        <v>1166</v>
      </c>
      <c r="G749" s="77" t="s">
        <v>1167</v>
      </c>
      <c r="H749" s="78" t="s">
        <v>1168</v>
      </c>
      <c r="I749" s="76" t="s">
        <v>1147</v>
      </c>
      <c r="J749" s="76" t="s">
        <v>1148</v>
      </c>
      <c r="K749" s="76" t="s">
        <v>439</v>
      </c>
      <c r="L749" s="63" t="s">
        <v>1149</v>
      </c>
      <c r="M749" s="63" t="s">
        <v>58</v>
      </c>
      <c r="N749" s="63" t="s">
        <v>59</v>
      </c>
      <c r="O749" s="76" t="s">
        <v>1169</v>
      </c>
      <c r="P749" s="63" t="s">
        <v>2136</v>
      </c>
      <c r="Q749" s="79">
        <v>300000000</v>
      </c>
      <c r="R749" s="63">
        <v>1</v>
      </c>
      <c r="S749" s="80">
        <v>300000000</v>
      </c>
      <c r="T749" s="63"/>
      <c r="U749" s="63" t="s">
        <v>1171</v>
      </c>
      <c r="V749" s="81" t="s">
        <v>1164</v>
      </c>
      <c r="W749" s="82" t="s">
        <v>439</v>
      </c>
      <c r="X749" s="90"/>
      <c r="Y749" s="89"/>
      <c r="Z749" s="83"/>
      <c r="AA749" s="84" t="s">
        <v>1782</v>
      </c>
      <c r="AB749" s="85"/>
      <c r="AC749" s="81"/>
      <c r="AD749" s="86"/>
      <c r="AE749" s="87">
        <f t="shared" si="76"/>
        <v>300000000</v>
      </c>
      <c r="AF749" s="85"/>
      <c r="AG749" s="81"/>
      <c r="AH749" s="86"/>
      <c r="AI749" s="63"/>
      <c r="AJ749" s="63"/>
      <c r="AK749" s="87">
        <f t="shared" si="78"/>
        <v>0</v>
      </c>
      <c r="AL749" s="86"/>
      <c r="AM749" s="86">
        <f t="shared" si="79"/>
        <v>0</v>
      </c>
      <c r="AN749" s="63" t="s">
        <v>1155</v>
      </c>
      <c r="AO749" s="86">
        <f t="shared" si="80"/>
        <v>300000000</v>
      </c>
      <c r="AP749" s="63" t="s">
        <v>2132</v>
      </c>
      <c r="AQ749" s="63"/>
      <c r="AR749" s="63" t="s">
        <v>2109</v>
      </c>
      <c r="AS749" s="63"/>
      <c r="AT749" s="63"/>
      <c r="AU749" s="220"/>
      <c r="AV749" s="220"/>
      <c r="AW749" s="220"/>
    </row>
    <row r="750" spans="1:49" s="221" customFormat="1" ht="228" x14ac:dyDescent="0.25">
      <c r="A750" s="63">
        <v>336</v>
      </c>
      <c r="B750" s="63" t="str">
        <f t="shared" si="77"/>
        <v>3075-336</v>
      </c>
      <c r="C750" s="76" t="s">
        <v>1141</v>
      </c>
      <c r="D750" s="76" t="s">
        <v>1142</v>
      </c>
      <c r="E750" s="76" t="s">
        <v>1165</v>
      </c>
      <c r="F750" s="76" t="s">
        <v>1166</v>
      </c>
      <c r="G750" s="77" t="s">
        <v>1167</v>
      </c>
      <c r="H750" s="78" t="s">
        <v>1168</v>
      </c>
      <c r="I750" s="76" t="s">
        <v>1147</v>
      </c>
      <c r="J750" s="76" t="s">
        <v>1148</v>
      </c>
      <c r="K750" s="76" t="s">
        <v>439</v>
      </c>
      <c r="L750" s="63" t="s">
        <v>1149</v>
      </c>
      <c r="M750" s="63" t="s">
        <v>58</v>
      </c>
      <c r="N750" s="63" t="s">
        <v>59</v>
      </c>
      <c r="O750" s="76" t="s">
        <v>1169</v>
      </c>
      <c r="P750" s="63" t="s">
        <v>2136</v>
      </c>
      <c r="Q750" s="79">
        <v>300000000</v>
      </c>
      <c r="R750" s="63">
        <v>1</v>
      </c>
      <c r="S750" s="80">
        <v>300000000</v>
      </c>
      <c r="T750" s="63"/>
      <c r="U750" s="63" t="s">
        <v>1171</v>
      </c>
      <c r="V750" s="81" t="s">
        <v>830</v>
      </c>
      <c r="W750" s="82" t="s">
        <v>439</v>
      </c>
      <c r="X750" s="90"/>
      <c r="Y750" s="89"/>
      <c r="Z750" s="83"/>
      <c r="AA750" s="84" t="s">
        <v>1782</v>
      </c>
      <c r="AB750" s="85"/>
      <c r="AC750" s="81"/>
      <c r="AD750" s="86"/>
      <c r="AE750" s="87">
        <f t="shared" si="76"/>
        <v>300000000</v>
      </c>
      <c r="AF750" s="85"/>
      <c r="AG750" s="81"/>
      <c r="AH750" s="86"/>
      <c r="AI750" s="63"/>
      <c r="AJ750" s="63"/>
      <c r="AK750" s="87">
        <f t="shared" si="78"/>
        <v>0</v>
      </c>
      <c r="AL750" s="86"/>
      <c r="AM750" s="86">
        <f t="shared" si="79"/>
        <v>0</v>
      </c>
      <c r="AN750" s="63" t="s">
        <v>1155</v>
      </c>
      <c r="AO750" s="86">
        <f t="shared" si="80"/>
        <v>300000000</v>
      </c>
      <c r="AP750" s="63" t="s">
        <v>2132</v>
      </c>
      <c r="AQ750" s="63"/>
      <c r="AR750" s="63" t="s">
        <v>2109</v>
      </c>
      <c r="AS750" s="63"/>
      <c r="AT750" s="63"/>
      <c r="AU750" s="220"/>
      <c r="AV750" s="220"/>
      <c r="AW750" s="220"/>
    </row>
    <row r="751" spans="1:49" s="221" customFormat="1" ht="228" x14ac:dyDescent="0.25">
      <c r="A751" s="63">
        <v>337</v>
      </c>
      <c r="B751" s="63" t="str">
        <f t="shared" si="77"/>
        <v>3075-337</v>
      </c>
      <c r="C751" s="76" t="s">
        <v>1141</v>
      </c>
      <c r="D751" s="76" t="s">
        <v>1142</v>
      </c>
      <c r="E751" s="76" t="s">
        <v>1165</v>
      </c>
      <c r="F751" s="76" t="s">
        <v>1166</v>
      </c>
      <c r="G751" s="77" t="s">
        <v>1167</v>
      </c>
      <c r="H751" s="78" t="s">
        <v>1168</v>
      </c>
      <c r="I751" s="76" t="s">
        <v>1147</v>
      </c>
      <c r="J751" s="76" t="s">
        <v>1148</v>
      </c>
      <c r="K751" s="76" t="s">
        <v>439</v>
      </c>
      <c r="L751" s="63" t="s">
        <v>1149</v>
      </c>
      <c r="M751" s="63" t="s">
        <v>58</v>
      </c>
      <c r="N751" s="63" t="s">
        <v>59</v>
      </c>
      <c r="O751" s="76" t="s">
        <v>1169</v>
      </c>
      <c r="P751" s="63" t="s">
        <v>2136</v>
      </c>
      <c r="Q751" s="79">
        <v>300000000</v>
      </c>
      <c r="R751" s="63">
        <v>1</v>
      </c>
      <c r="S751" s="80">
        <f>262497800-21951600</f>
        <v>240546200</v>
      </c>
      <c r="T751" s="63"/>
      <c r="U751" s="63" t="s">
        <v>1171</v>
      </c>
      <c r="V751" s="81" t="s">
        <v>875</v>
      </c>
      <c r="W751" s="82" t="s">
        <v>439</v>
      </c>
      <c r="X751" s="90"/>
      <c r="Y751" s="89"/>
      <c r="Z751" s="83"/>
      <c r="AA751" s="84" t="s">
        <v>1782</v>
      </c>
      <c r="AB751" s="85"/>
      <c r="AC751" s="81"/>
      <c r="AD751" s="86"/>
      <c r="AE751" s="87">
        <f t="shared" si="76"/>
        <v>240546200</v>
      </c>
      <c r="AF751" s="85"/>
      <c r="AG751" s="81"/>
      <c r="AH751" s="86"/>
      <c r="AI751" s="63"/>
      <c r="AJ751" s="63"/>
      <c r="AK751" s="87">
        <f t="shared" si="78"/>
        <v>0</v>
      </c>
      <c r="AL751" s="86"/>
      <c r="AM751" s="86">
        <f t="shared" si="79"/>
        <v>0</v>
      </c>
      <c r="AN751" s="63" t="s">
        <v>1155</v>
      </c>
      <c r="AO751" s="86">
        <f t="shared" si="80"/>
        <v>240546200</v>
      </c>
      <c r="AP751" s="63" t="s">
        <v>2132</v>
      </c>
      <c r="AQ751" s="63"/>
      <c r="AR751" s="63" t="s">
        <v>2109</v>
      </c>
      <c r="AS751" s="63"/>
      <c r="AT751" s="63"/>
      <c r="AU751" s="220"/>
      <c r="AV751" s="220"/>
      <c r="AW751" s="220"/>
    </row>
    <row r="752" spans="1:49" s="221" customFormat="1" ht="156.75" x14ac:dyDescent="0.25">
      <c r="A752" s="63">
        <v>338</v>
      </c>
      <c r="B752" s="63" t="str">
        <f t="shared" si="77"/>
        <v>3075-338</v>
      </c>
      <c r="C752" s="76" t="s">
        <v>1141</v>
      </c>
      <c r="D752" s="76" t="s">
        <v>1142</v>
      </c>
      <c r="E752" s="76" t="s">
        <v>1174</v>
      </c>
      <c r="F752" s="76" t="s">
        <v>1175</v>
      </c>
      <c r="G752" s="77" t="s">
        <v>1176</v>
      </c>
      <c r="H752" s="78" t="s">
        <v>1177</v>
      </c>
      <c r="I752" s="76" t="s">
        <v>1147</v>
      </c>
      <c r="J752" s="76" t="s">
        <v>1178</v>
      </c>
      <c r="K752" s="76" t="s">
        <v>439</v>
      </c>
      <c r="L752" s="63" t="s">
        <v>1149</v>
      </c>
      <c r="M752" s="63" t="s">
        <v>58</v>
      </c>
      <c r="N752" s="63" t="s">
        <v>59</v>
      </c>
      <c r="O752" s="76" t="s">
        <v>1169</v>
      </c>
      <c r="P752" s="76" t="s">
        <v>2137</v>
      </c>
      <c r="Q752" s="79">
        <v>252845918</v>
      </c>
      <c r="R752" s="63">
        <v>1</v>
      </c>
      <c r="S752" s="80">
        <f>325056000-39062100-54686940-39062100-39062100-69536400</f>
        <v>83646360</v>
      </c>
      <c r="T752" s="63"/>
      <c r="U752" s="63" t="s">
        <v>1171</v>
      </c>
      <c r="V752" s="81" t="s">
        <v>875</v>
      </c>
      <c r="W752" s="82" t="s">
        <v>439</v>
      </c>
      <c r="X752" s="90"/>
      <c r="Y752" s="89"/>
      <c r="Z752" s="83"/>
      <c r="AA752" s="84" t="s">
        <v>2024</v>
      </c>
      <c r="AB752" s="85"/>
      <c r="AC752" s="81"/>
      <c r="AD752" s="86"/>
      <c r="AE752" s="87">
        <f t="shared" si="76"/>
        <v>83646360</v>
      </c>
      <c r="AF752" s="85"/>
      <c r="AG752" s="81"/>
      <c r="AH752" s="86"/>
      <c r="AI752" s="63"/>
      <c r="AJ752" s="63"/>
      <c r="AK752" s="87">
        <f t="shared" si="78"/>
        <v>0</v>
      </c>
      <c r="AL752" s="86"/>
      <c r="AM752" s="86">
        <f t="shared" si="79"/>
        <v>0</v>
      </c>
      <c r="AN752" s="63" t="s">
        <v>1155</v>
      </c>
      <c r="AO752" s="86">
        <f t="shared" si="80"/>
        <v>83646360</v>
      </c>
      <c r="AP752" s="63" t="s">
        <v>2132</v>
      </c>
      <c r="AQ752" s="63"/>
      <c r="AR752" s="63" t="s">
        <v>2109</v>
      </c>
      <c r="AS752" s="63"/>
      <c r="AT752" s="63"/>
      <c r="AU752" s="220"/>
      <c r="AV752" s="220"/>
      <c r="AW752" s="220"/>
    </row>
    <row r="753" spans="1:49" s="221" customFormat="1" ht="256.5" x14ac:dyDescent="0.25">
      <c r="A753" s="63">
        <v>339</v>
      </c>
      <c r="B753" s="63" t="str">
        <f t="shared" si="77"/>
        <v>3075-339</v>
      </c>
      <c r="C753" s="76" t="s">
        <v>1141</v>
      </c>
      <c r="D753" s="76" t="s">
        <v>1142</v>
      </c>
      <c r="E753" s="76" t="s">
        <v>1174</v>
      </c>
      <c r="F753" s="76" t="s">
        <v>1175</v>
      </c>
      <c r="G753" s="77" t="s">
        <v>1176</v>
      </c>
      <c r="H753" s="78" t="s">
        <v>1177</v>
      </c>
      <c r="I753" s="76" t="s">
        <v>1147</v>
      </c>
      <c r="J753" s="76" t="s">
        <v>1182</v>
      </c>
      <c r="K753" s="76" t="s">
        <v>439</v>
      </c>
      <c r="L753" s="63" t="s">
        <v>1149</v>
      </c>
      <c r="M753" s="63" t="s">
        <v>58</v>
      </c>
      <c r="N753" s="63" t="s">
        <v>59</v>
      </c>
      <c r="O753" s="76" t="s">
        <v>1169</v>
      </c>
      <c r="P753" s="76" t="s">
        <v>2138</v>
      </c>
      <c r="Q753" s="79">
        <v>0</v>
      </c>
      <c r="R753" s="63">
        <v>1</v>
      </c>
      <c r="S753" s="80">
        <f>322658000-7106185-69667715-39062100-62779330-39062100-34911092-31007378</f>
        <v>39062100</v>
      </c>
      <c r="T753" s="63" t="s">
        <v>1171</v>
      </c>
      <c r="U753" s="63" t="s">
        <v>1171</v>
      </c>
      <c r="V753" s="81" t="s">
        <v>1208</v>
      </c>
      <c r="W753" s="82" t="s">
        <v>439</v>
      </c>
      <c r="X753" s="63" t="s">
        <v>2139</v>
      </c>
      <c r="Y753" s="89">
        <v>43224</v>
      </c>
      <c r="Z753" s="83">
        <v>39062100</v>
      </c>
      <c r="AA753" s="84" t="s">
        <v>2140</v>
      </c>
      <c r="AB753" s="85">
        <v>818</v>
      </c>
      <c r="AC753" s="81">
        <v>43227</v>
      </c>
      <c r="AD753" s="86">
        <v>39062100</v>
      </c>
      <c r="AE753" s="87">
        <f t="shared" si="76"/>
        <v>0</v>
      </c>
      <c r="AF753" s="85">
        <v>2399</v>
      </c>
      <c r="AG753" s="81">
        <v>43280</v>
      </c>
      <c r="AH753" s="86">
        <v>39062100</v>
      </c>
      <c r="AI753" s="63" t="s">
        <v>2141</v>
      </c>
      <c r="AJ753" s="63">
        <v>2771</v>
      </c>
      <c r="AK753" s="87">
        <f t="shared" si="78"/>
        <v>0</v>
      </c>
      <c r="AL753" s="86">
        <v>0</v>
      </c>
      <c r="AM753" s="86">
        <f t="shared" si="79"/>
        <v>39062100</v>
      </c>
      <c r="AN753" s="63" t="s">
        <v>1155</v>
      </c>
      <c r="AO753" s="86">
        <f t="shared" si="80"/>
        <v>0</v>
      </c>
      <c r="AP753" s="63" t="s">
        <v>2132</v>
      </c>
      <c r="AQ753" s="81">
        <v>43224</v>
      </c>
      <c r="AR753" s="63" t="s">
        <v>1156</v>
      </c>
      <c r="AS753" s="81">
        <v>43224</v>
      </c>
      <c r="AT753" s="63"/>
      <c r="AU753" s="220"/>
      <c r="AV753" s="220"/>
      <c r="AW753" s="220"/>
    </row>
    <row r="754" spans="1:49" s="221" customFormat="1" ht="370.5" x14ac:dyDescent="0.25">
      <c r="A754" s="63">
        <v>340</v>
      </c>
      <c r="B754" s="63" t="str">
        <f t="shared" si="77"/>
        <v>3075-340</v>
      </c>
      <c r="C754" s="76" t="s">
        <v>1141</v>
      </c>
      <c r="D754" s="76" t="s">
        <v>1142</v>
      </c>
      <c r="E754" s="76" t="s">
        <v>1174</v>
      </c>
      <c r="F754" s="76" t="s">
        <v>1175</v>
      </c>
      <c r="G754" s="77" t="s">
        <v>1176</v>
      </c>
      <c r="H754" s="78" t="s">
        <v>1177</v>
      </c>
      <c r="I754" s="76" t="s">
        <v>1147</v>
      </c>
      <c r="J754" s="76" t="s">
        <v>1182</v>
      </c>
      <c r="K754" s="76" t="s">
        <v>439</v>
      </c>
      <c r="L754" s="63" t="s">
        <v>1149</v>
      </c>
      <c r="M754" s="63" t="s">
        <v>58</v>
      </c>
      <c r="N754" s="63" t="s">
        <v>59</v>
      </c>
      <c r="O754" s="76" t="s">
        <v>1169</v>
      </c>
      <c r="P754" s="76" t="s">
        <v>2142</v>
      </c>
      <c r="Q754" s="86">
        <v>39062100</v>
      </c>
      <c r="R754" s="63">
        <v>1</v>
      </c>
      <c r="S754" s="80">
        <f>161329000-8054722-39062100-39062100-36087978</f>
        <v>39062100</v>
      </c>
      <c r="T754" s="63" t="s">
        <v>1171</v>
      </c>
      <c r="U754" s="63" t="s">
        <v>1171</v>
      </c>
      <c r="V754" s="81" t="s">
        <v>1208</v>
      </c>
      <c r="W754" s="82" t="s">
        <v>439</v>
      </c>
      <c r="X754" s="63" t="s">
        <v>2143</v>
      </c>
      <c r="Y754" s="89">
        <v>43237</v>
      </c>
      <c r="Z754" s="83">
        <v>39062100</v>
      </c>
      <c r="AA754" s="84" t="s">
        <v>2140</v>
      </c>
      <c r="AB754" s="85">
        <v>837</v>
      </c>
      <c r="AC754" s="81">
        <v>43238</v>
      </c>
      <c r="AD754" s="86">
        <v>39062100</v>
      </c>
      <c r="AE754" s="87">
        <f t="shared" si="76"/>
        <v>0</v>
      </c>
      <c r="AF754" s="85">
        <v>2034</v>
      </c>
      <c r="AG754" s="81">
        <v>43270</v>
      </c>
      <c r="AH754" s="86">
        <v>39062100</v>
      </c>
      <c r="AI754" s="63" t="s">
        <v>2144</v>
      </c>
      <c r="AJ754" s="63">
        <v>2237</v>
      </c>
      <c r="AK754" s="87">
        <f t="shared" si="78"/>
        <v>0</v>
      </c>
      <c r="AL754" s="86">
        <v>0</v>
      </c>
      <c r="AM754" s="86">
        <f t="shared" si="79"/>
        <v>39062100</v>
      </c>
      <c r="AN754" s="63" t="s">
        <v>1155</v>
      </c>
      <c r="AO754" s="86">
        <f t="shared" si="80"/>
        <v>0</v>
      </c>
      <c r="AP754" s="63" t="s">
        <v>2132</v>
      </c>
      <c r="AQ754" s="81">
        <v>43237</v>
      </c>
      <c r="AR754" s="63" t="s">
        <v>1156</v>
      </c>
      <c r="AS754" s="81">
        <v>43237</v>
      </c>
      <c r="AT754" s="63" t="s">
        <v>2142</v>
      </c>
      <c r="AU754" s="220"/>
      <c r="AV754" s="220"/>
      <c r="AW754" s="220"/>
    </row>
    <row r="755" spans="1:49" s="221" customFormat="1" ht="156.75" x14ac:dyDescent="0.25">
      <c r="A755" s="63">
        <v>341</v>
      </c>
      <c r="B755" s="63" t="str">
        <f t="shared" si="77"/>
        <v>3075-341</v>
      </c>
      <c r="C755" s="76" t="s">
        <v>1141</v>
      </c>
      <c r="D755" s="76" t="s">
        <v>1142</v>
      </c>
      <c r="E755" s="76" t="s">
        <v>1174</v>
      </c>
      <c r="F755" s="76" t="s">
        <v>1175</v>
      </c>
      <c r="G755" s="77" t="s">
        <v>1176</v>
      </c>
      <c r="H755" s="78" t="s">
        <v>1177</v>
      </c>
      <c r="I755" s="76" t="s">
        <v>1147</v>
      </c>
      <c r="J755" s="76" t="s">
        <v>1182</v>
      </c>
      <c r="K755" s="76" t="s">
        <v>439</v>
      </c>
      <c r="L755" s="63" t="s">
        <v>1149</v>
      </c>
      <c r="M755" s="63" t="s">
        <v>58</v>
      </c>
      <c r="N755" s="63" t="s">
        <v>59</v>
      </c>
      <c r="O755" s="76" t="s">
        <v>1169</v>
      </c>
      <c r="P755" s="76" t="s">
        <v>2137</v>
      </c>
      <c r="Q755" s="79">
        <v>5944796000</v>
      </c>
      <c r="R755" s="63">
        <v>1</v>
      </c>
      <c r="S755" s="80">
        <f>5944796000-2974122-(39062100*4)</f>
        <v>5785573478</v>
      </c>
      <c r="T755" s="63"/>
      <c r="U755" s="63" t="s">
        <v>1171</v>
      </c>
      <c r="V755" s="81" t="s">
        <v>2145</v>
      </c>
      <c r="W755" s="82" t="s">
        <v>439</v>
      </c>
      <c r="X755" s="63"/>
      <c r="Y755" s="89"/>
      <c r="Z755" s="83"/>
      <c r="AA755" s="84" t="s">
        <v>2140</v>
      </c>
      <c r="AB755" s="85"/>
      <c r="AC755" s="81"/>
      <c r="AD755" s="86"/>
      <c r="AE755" s="87">
        <f t="shared" si="76"/>
        <v>5785573478</v>
      </c>
      <c r="AF755" s="85"/>
      <c r="AG755" s="81"/>
      <c r="AH755" s="86"/>
      <c r="AI755" s="63"/>
      <c r="AJ755" s="63"/>
      <c r="AK755" s="87">
        <f t="shared" si="78"/>
        <v>0</v>
      </c>
      <c r="AL755" s="86"/>
      <c r="AM755" s="86">
        <f t="shared" si="79"/>
        <v>0</v>
      </c>
      <c r="AN755" s="63" t="s">
        <v>1155</v>
      </c>
      <c r="AO755" s="86">
        <f t="shared" si="80"/>
        <v>5785573478</v>
      </c>
      <c r="AP755" s="63" t="s">
        <v>2132</v>
      </c>
      <c r="AQ755" s="63"/>
      <c r="AR755" s="63" t="s">
        <v>2109</v>
      </c>
      <c r="AS755" s="63"/>
      <c r="AT755" s="63"/>
      <c r="AU755" s="220"/>
      <c r="AV755" s="220"/>
      <c r="AW755" s="220"/>
    </row>
    <row r="756" spans="1:49" s="221" customFormat="1" ht="409.5" x14ac:dyDescent="0.25">
      <c r="A756" s="63">
        <v>342</v>
      </c>
      <c r="B756" s="63" t="str">
        <f t="shared" si="77"/>
        <v>3075-342</v>
      </c>
      <c r="C756" s="76" t="s">
        <v>1141</v>
      </c>
      <c r="D756" s="76" t="s">
        <v>1142</v>
      </c>
      <c r="E756" s="76" t="s">
        <v>1174</v>
      </c>
      <c r="F756" s="76" t="s">
        <v>1175</v>
      </c>
      <c r="G756" s="77" t="s">
        <v>1176</v>
      </c>
      <c r="H756" s="78" t="s">
        <v>1177</v>
      </c>
      <c r="I756" s="76" t="s">
        <v>1147</v>
      </c>
      <c r="J756" s="76" t="s">
        <v>1148</v>
      </c>
      <c r="K756" s="76" t="s">
        <v>439</v>
      </c>
      <c r="L756" s="63" t="s">
        <v>1149</v>
      </c>
      <c r="M756" s="63" t="s">
        <v>58</v>
      </c>
      <c r="N756" s="63" t="s">
        <v>59</v>
      </c>
      <c r="O756" s="76" t="s">
        <v>1169</v>
      </c>
      <c r="P756" s="76" t="s">
        <v>2146</v>
      </c>
      <c r="Q756" s="79">
        <v>39062100</v>
      </c>
      <c r="R756" s="63">
        <v>1</v>
      </c>
      <c r="S756" s="80">
        <f>161329000-54686940-54686940-12893020</f>
        <v>39062100</v>
      </c>
      <c r="T756" s="63" t="s">
        <v>1171</v>
      </c>
      <c r="U756" s="63" t="s">
        <v>1171</v>
      </c>
      <c r="V756" s="81" t="s">
        <v>1208</v>
      </c>
      <c r="W756" s="82" t="s">
        <v>439</v>
      </c>
      <c r="X756" s="63" t="s">
        <v>2147</v>
      </c>
      <c r="Y756" s="81">
        <v>43269</v>
      </c>
      <c r="Z756" s="83">
        <v>39062100</v>
      </c>
      <c r="AA756" s="84" t="s">
        <v>1786</v>
      </c>
      <c r="AB756" s="85">
        <v>905</v>
      </c>
      <c r="AC756" s="81">
        <v>43270</v>
      </c>
      <c r="AD756" s="86">
        <v>39062100</v>
      </c>
      <c r="AE756" s="87">
        <f t="shared" si="76"/>
        <v>0</v>
      </c>
      <c r="AF756" s="85">
        <v>2413</v>
      </c>
      <c r="AG756" s="81">
        <v>43280</v>
      </c>
      <c r="AH756" s="86">
        <v>39062100</v>
      </c>
      <c r="AI756" s="63" t="s">
        <v>2148</v>
      </c>
      <c r="AJ756" s="63">
        <v>2804</v>
      </c>
      <c r="AK756" s="87">
        <f t="shared" si="78"/>
        <v>0</v>
      </c>
      <c r="AL756" s="86">
        <v>0</v>
      </c>
      <c r="AM756" s="86">
        <f t="shared" si="79"/>
        <v>39062100</v>
      </c>
      <c r="AN756" s="63" t="s">
        <v>1155</v>
      </c>
      <c r="AO756" s="86">
        <f t="shared" si="80"/>
        <v>0</v>
      </c>
      <c r="AP756" s="63" t="s">
        <v>2132</v>
      </c>
      <c r="AQ756" s="81">
        <v>43269</v>
      </c>
      <c r="AR756" s="63" t="s">
        <v>2109</v>
      </c>
      <c r="AS756" s="81">
        <v>43269</v>
      </c>
      <c r="AT756" s="63" t="s">
        <v>2149</v>
      </c>
      <c r="AU756" s="220"/>
      <c r="AV756" s="220"/>
      <c r="AW756" s="220"/>
    </row>
    <row r="757" spans="1:49" s="221" customFormat="1" ht="256.5" x14ac:dyDescent="0.25">
      <c r="A757" s="63">
        <v>343</v>
      </c>
      <c r="B757" s="63" t="str">
        <f t="shared" si="77"/>
        <v>3075-343</v>
      </c>
      <c r="C757" s="76" t="s">
        <v>1141</v>
      </c>
      <c r="D757" s="76" t="s">
        <v>1142</v>
      </c>
      <c r="E757" s="76" t="s">
        <v>1174</v>
      </c>
      <c r="F757" s="76" t="s">
        <v>1175</v>
      </c>
      <c r="G757" s="77" t="s">
        <v>1176</v>
      </c>
      <c r="H757" s="78" t="s">
        <v>1177</v>
      </c>
      <c r="I757" s="76" t="s">
        <v>1147</v>
      </c>
      <c r="J757" s="76" t="s">
        <v>1148</v>
      </c>
      <c r="K757" s="76" t="s">
        <v>439</v>
      </c>
      <c r="L757" s="63" t="s">
        <v>1149</v>
      </c>
      <c r="M757" s="63" t="s">
        <v>58</v>
      </c>
      <c r="N757" s="63" t="s">
        <v>59</v>
      </c>
      <c r="O757" s="76" t="s">
        <v>1169</v>
      </c>
      <c r="P757" s="76" t="s">
        <v>2150</v>
      </c>
      <c r="Q757" s="83">
        <f>161329000-54686940</f>
        <v>106642060</v>
      </c>
      <c r="R757" s="63">
        <v>1</v>
      </c>
      <c r="S757" s="80">
        <f>161329000-54686940-17971536+942246-34657385</f>
        <v>54955385</v>
      </c>
      <c r="T757" s="63" t="s">
        <v>1171</v>
      </c>
      <c r="U757" s="63" t="s">
        <v>1171</v>
      </c>
      <c r="V757" s="81" t="s">
        <v>844</v>
      </c>
      <c r="W757" s="82" t="s">
        <v>439</v>
      </c>
      <c r="X757" s="63" t="s">
        <v>2151</v>
      </c>
      <c r="Y757" s="81">
        <v>43273</v>
      </c>
      <c r="Z757" s="83">
        <v>54955385</v>
      </c>
      <c r="AA757" s="84" t="s">
        <v>1786</v>
      </c>
      <c r="AB757" s="85">
        <v>912</v>
      </c>
      <c r="AC757" s="81">
        <v>43276</v>
      </c>
      <c r="AD757" s="86">
        <v>54955385</v>
      </c>
      <c r="AE757" s="87">
        <f t="shared" si="76"/>
        <v>0</v>
      </c>
      <c r="AF757" s="85">
        <v>2477</v>
      </c>
      <c r="AG757" s="81">
        <v>43292</v>
      </c>
      <c r="AH757" s="86">
        <v>54955385</v>
      </c>
      <c r="AI757" s="63" t="s">
        <v>2152</v>
      </c>
      <c r="AJ757" s="63">
        <v>2838</v>
      </c>
      <c r="AK757" s="87">
        <f t="shared" si="78"/>
        <v>0</v>
      </c>
      <c r="AL757" s="86">
        <v>54955385</v>
      </c>
      <c r="AM757" s="86">
        <f t="shared" si="79"/>
        <v>0</v>
      </c>
      <c r="AN757" s="63" t="s">
        <v>1155</v>
      </c>
      <c r="AO757" s="86">
        <f t="shared" si="80"/>
        <v>0</v>
      </c>
      <c r="AP757" s="63" t="s">
        <v>2132</v>
      </c>
      <c r="AQ757" s="63" t="s">
        <v>2153</v>
      </c>
      <c r="AR757" s="63" t="s">
        <v>2109</v>
      </c>
      <c r="AS757" s="63" t="s">
        <v>2154</v>
      </c>
      <c r="AT757" s="63" t="s">
        <v>2150</v>
      </c>
      <c r="AU757" s="220"/>
      <c r="AV757" s="220"/>
      <c r="AW757" s="220"/>
    </row>
    <row r="758" spans="1:49" s="221" customFormat="1" ht="370.5" x14ac:dyDescent="0.25">
      <c r="A758" s="63">
        <v>344</v>
      </c>
      <c r="B758" s="63" t="str">
        <f t="shared" si="77"/>
        <v>3075-344</v>
      </c>
      <c r="C758" s="76" t="s">
        <v>1141</v>
      </c>
      <c r="D758" s="76" t="s">
        <v>1142</v>
      </c>
      <c r="E758" s="76" t="s">
        <v>1174</v>
      </c>
      <c r="F758" s="76" t="s">
        <v>1175</v>
      </c>
      <c r="G758" s="77" t="s">
        <v>1176</v>
      </c>
      <c r="H758" s="78" t="s">
        <v>1177</v>
      </c>
      <c r="I758" s="76" t="s">
        <v>1147</v>
      </c>
      <c r="J758" s="76" t="s">
        <v>1148</v>
      </c>
      <c r="K758" s="76" t="s">
        <v>439</v>
      </c>
      <c r="L758" s="63" t="s">
        <v>1149</v>
      </c>
      <c r="M758" s="63" t="s">
        <v>58</v>
      </c>
      <c r="N758" s="63" t="s">
        <v>59</v>
      </c>
      <c r="O758" s="76" t="s">
        <v>1169</v>
      </c>
      <c r="P758" s="76" t="s">
        <v>2155</v>
      </c>
      <c r="Q758" s="79">
        <v>39062100</v>
      </c>
      <c r="R758" s="63">
        <v>1</v>
      </c>
      <c r="S758" s="80">
        <f>161329000-4404715-(39062100*3)-675885</f>
        <v>39062100</v>
      </c>
      <c r="T758" s="63" t="s">
        <v>1171</v>
      </c>
      <c r="U758" s="63" t="s">
        <v>1171</v>
      </c>
      <c r="V758" s="81" t="s">
        <v>1208</v>
      </c>
      <c r="W758" s="82" t="s">
        <v>439</v>
      </c>
      <c r="X758" s="63" t="s">
        <v>2156</v>
      </c>
      <c r="Y758" s="81">
        <v>43276</v>
      </c>
      <c r="Z758" s="83">
        <v>39062100</v>
      </c>
      <c r="AA758" s="84" t="s">
        <v>1786</v>
      </c>
      <c r="AB758" s="85">
        <v>918</v>
      </c>
      <c r="AC758" s="81">
        <v>43277</v>
      </c>
      <c r="AD758" s="86">
        <v>39062100</v>
      </c>
      <c r="AE758" s="87">
        <f t="shared" si="76"/>
        <v>0</v>
      </c>
      <c r="AF758" s="85">
        <v>2407</v>
      </c>
      <c r="AG758" s="81">
        <v>43280</v>
      </c>
      <c r="AH758" s="86">
        <v>39062100</v>
      </c>
      <c r="AI758" s="63" t="s">
        <v>2157</v>
      </c>
      <c r="AJ758" s="63">
        <v>2827</v>
      </c>
      <c r="AK758" s="87">
        <f t="shared" si="78"/>
        <v>0</v>
      </c>
      <c r="AL758" s="86">
        <v>0</v>
      </c>
      <c r="AM758" s="86">
        <f t="shared" si="79"/>
        <v>39062100</v>
      </c>
      <c r="AN758" s="63" t="s">
        <v>1155</v>
      </c>
      <c r="AO758" s="86">
        <f t="shared" si="80"/>
        <v>0</v>
      </c>
      <c r="AP758" s="63" t="s">
        <v>2132</v>
      </c>
      <c r="AQ758" s="81">
        <v>43276</v>
      </c>
      <c r="AR758" s="63" t="s">
        <v>1156</v>
      </c>
      <c r="AS758" s="81">
        <v>43276</v>
      </c>
      <c r="AT758" s="76" t="s">
        <v>2155</v>
      </c>
      <c r="AU758" s="220"/>
      <c r="AV758" s="220"/>
      <c r="AW758" s="220"/>
    </row>
    <row r="759" spans="1:49" s="221" customFormat="1" ht="256.5" x14ac:dyDescent="0.25">
      <c r="A759" s="63">
        <v>345</v>
      </c>
      <c r="B759" s="63" t="str">
        <f t="shared" si="77"/>
        <v>3075-345</v>
      </c>
      <c r="C759" s="76" t="s">
        <v>1141</v>
      </c>
      <c r="D759" s="76" t="s">
        <v>1142</v>
      </c>
      <c r="E759" s="76" t="s">
        <v>1174</v>
      </c>
      <c r="F759" s="76" t="s">
        <v>1175</v>
      </c>
      <c r="G759" s="77" t="s">
        <v>1176</v>
      </c>
      <c r="H759" s="78" t="s">
        <v>1177</v>
      </c>
      <c r="I759" s="76" t="s">
        <v>1147</v>
      </c>
      <c r="J759" s="76" t="s">
        <v>1148</v>
      </c>
      <c r="K759" s="76" t="s">
        <v>439</v>
      </c>
      <c r="L759" s="63" t="s">
        <v>1149</v>
      </c>
      <c r="M759" s="63" t="s">
        <v>58</v>
      </c>
      <c r="N759" s="63" t="s">
        <v>59</v>
      </c>
      <c r="O759" s="76" t="s">
        <v>1169</v>
      </c>
      <c r="P759" s="76" t="s">
        <v>2158</v>
      </c>
      <c r="Q759" s="79">
        <v>39062100</v>
      </c>
      <c r="R759" s="63">
        <v>1</v>
      </c>
      <c r="S759" s="80">
        <f>161329000-38386215-39062100-39062100-13850160+8093675</f>
        <v>39062100</v>
      </c>
      <c r="T759" s="63" t="s">
        <v>1171</v>
      </c>
      <c r="U759" s="63" t="s">
        <v>1171</v>
      </c>
      <c r="V759" s="81" t="s">
        <v>875</v>
      </c>
      <c r="W759" s="82" t="s">
        <v>439</v>
      </c>
      <c r="X759" s="63" t="s">
        <v>2159</v>
      </c>
      <c r="Y759" s="81">
        <v>43313</v>
      </c>
      <c r="Z759" s="83">
        <v>39062100</v>
      </c>
      <c r="AA759" s="84" t="s">
        <v>1786</v>
      </c>
      <c r="AB759" s="85">
        <v>1027</v>
      </c>
      <c r="AC759" s="81">
        <v>43315</v>
      </c>
      <c r="AD759" s="86">
        <v>39062100</v>
      </c>
      <c r="AE759" s="87">
        <f t="shared" si="76"/>
        <v>0</v>
      </c>
      <c r="AF759" s="85">
        <v>2880</v>
      </c>
      <c r="AG759" s="81">
        <v>43360</v>
      </c>
      <c r="AH759" s="86">
        <v>39062100</v>
      </c>
      <c r="AI759" s="63" t="s">
        <v>2160</v>
      </c>
      <c r="AJ759" s="63">
        <v>3344</v>
      </c>
      <c r="AK759" s="87">
        <f t="shared" si="78"/>
        <v>0</v>
      </c>
      <c r="AL759" s="86">
        <v>0</v>
      </c>
      <c r="AM759" s="86">
        <f t="shared" si="79"/>
        <v>39062100</v>
      </c>
      <c r="AN759" s="63" t="s">
        <v>1155</v>
      </c>
      <c r="AO759" s="86">
        <f t="shared" si="80"/>
        <v>0</v>
      </c>
      <c r="AP759" s="63" t="s">
        <v>2132</v>
      </c>
      <c r="AQ759" s="81">
        <v>43313</v>
      </c>
      <c r="AR759" s="63" t="s">
        <v>1156</v>
      </c>
      <c r="AS759" s="81">
        <v>43313</v>
      </c>
      <c r="AT759" s="63"/>
      <c r="AU759" s="220"/>
      <c r="AV759" s="220"/>
      <c r="AW759" s="220"/>
    </row>
    <row r="760" spans="1:49" s="221" customFormat="1" ht="156.75" x14ac:dyDescent="0.25">
      <c r="A760" s="63">
        <v>346</v>
      </c>
      <c r="B760" s="63" t="str">
        <f t="shared" si="77"/>
        <v>3075-346</v>
      </c>
      <c r="C760" s="76" t="s">
        <v>1141</v>
      </c>
      <c r="D760" s="76" t="s">
        <v>1142</v>
      </c>
      <c r="E760" s="76" t="s">
        <v>1174</v>
      </c>
      <c r="F760" s="76" t="s">
        <v>1175</v>
      </c>
      <c r="G760" s="77" t="s">
        <v>1176</v>
      </c>
      <c r="H760" s="78" t="s">
        <v>1177</v>
      </c>
      <c r="I760" s="76" t="s">
        <v>1147</v>
      </c>
      <c r="J760" s="76" t="s">
        <v>1148</v>
      </c>
      <c r="K760" s="76" t="s">
        <v>439</v>
      </c>
      <c r="L760" s="63" t="s">
        <v>1149</v>
      </c>
      <c r="M760" s="63" t="s">
        <v>58</v>
      </c>
      <c r="N760" s="63" t="s">
        <v>59</v>
      </c>
      <c r="O760" s="76" t="s">
        <v>1169</v>
      </c>
      <c r="P760" s="76" t="s">
        <v>2137</v>
      </c>
      <c r="Q760" s="79">
        <v>161329000</v>
      </c>
      <c r="R760" s="63">
        <v>1</v>
      </c>
      <c r="S760" s="80">
        <f>161329000-8093675-39062100-39062100</f>
        <v>75111125</v>
      </c>
      <c r="T760" s="63"/>
      <c r="U760" s="63" t="s">
        <v>1171</v>
      </c>
      <c r="V760" s="81" t="s">
        <v>1164</v>
      </c>
      <c r="W760" s="82" t="s">
        <v>439</v>
      </c>
      <c r="X760" s="63"/>
      <c r="Y760" s="81"/>
      <c r="Z760" s="83"/>
      <c r="AA760" s="84" t="s">
        <v>1786</v>
      </c>
      <c r="AB760" s="85"/>
      <c r="AC760" s="81"/>
      <c r="AD760" s="86"/>
      <c r="AE760" s="87">
        <f t="shared" si="76"/>
        <v>75111125</v>
      </c>
      <c r="AF760" s="85"/>
      <c r="AG760" s="81"/>
      <c r="AH760" s="86"/>
      <c r="AI760" s="63"/>
      <c r="AJ760" s="63"/>
      <c r="AK760" s="87">
        <f t="shared" si="78"/>
        <v>0</v>
      </c>
      <c r="AL760" s="86"/>
      <c r="AM760" s="86">
        <f t="shared" si="79"/>
        <v>0</v>
      </c>
      <c r="AN760" s="63" t="s">
        <v>1155</v>
      </c>
      <c r="AO760" s="86">
        <f t="shared" si="80"/>
        <v>75111125</v>
      </c>
      <c r="AP760" s="63" t="s">
        <v>2132</v>
      </c>
      <c r="AQ760" s="63"/>
      <c r="AR760" s="63" t="s">
        <v>2109</v>
      </c>
      <c r="AS760" s="63"/>
      <c r="AT760" s="63"/>
      <c r="AU760" s="220"/>
      <c r="AV760" s="220"/>
      <c r="AW760" s="220"/>
    </row>
    <row r="761" spans="1:49" s="221" customFormat="1" ht="171" x14ac:dyDescent="0.25">
      <c r="A761" s="63">
        <v>347</v>
      </c>
      <c r="B761" s="63" t="str">
        <f t="shared" si="77"/>
        <v>3075-347</v>
      </c>
      <c r="C761" s="76" t="s">
        <v>1141</v>
      </c>
      <c r="D761" s="76" t="s">
        <v>1142</v>
      </c>
      <c r="E761" s="76" t="s">
        <v>1174</v>
      </c>
      <c r="F761" s="76" t="s">
        <v>1175</v>
      </c>
      <c r="G761" s="77" t="s">
        <v>1176</v>
      </c>
      <c r="H761" s="78" t="s">
        <v>1177</v>
      </c>
      <c r="I761" s="76" t="s">
        <v>1147</v>
      </c>
      <c r="J761" s="76" t="s">
        <v>1148</v>
      </c>
      <c r="K761" s="76" t="s">
        <v>439</v>
      </c>
      <c r="L761" s="63" t="s">
        <v>1149</v>
      </c>
      <c r="M761" s="63" t="s">
        <v>58</v>
      </c>
      <c r="N761" s="63" t="s">
        <v>59</v>
      </c>
      <c r="O761" s="76" t="s">
        <v>1169</v>
      </c>
      <c r="P761" s="76" t="s">
        <v>2137</v>
      </c>
      <c r="Q761" s="79">
        <v>3218849944</v>
      </c>
      <c r="R761" s="63">
        <v>1</v>
      </c>
      <c r="S761" s="80">
        <f>2064849944-27192000-27192000-27192000-27192000-24720000-9270000-21321000-24720000-24720000-24720000-24720000-24720000-20394000-27192000-21321000-20394000-24720000-24720000-24720000-9270000-(14832000+21321000+20394000+27192000+27192000+24720000+30220200+27192000+20394000+20394000+5738800)</f>
        <v>1364849944</v>
      </c>
      <c r="T761" s="63"/>
      <c r="U761" s="63" t="s">
        <v>1171</v>
      </c>
      <c r="V761" s="81" t="s">
        <v>2145</v>
      </c>
      <c r="W761" s="82" t="s">
        <v>439</v>
      </c>
      <c r="X761" s="63"/>
      <c r="Y761" s="81"/>
      <c r="Z761" s="83"/>
      <c r="AA761" s="84" t="s">
        <v>1786</v>
      </c>
      <c r="AB761" s="85"/>
      <c r="AC761" s="81"/>
      <c r="AD761" s="86"/>
      <c r="AE761" s="87">
        <f t="shared" si="76"/>
        <v>1364849944</v>
      </c>
      <c r="AF761" s="85"/>
      <c r="AG761" s="81"/>
      <c r="AH761" s="86"/>
      <c r="AI761" s="63"/>
      <c r="AJ761" s="63"/>
      <c r="AK761" s="87">
        <f t="shared" si="78"/>
        <v>0</v>
      </c>
      <c r="AL761" s="86"/>
      <c r="AM761" s="86">
        <f t="shared" si="79"/>
        <v>0</v>
      </c>
      <c r="AN761" s="63" t="s">
        <v>1155</v>
      </c>
      <c r="AO761" s="86">
        <f t="shared" si="80"/>
        <v>1364849944</v>
      </c>
      <c r="AP761" s="63" t="s">
        <v>2161</v>
      </c>
      <c r="AQ761" s="63"/>
      <c r="AR761" s="63" t="s">
        <v>2109</v>
      </c>
      <c r="AS761" s="63"/>
      <c r="AT761" s="63"/>
      <c r="AU761" s="220"/>
      <c r="AV761" s="220"/>
      <c r="AW761" s="220"/>
    </row>
    <row r="762" spans="1:49" s="221" customFormat="1" ht="171" x14ac:dyDescent="0.25">
      <c r="A762" s="63">
        <v>348</v>
      </c>
      <c r="B762" s="63" t="str">
        <f t="shared" si="77"/>
        <v>3075-348</v>
      </c>
      <c r="C762" s="76" t="s">
        <v>1141</v>
      </c>
      <c r="D762" s="76" t="s">
        <v>1142</v>
      </c>
      <c r="E762" s="76" t="s">
        <v>1174</v>
      </c>
      <c r="F762" s="76" t="s">
        <v>1175</v>
      </c>
      <c r="G762" s="77" t="s">
        <v>1176</v>
      </c>
      <c r="H762" s="78" t="s">
        <v>1177</v>
      </c>
      <c r="I762" s="76" t="s">
        <v>1191</v>
      </c>
      <c r="J762" s="76" t="s">
        <v>1192</v>
      </c>
      <c r="K762" s="76" t="s">
        <v>439</v>
      </c>
      <c r="L762" s="63" t="s">
        <v>1149</v>
      </c>
      <c r="M762" s="63" t="s">
        <v>58</v>
      </c>
      <c r="N762" s="63" t="s">
        <v>59</v>
      </c>
      <c r="O762" s="76" t="s">
        <v>1169</v>
      </c>
      <c r="P762" s="76" t="s">
        <v>2162</v>
      </c>
      <c r="Q762" s="79">
        <v>161329000</v>
      </c>
      <c r="R762" s="63">
        <v>1</v>
      </c>
      <c r="S762" s="80">
        <f>161329000-33981500-39062100+80260426</f>
        <v>168545826</v>
      </c>
      <c r="T762" s="63" t="s">
        <v>1171</v>
      </c>
      <c r="U762" s="63" t="s">
        <v>1171</v>
      </c>
      <c r="V762" s="81" t="s">
        <v>844</v>
      </c>
      <c r="W762" s="82" t="s">
        <v>439</v>
      </c>
      <c r="X762" s="90" t="s">
        <v>2163</v>
      </c>
      <c r="Y762" s="81">
        <v>43273</v>
      </c>
      <c r="Z762" s="83">
        <v>168545826</v>
      </c>
      <c r="AA762" s="84" t="s">
        <v>2164</v>
      </c>
      <c r="AB762" s="85">
        <v>916</v>
      </c>
      <c r="AC762" s="81">
        <v>43277</v>
      </c>
      <c r="AD762" s="86">
        <v>168545826</v>
      </c>
      <c r="AE762" s="87">
        <f t="shared" si="76"/>
        <v>0</v>
      </c>
      <c r="AF762" s="85">
        <v>2463</v>
      </c>
      <c r="AG762" s="81">
        <v>43292</v>
      </c>
      <c r="AH762" s="86">
        <v>168545826</v>
      </c>
      <c r="AI762" s="63" t="s">
        <v>2165</v>
      </c>
      <c r="AJ762" s="63">
        <v>2835</v>
      </c>
      <c r="AK762" s="87">
        <f t="shared" si="78"/>
        <v>0</v>
      </c>
      <c r="AL762" s="86">
        <v>168545826</v>
      </c>
      <c r="AM762" s="86">
        <f t="shared" si="79"/>
        <v>0</v>
      </c>
      <c r="AN762" s="63" t="s">
        <v>1155</v>
      </c>
      <c r="AO762" s="86">
        <f t="shared" si="80"/>
        <v>0</v>
      </c>
      <c r="AP762" s="63" t="s">
        <v>2132</v>
      </c>
      <c r="AQ762" s="81">
        <v>43272</v>
      </c>
      <c r="AR762" s="63" t="s">
        <v>1156</v>
      </c>
      <c r="AS762" s="81">
        <v>43273</v>
      </c>
      <c r="AT762" s="63"/>
      <c r="AU762" s="220"/>
      <c r="AV762" s="220"/>
      <c r="AW762" s="220"/>
    </row>
    <row r="763" spans="1:49" s="221" customFormat="1" ht="256.5" x14ac:dyDescent="0.25">
      <c r="A763" s="63">
        <v>349</v>
      </c>
      <c r="B763" s="63" t="str">
        <f t="shared" si="77"/>
        <v>3075-349</v>
      </c>
      <c r="C763" s="76" t="s">
        <v>1141</v>
      </c>
      <c r="D763" s="76" t="s">
        <v>1142</v>
      </c>
      <c r="E763" s="76" t="s">
        <v>1174</v>
      </c>
      <c r="F763" s="76" t="s">
        <v>1175</v>
      </c>
      <c r="G763" s="77" t="s">
        <v>1176</v>
      </c>
      <c r="H763" s="78" t="s">
        <v>1177</v>
      </c>
      <c r="I763" s="76" t="s">
        <v>1191</v>
      </c>
      <c r="J763" s="76" t="s">
        <v>1192</v>
      </c>
      <c r="K763" s="76" t="s">
        <v>439</v>
      </c>
      <c r="L763" s="63" t="s">
        <v>1149</v>
      </c>
      <c r="M763" s="63" t="s">
        <v>58</v>
      </c>
      <c r="N763" s="63" t="s">
        <v>59</v>
      </c>
      <c r="O763" s="76" t="s">
        <v>1169</v>
      </c>
      <c r="P763" s="76" t="s">
        <v>2166</v>
      </c>
      <c r="Q763" s="79">
        <v>39062100</v>
      </c>
      <c r="R763" s="63">
        <v>1</v>
      </c>
      <c r="S763" s="80">
        <f>161329000-80260426-39062100-2944374</f>
        <v>39062100</v>
      </c>
      <c r="T763" s="63" t="s">
        <v>1171</v>
      </c>
      <c r="U763" s="63" t="s">
        <v>1171</v>
      </c>
      <c r="V763" s="81" t="s">
        <v>431</v>
      </c>
      <c r="W763" s="82" t="s">
        <v>439</v>
      </c>
      <c r="X763" s="90" t="s">
        <v>2167</v>
      </c>
      <c r="Y763" s="81">
        <v>43290</v>
      </c>
      <c r="Z763" s="83">
        <v>39062100</v>
      </c>
      <c r="AA763" s="84" t="s">
        <v>2164</v>
      </c>
      <c r="AB763" s="85">
        <v>947</v>
      </c>
      <c r="AC763" s="81">
        <v>43291</v>
      </c>
      <c r="AD763" s="86">
        <v>39062100</v>
      </c>
      <c r="AE763" s="87">
        <f t="shared" si="76"/>
        <v>0</v>
      </c>
      <c r="AF763" s="85">
        <v>2557</v>
      </c>
      <c r="AG763" s="81">
        <v>43313</v>
      </c>
      <c r="AH763" s="86">
        <v>39062100</v>
      </c>
      <c r="AI763" s="63" t="s">
        <v>2168</v>
      </c>
      <c r="AJ763" s="63">
        <v>3004</v>
      </c>
      <c r="AK763" s="87">
        <f t="shared" si="78"/>
        <v>0</v>
      </c>
      <c r="AL763" s="86">
        <v>0</v>
      </c>
      <c r="AM763" s="86">
        <f t="shared" si="79"/>
        <v>39062100</v>
      </c>
      <c r="AN763" s="63" t="s">
        <v>1155</v>
      </c>
      <c r="AO763" s="86">
        <f t="shared" si="80"/>
        <v>0</v>
      </c>
      <c r="AP763" s="63" t="s">
        <v>2132</v>
      </c>
      <c r="AQ763" s="81">
        <v>43290</v>
      </c>
      <c r="AR763" s="63" t="s">
        <v>1156</v>
      </c>
      <c r="AS763" s="81">
        <v>43290</v>
      </c>
      <c r="AT763" s="63"/>
      <c r="AU763" s="220"/>
      <c r="AV763" s="220"/>
      <c r="AW763" s="220"/>
    </row>
    <row r="764" spans="1:49" s="221" customFormat="1" ht="156.75" x14ac:dyDescent="0.25">
      <c r="A764" s="63">
        <v>350</v>
      </c>
      <c r="B764" s="63" t="str">
        <f t="shared" si="77"/>
        <v>3075-350</v>
      </c>
      <c r="C764" s="76" t="s">
        <v>1141</v>
      </c>
      <c r="D764" s="76" t="s">
        <v>1142</v>
      </c>
      <c r="E764" s="76" t="s">
        <v>1174</v>
      </c>
      <c r="F764" s="76" t="s">
        <v>1175</v>
      </c>
      <c r="G764" s="77" t="s">
        <v>1176</v>
      </c>
      <c r="H764" s="78" t="s">
        <v>1177</v>
      </c>
      <c r="I764" s="76" t="s">
        <v>1191</v>
      </c>
      <c r="J764" s="76" t="s">
        <v>1192</v>
      </c>
      <c r="K764" s="76" t="s">
        <v>439</v>
      </c>
      <c r="L764" s="63" t="s">
        <v>1149</v>
      </c>
      <c r="M764" s="63" t="s">
        <v>58</v>
      </c>
      <c r="N764" s="63" t="s">
        <v>59</v>
      </c>
      <c r="O764" s="76" t="s">
        <v>1169</v>
      </c>
      <c r="P764" s="76" t="s">
        <v>2169</v>
      </c>
      <c r="Q764" s="79">
        <v>39062100</v>
      </c>
      <c r="R764" s="63">
        <v>1</v>
      </c>
      <c r="S764" s="80">
        <f>161329000-36117726-39062100-9077100-13239000-24770974</f>
        <v>39062100</v>
      </c>
      <c r="T764" s="63"/>
      <c r="U764" s="63" t="s">
        <v>1171</v>
      </c>
      <c r="V764" s="81" t="s">
        <v>875</v>
      </c>
      <c r="W764" s="82" t="s">
        <v>439</v>
      </c>
      <c r="X764" s="90" t="s">
        <v>2170</v>
      </c>
      <c r="Y764" s="81">
        <v>43335</v>
      </c>
      <c r="Z764" s="83">
        <v>39062100</v>
      </c>
      <c r="AA764" s="84" t="s">
        <v>2164</v>
      </c>
      <c r="AB764" s="85">
        <v>1101</v>
      </c>
      <c r="AC764" s="81">
        <v>43336</v>
      </c>
      <c r="AD764" s="86">
        <v>39062100</v>
      </c>
      <c r="AE764" s="87">
        <f t="shared" si="76"/>
        <v>0</v>
      </c>
      <c r="AF764" s="85"/>
      <c r="AG764" s="81"/>
      <c r="AH764" s="86"/>
      <c r="AI764" s="63"/>
      <c r="AJ764" s="63"/>
      <c r="AK764" s="87">
        <f t="shared" si="78"/>
        <v>39062100</v>
      </c>
      <c r="AL764" s="86"/>
      <c r="AM764" s="86">
        <f t="shared" si="79"/>
        <v>0</v>
      </c>
      <c r="AN764" s="63" t="s">
        <v>1155</v>
      </c>
      <c r="AO764" s="86">
        <f t="shared" si="80"/>
        <v>39062100</v>
      </c>
      <c r="AP764" s="63" t="s">
        <v>2132</v>
      </c>
      <c r="AQ764" s="81">
        <v>43334</v>
      </c>
      <c r="AR764" s="63" t="s">
        <v>1156</v>
      </c>
      <c r="AS764" s="81">
        <v>43335</v>
      </c>
      <c r="AT764" s="63"/>
      <c r="AU764" s="220"/>
      <c r="AV764" s="220"/>
      <c r="AW764" s="220"/>
    </row>
    <row r="765" spans="1:49" s="221" customFormat="1" ht="228" x14ac:dyDescent="0.25">
      <c r="A765" s="63">
        <v>351</v>
      </c>
      <c r="B765" s="63" t="str">
        <f t="shared" si="77"/>
        <v>3075-351</v>
      </c>
      <c r="C765" s="76" t="s">
        <v>1141</v>
      </c>
      <c r="D765" s="76" t="s">
        <v>1142</v>
      </c>
      <c r="E765" s="76" t="s">
        <v>1174</v>
      </c>
      <c r="F765" s="76" t="s">
        <v>1175</v>
      </c>
      <c r="G765" s="77" t="s">
        <v>1176</v>
      </c>
      <c r="H765" s="78" t="s">
        <v>1177</v>
      </c>
      <c r="I765" s="76" t="s">
        <v>1191</v>
      </c>
      <c r="J765" s="76" t="s">
        <v>1192</v>
      </c>
      <c r="K765" s="76" t="s">
        <v>439</v>
      </c>
      <c r="L765" s="63" t="s">
        <v>1149</v>
      </c>
      <c r="M765" s="63" t="s">
        <v>58</v>
      </c>
      <c r="N765" s="63" t="s">
        <v>59</v>
      </c>
      <c r="O765" s="76" t="s">
        <v>1169</v>
      </c>
      <c r="P765" s="76" t="s">
        <v>2171</v>
      </c>
      <c r="Q765" s="79">
        <v>23886940</v>
      </c>
      <c r="R765" s="63">
        <v>1</v>
      </c>
      <c r="S765" s="80">
        <f>161329000-39062100-14291126-25211940-41597285-27796850+10517241</f>
        <v>23886940</v>
      </c>
      <c r="T765" s="63" t="s">
        <v>1171</v>
      </c>
      <c r="U765" s="63" t="s">
        <v>1171</v>
      </c>
      <c r="V765" s="81" t="s">
        <v>875</v>
      </c>
      <c r="W765" s="82" t="s">
        <v>439</v>
      </c>
      <c r="X765" s="90" t="s">
        <v>2172</v>
      </c>
      <c r="Y765" s="81">
        <v>43342</v>
      </c>
      <c r="Z765" s="83">
        <v>23886940</v>
      </c>
      <c r="AA765" s="84" t="s">
        <v>2173</v>
      </c>
      <c r="AB765" s="85">
        <v>1140</v>
      </c>
      <c r="AC765" s="81">
        <v>43343</v>
      </c>
      <c r="AD765" s="86">
        <v>23886940</v>
      </c>
      <c r="AE765" s="87">
        <f t="shared" si="76"/>
        <v>0</v>
      </c>
      <c r="AF765" s="85">
        <v>2925</v>
      </c>
      <c r="AG765" s="81">
        <v>43367</v>
      </c>
      <c r="AH765" s="86">
        <v>23886940</v>
      </c>
      <c r="AI765" s="63" t="s">
        <v>2174</v>
      </c>
      <c r="AJ765" s="63">
        <v>3365</v>
      </c>
      <c r="AK765" s="87">
        <f t="shared" si="78"/>
        <v>0</v>
      </c>
      <c r="AL765" s="86">
        <v>0</v>
      </c>
      <c r="AM765" s="86">
        <f t="shared" si="79"/>
        <v>23886940</v>
      </c>
      <c r="AN765" s="63" t="s">
        <v>1155</v>
      </c>
      <c r="AO765" s="86">
        <f t="shared" si="80"/>
        <v>0</v>
      </c>
      <c r="AP765" s="63" t="s">
        <v>2132</v>
      </c>
      <c r="AQ765" s="81">
        <v>43341</v>
      </c>
      <c r="AR765" s="63" t="s">
        <v>1156</v>
      </c>
      <c r="AS765" s="81">
        <v>43342</v>
      </c>
      <c r="AT765" s="63" t="s">
        <v>2171</v>
      </c>
      <c r="AU765" s="220"/>
      <c r="AV765" s="220"/>
      <c r="AW765" s="220"/>
    </row>
    <row r="766" spans="1:49" s="221" customFormat="1" ht="156.75" x14ac:dyDescent="0.25">
      <c r="A766" s="63">
        <v>352</v>
      </c>
      <c r="B766" s="63" t="str">
        <f t="shared" si="77"/>
        <v>3075-352</v>
      </c>
      <c r="C766" s="76" t="s">
        <v>1141</v>
      </c>
      <c r="D766" s="76" t="s">
        <v>1142</v>
      </c>
      <c r="E766" s="76" t="s">
        <v>1174</v>
      </c>
      <c r="F766" s="76" t="s">
        <v>1175</v>
      </c>
      <c r="G766" s="77" t="s">
        <v>1176</v>
      </c>
      <c r="H766" s="78" t="s">
        <v>1177</v>
      </c>
      <c r="I766" s="76" t="s">
        <v>1191</v>
      </c>
      <c r="J766" s="76" t="s">
        <v>1192</v>
      </c>
      <c r="K766" s="76" t="s">
        <v>439</v>
      </c>
      <c r="L766" s="63" t="s">
        <v>1149</v>
      </c>
      <c r="M766" s="63" t="s">
        <v>58</v>
      </c>
      <c r="N766" s="63" t="s">
        <v>59</v>
      </c>
      <c r="O766" s="76" t="s">
        <v>1169</v>
      </c>
      <c r="P766" s="76" t="s">
        <v>2137</v>
      </c>
      <c r="Q766" s="79">
        <v>161329000</v>
      </c>
      <c r="R766" s="63">
        <v>1</v>
      </c>
      <c r="S766" s="80">
        <f>161329000-10517241-39062100-90000</f>
        <v>111659659</v>
      </c>
      <c r="T766" s="63"/>
      <c r="U766" s="63" t="s">
        <v>1171</v>
      </c>
      <c r="V766" s="81" t="s">
        <v>1164</v>
      </c>
      <c r="W766" s="82" t="s">
        <v>439</v>
      </c>
      <c r="X766" s="90"/>
      <c r="Y766" s="81"/>
      <c r="Z766" s="83"/>
      <c r="AA766" s="84" t="s">
        <v>2164</v>
      </c>
      <c r="AB766" s="85"/>
      <c r="AC766" s="81"/>
      <c r="AD766" s="86"/>
      <c r="AE766" s="87">
        <f t="shared" si="76"/>
        <v>111659659</v>
      </c>
      <c r="AF766" s="85"/>
      <c r="AG766" s="81"/>
      <c r="AH766" s="86"/>
      <c r="AI766" s="63"/>
      <c r="AJ766" s="63"/>
      <c r="AK766" s="87">
        <f t="shared" si="78"/>
        <v>0</v>
      </c>
      <c r="AL766" s="86"/>
      <c r="AM766" s="86">
        <f t="shared" si="79"/>
        <v>0</v>
      </c>
      <c r="AN766" s="63" t="s">
        <v>1155</v>
      </c>
      <c r="AO766" s="86">
        <f t="shared" si="80"/>
        <v>111659659</v>
      </c>
      <c r="AP766" s="63" t="s">
        <v>2132</v>
      </c>
      <c r="AQ766" s="63"/>
      <c r="AR766" s="63" t="s">
        <v>2109</v>
      </c>
      <c r="AS766" s="63"/>
      <c r="AT766" s="63"/>
      <c r="AU766" s="220"/>
      <c r="AV766" s="220"/>
      <c r="AW766" s="220"/>
    </row>
    <row r="767" spans="1:49" s="221" customFormat="1" ht="156.75" x14ac:dyDescent="0.25">
      <c r="A767" s="63">
        <v>353</v>
      </c>
      <c r="B767" s="63" t="str">
        <f t="shared" si="77"/>
        <v>3075-353</v>
      </c>
      <c r="C767" s="76" t="s">
        <v>1141</v>
      </c>
      <c r="D767" s="76" t="s">
        <v>1142</v>
      </c>
      <c r="E767" s="76" t="s">
        <v>1174</v>
      </c>
      <c r="F767" s="76" t="s">
        <v>1175</v>
      </c>
      <c r="G767" s="77" t="s">
        <v>1176</v>
      </c>
      <c r="H767" s="78" t="s">
        <v>1177</v>
      </c>
      <c r="I767" s="76" t="s">
        <v>1191</v>
      </c>
      <c r="J767" s="76" t="s">
        <v>1192</v>
      </c>
      <c r="K767" s="76" t="s">
        <v>439</v>
      </c>
      <c r="L767" s="63" t="s">
        <v>1149</v>
      </c>
      <c r="M767" s="63" t="s">
        <v>58</v>
      </c>
      <c r="N767" s="63" t="s">
        <v>59</v>
      </c>
      <c r="O767" s="76" t="s">
        <v>1169</v>
      </c>
      <c r="P767" s="76" t="s">
        <v>2137</v>
      </c>
      <c r="Q767" s="79">
        <v>161328944</v>
      </c>
      <c r="R767" s="63">
        <v>1</v>
      </c>
      <c r="S767" s="80">
        <v>161328944</v>
      </c>
      <c r="T767" s="63"/>
      <c r="U767" s="63" t="s">
        <v>1171</v>
      </c>
      <c r="V767" s="81" t="s">
        <v>1164</v>
      </c>
      <c r="W767" s="82" t="s">
        <v>439</v>
      </c>
      <c r="X767" s="90"/>
      <c r="Y767" s="81"/>
      <c r="Z767" s="83"/>
      <c r="AA767" s="84" t="s">
        <v>2164</v>
      </c>
      <c r="AB767" s="85"/>
      <c r="AC767" s="81"/>
      <c r="AD767" s="86"/>
      <c r="AE767" s="87">
        <f t="shared" si="76"/>
        <v>161328944</v>
      </c>
      <c r="AF767" s="85"/>
      <c r="AG767" s="81"/>
      <c r="AH767" s="86"/>
      <c r="AI767" s="63"/>
      <c r="AJ767" s="63"/>
      <c r="AK767" s="87">
        <f t="shared" si="78"/>
        <v>0</v>
      </c>
      <c r="AL767" s="86"/>
      <c r="AM767" s="86">
        <f t="shared" si="79"/>
        <v>0</v>
      </c>
      <c r="AN767" s="63" t="s">
        <v>1155</v>
      </c>
      <c r="AO767" s="86">
        <f t="shared" si="80"/>
        <v>161328944</v>
      </c>
      <c r="AP767" s="63" t="s">
        <v>2132</v>
      </c>
      <c r="AQ767" s="63"/>
      <c r="AR767" s="63" t="s">
        <v>2109</v>
      </c>
      <c r="AS767" s="63"/>
      <c r="AT767" s="63"/>
      <c r="AU767" s="220"/>
      <c r="AV767" s="220"/>
      <c r="AW767" s="220"/>
    </row>
    <row r="768" spans="1:49" s="221" customFormat="1" ht="156.75" x14ac:dyDescent="0.25">
      <c r="A768" s="63">
        <v>354</v>
      </c>
      <c r="B768" s="63" t="str">
        <f t="shared" si="77"/>
        <v>3075-354</v>
      </c>
      <c r="C768" s="76" t="s">
        <v>1141</v>
      </c>
      <c r="D768" s="76" t="s">
        <v>1142</v>
      </c>
      <c r="E768" s="76" t="s">
        <v>1174</v>
      </c>
      <c r="F768" s="76" t="s">
        <v>1175</v>
      </c>
      <c r="G768" s="77" t="s">
        <v>1176</v>
      </c>
      <c r="H768" s="78" t="s">
        <v>1177</v>
      </c>
      <c r="I768" s="76" t="s">
        <v>1191</v>
      </c>
      <c r="J768" s="76" t="s">
        <v>1192</v>
      </c>
      <c r="K768" s="76" t="s">
        <v>439</v>
      </c>
      <c r="L768" s="63" t="s">
        <v>1149</v>
      </c>
      <c r="M768" s="63" t="s">
        <v>58</v>
      </c>
      <c r="N768" s="63" t="s">
        <v>59</v>
      </c>
      <c r="O768" s="76" t="s">
        <v>1169</v>
      </c>
      <c r="P768" s="76" t="s">
        <v>2137</v>
      </c>
      <c r="Q768" s="79">
        <v>6031299056</v>
      </c>
      <c r="R768" s="63">
        <v>1</v>
      </c>
      <c r="S768" s="80">
        <f>6031299056-4150000000</f>
        <v>1881299056</v>
      </c>
      <c r="T768" s="63"/>
      <c r="U768" s="63" t="s">
        <v>1171</v>
      </c>
      <c r="V768" s="81" t="s">
        <v>2145</v>
      </c>
      <c r="W768" s="82" t="s">
        <v>439</v>
      </c>
      <c r="X768" s="90"/>
      <c r="Y768" s="81"/>
      <c r="Z768" s="83"/>
      <c r="AA768" s="84" t="s">
        <v>2164</v>
      </c>
      <c r="AB768" s="85"/>
      <c r="AC768" s="81"/>
      <c r="AD768" s="86"/>
      <c r="AE768" s="87">
        <f t="shared" si="76"/>
        <v>1881299056</v>
      </c>
      <c r="AF768" s="85"/>
      <c r="AG768" s="81"/>
      <c r="AH768" s="86"/>
      <c r="AI768" s="63"/>
      <c r="AJ768" s="63"/>
      <c r="AK768" s="87">
        <f t="shared" si="78"/>
        <v>0</v>
      </c>
      <c r="AL768" s="86"/>
      <c r="AM768" s="86">
        <f t="shared" si="79"/>
        <v>0</v>
      </c>
      <c r="AN768" s="63" t="s">
        <v>1155</v>
      </c>
      <c r="AO768" s="86">
        <f t="shared" si="80"/>
        <v>1881299056</v>
      </c>
      <c r="AP768" s="63" t="s">
        <v>2132</v>
      </c>
      <c r="AQ768" s="63"/>
      <c r="AR768" s="63" t="s">
        <v>2109</v>
      </c>
      <c r="AS768" s="63"/>
      <c r="AT768" s="63"/>
      <c r="AU768" s="220"/>
      <c r="AV768" s="220"/>
      <c r="AW768" s="220"/>
    </row>
    <row r="769" spans="1:49" s="221" customFormat="1" ht="213.75" x14ac:dyDescent="0.25">
      <c r="A769" s="63">
        <v>355</v>
      </c>
      <c r="B769" s="63" t="str">
        <f t="shared" si="77"/>
        <v>3075-355</v>
      </c>
      <c r="C769" s="76" t="s">
        <v>1141</v>
      </c>
      <c r="D769" s="76" t="s">
        <v>1142</v>
      </c>
      <c r="E769" s="76" t="s">
        <v>1197</v>
      </c>
      <c r="F769" s="76" t="s">
        <v>1175</v>
      </c>
      <c r="G769" s="77" t="s">
        <v>1176</v>
      </c>
      <c r="H769" s="78" t="s">
        <v>1198</v>
      </c>
      <c r="I769" s="76" t="s">
        <v>1147</v>
      </c>
      <c r="J769" s="76" t="s">
        <v>1148</v>
      </c>
      <c r="K769" s="76" t="s">
        <v>439</v>
      </c>
      <c r="L769" s="63" t="s">
        <v>1149</v>
      </c>
      <c r="M769" s="63" t="s">
        <v>58</v>
      </c>
      <c r="N769" s="63" t="s">
        <v>59</v>
      </c>
      <c r="O769" s="76" t="s">
        <v>1199</v>
      </c>
      <c r="P769" s="76" t="s">
        <v>1200</v>
      </c>
      <c r="Q769" s="79">
        <v>382129510</v>
      </c>
      <c r="R769" s="63">
        <v>1</v>
      </c>
      <c r="S769" s="80">
        <f>846833253-76196119</f>
        <v>770637134</v>
      </c>
      <c r="T769" s="63"/>
      <c r="U769" s="63" t="s">
        <v>1171</v>
      </c>
      <c r="V769" s="81" t="s">
        <v>2175</v>
      </c>
      <c r="W769" s="82" t="s">
        <v>439</v>
      </c>
      <c r="X769" s="91" t="s">
        <v>2176</v>
      </c>
      <c r="Y769" s="81">
        <v>43270</v>
      </c>
      <c r="Z769" s="83">
        <v>648341100</v>
      </c>
      <c r="AA769" s="84" t="s">
        <v>2084</v>
      </c>
      <c r="AB769" s="85">
        <v>908</v>
      </c>
      <c r="AC769" s="81">
        <v>43271</v>
      </c>
      <c r="AD769" s="86">
        <v>648341100</v>
      </c>
      <c r="AE769" s="87">
        <f>S769-AD769</f>
        <v>122296034</v>
      </c>
      <c r="AF769" s="85" t="s">
        <v>1202</v>
      </c>
      <c r="AG769" s="81" t="s">
        <v>1202</v>
      </c>
      <c r="AH769" s="86">
        <v>553716262</v>
      </c>
      <c r="AI769" s="63" t="s">
        <v>1202</v>
      </c>
      <c r="AJ769" s="63" t="s">
        <v>1202</v>
      </c>
      <c r="AK769" s="87">
        <f t="shared" si="78"/>
        <v>94624838</v>
      </c>
      <c r="AL769" s="86">
        <v>165259658</v>
      </c>
      <c r="AM769" s="86">
        <f t="shared" si="79"/>
        <v>388456604</v>
      </c>
      <c r="AN769" s="63" t="s">
        <v>1155</v>
      </c>
      <c r="AO769" s="86">
        <f t="shared" si="80"/>
        <v>216920872</v>
      </c>
      <c r="AP769" s="63" t="s">
        <v>2132</v>
      </c>
      <c r="AQ769" s="81">
        <v>43270</v>
      </c>
      <c r="AR769" s="63" t="s">
        <v>1156</v>
      </c>
      <c r="AS769" s="81">
        <v>43270</v>
      </c>
      <c r="AT769" s="76" t="s">
        <v>1200</v>
      </c>
      <c r="AU769" s="220"/>
      <c r="AV769" s="220"/>
      <c r="AW769" s="220"/>
    </row>
    <row r="770" spans="1:49" s="221" customFormat="1" ht="171" x14ac:dyDescent="0.25">
      <c r="A770" s="63">
        <v>356</v>
      </c>
      <c r="B770" s="63" t="str">
        <f t="shared" si="77"/>
        <v>3075-356</v>
      </c>
      <c r="C770" s="76" t="s">
        <v>1141</v>
      </c>
      <c r="D770" s="76" t="s">
        <v>1142</v>
      </c>
      <c r="E770" s="76" t="s">
        <v>1197</v>
      </c>
      <c r="F770" s="76" t="s">
        <v>1175</v>
      </c>
      <c r="G770" s="77" t="s">
        <v>1176</v>
      </c>
      <c r="H770" s="78" t="s">
        <v>1198</v>
      </c>
      <c r="I770" s="76" t="s">
        <v>1147</v>
      </c>
      <c r="J770" s="76" t="s">
        <v>1148</v>
      </c>
      <c r="K770" s="76" t="s">
        <v>439</v>
      </c>
      <c r="L770" s="63" t="s">
        <v>1149</v>
      </c>
      <c r="M770" s="63" t="s">
        <v>58</v>
      </c>
      <c r="N770" s="63" t="s">
        <v>59</v>
      </c>
      <c r="O770" s="76" t="s">
        <v>1199</v>
      </c>
      <c r="P770" s="76" t="s">
        <v>1200</v>
      </c>
      <c r="Q770" s="79">
        <v>564741082</v>
      </c>
      <c r="R770" s="63">
        <v>1</v>
      </c>
      <c r="S770" s="80">
        <f>564741082-406560+76196119</f>
        <v>640530641</v>
      </c>
      <c r="T770" s="63"/>
      <c r="U770" s="63" t="s">
        <v>1171</v>
      </c>
      <c r="V770" s="81" t="s">
        <v>2177</v>
      </c>
      <c r="W770" s="82" t="s">
        <v>439</v>
      </c>
      <c r="X770" s="91"/>
      <c r="Y770" s="81"/>
      <c r="Z770" s="83"/>
      <c r="AA770" s="84" t="s">
        <v>2084</v>
      </c>
      <c r="AB770" s="85"/>
      <c r="AC770" s="81"/>
      <c r="AD770" s="86"/>
      <c r="AE770" s="87">
        <f>S770-AD770</f>
        <v>640530641</v>
      </c>
      <c r="AF770" s="85"/>
      <c r="AG770" s="81"/>
      <c r="AH770" s="86"/>
      <c r="AI770" s="63"/>
      <c r="AJ770" s="63"/>
      <c r="AK770" s="87">
        <f t="shared" si="78"/>
        <v>0</v>
      </c>
      <c r="AL770" s="86"/>
      <c r="AM770" s="86">
        <f t="shared" si="79"/>
        <v>0</v>
      </c>
      <c r="AN770" s="63" t="s">
        <v>1155</v>
      </c>
      <c r="AO770" s="86">
        <f t="shared" si="80"/>
        <v>640530641</v>
      </c>
      <c r="AP770" s="63" t="s">
        <v>2132</v>
      </c>
      <c r="AQ770" s="63"/>
      <c r="AR770" s="63" t="s">
        <v>2109</v>
      </c>
      <c r="AS770" s="63"/>
      <c r="AT770" s="63"/>
      <c r="AU770" s="220"/>
      <c r="AV770" s="220"/>
      <c r="AW770" s="220"/>
    </row>
    <row r="771" spans="1:49" s="221" customFormat="1" ht="370.5" x14ac:dyDescent="0.25">
      <c r="A771" s="63">
        <v>357</v>
      </c>
      <c r="B771" s="63" t="str">
        <f t="shared" si="77"/>
        <v>3075-357</v>
      </c>
      <c r="C771" s="76" t="s">
        <v>1141</v>
      </c>
      <c r="D771" s="76" t="s">
        <v>1142</v>
      </c>
      <c r="E771" s="76" t="s">
        <v>1143</v>
      </c>
      <c r="F771" s="76" t="s">
        <v>1144</v>
      </c>
      <c r="G771" s="88" t="s">
        <v>2178</v>
      </c>
      <c r="H771" s="92" t="s">
        <v>2179</v>
      </c>
      <c r="I771" s="76" t="s">
        <v>1147</v>
      </c>
      <c r="J771" s="76" t="s">
        <v>1148</v>
      </c>
      <c r="K771" s="93" t="s">
        <v>439</v>
      </c>
      <c r="L771" s="63" t="s">
        <v>1149</v>
      </c>
      <c r="M771" s="63" t="s">
        <v>58</v>
      </c>
      <c r="N771" s="63" t="s">
        <v>59</v>
      </c>
      <c r="O771" s="76" t="s">
        <v>1199</v>
      </c>
      <c r="P771" s="76" t="s">
        <v>2180</v>
      </c>
      <c r="Q771" s="83">
        <v>10000000</v>
      </c>
      <c r="R771" s="63">
        <v>1</v>
      </c>
      <c r="S771" s="80">
        <f>10000000-10000000</f>
        <v>0</v>
      </c>
      <c r="T771" s="63"/>
      <c r="U771" s="63"/>
      <c r="V771" s="81"/>
      <c r="W771" s="82"/>
      <c r="X771" s="63"/>
      <c r="Y771" s="89"/>
      <c r="Z771" s="83"/>
      <c r="AA771" s="84"/>
      <c r="AB771" s="85"/>
      <c r="AC771" s="81"/>
      <c r="AD771" s="86"/>
      <c r="AE771" s="87">
        <f t="shared" ref="AE771:AE781" si="81">S771-Z771</f>
        <v>0</v>
      </c>
      <c r="AF771" s="85"/>
      <c r="AG771" s="81"/>
      <c r="AH771" s="86"/>
      <c r="AI771" s="63"/>
      <c r="AJ771" s="63"/>
      <c r="AK771" s="87">
        <f t="shared" si="78"/>
        <v>0</v>
      </c>
      <c r="AL771" s="86"/>
      <c r="AM771" s="86">
        <f t="shared" si="79"/>
        <v>0</v>
      </c>
      <c r="AN771" s="63" t="s">
        <v>1155</v>
      </c>
      <c r="AO771" s="86">
        <f t="shared" si="80"/>
        <v>0</v>
      </c>
      <c r="AP771" s="63" t="s">
        <v>2132</v>
      </c>
      <c r="AQ771" s="63"/>
      <c r="AR771" s="63" t="s">
        <v>1157</v>
      </c>
      <c r="AS771" s="63"/>
      <c r="AT771" s="63"/>
      <c r="AU771" s="220"/>
      <c r="AV771" s="220"/>
      <c r="AW771" s="220"/>
    </row>
    <row r="772" spans="1:49" s="221" customFormat="1" ht="370.5" x14ac:dyDescent="0.25">
      <c r="A772" s="63">
        <v>358</v>
      </c>
      <c r="B772" s="63" t="str">
        <f t="shared" si="77"/>
        <v>3075-358</v>
      </c>
      <c r="C772" s="76" t="s">
        <v>1141</v>
      </c>
      <c r="D772" s="76" t="s">
        <v>1142</v>
      </c>
      <c r="E772" s="76" t="s">
        <v>1143</v>
      </c>
      <c r="F772" s="76" t="s">
        <v>1144</v>
      </c>
      <c r="G772" s="88" t="s">
        <v>2178</v>
      </c>
      <c r="H772" s="92" t="s">
        <v>2179</v>
      </c>
      <c r="I772" s="76" t="s">
        <v>1147</v>
      </c>
      <c r="J772" s="76" t="s">
        <v>1148</v>
      </c>
      <c r="K772" s="93" t="s">
        <v>439</v>
      </c>
      <c r="L772" s="63" t="s">
        <v>1149</v>
      </c>
      <c r="M772" s="63" t="s">
        <v>58</v>
      </c>
      <c r="N772" s="63" t="s">
        <v>59</v>
      </c>
      <c r="O772" s="76" t="s">
        <v>1199</v>
      </c>
      <c r="P772" s="76" t="s">
        <v>2180</v>
      </c>
      <c r="Q772" s="83">
        <v>10000000</v>
      </c>
      <c r="R772" s="63">
        <v>1</v>
      </c>
      <c r="S772" s="80">
        <f>10000000-10000000</f>
        <v>0</v>
      </c>
      <c r="T772" s="63"/>
      <c r="U772" s="63"/>
      <c r="V772" s="81"/>
      <c r="W772" s="82"/>
      <c r="X772" s="63"/>
      <c r="Y772" s="89"/>
      <c r="Z772" s="83"/>
      <c r="AA772" s="84"/>
      <c r="AB772" s="85"/>
      <c r="AC772" s="81"/>
      <c r="AD772" s="86"/>
      <c r="AE772" s="87">
        <f t="shared" si="81"/>
        <v>0</v>
      </c>
      <c r="AF772" s="85"/>
      <c r="AG772" s="81"/>
      <c r="AH772" s="86"/>
      <c r="AI772" s="63"/>
      <c r="AJ772" s="63"/>
      <c r="AK772" s="87">
        <f t="shared" si="78"/>
        <v>0</v>
      </c>
      <c r="AL772" s="86"/>
      <c r="AM772" s="86">
        <f t="shared" si="79"/>
        <v>0</v>
      </c>
      <c r="AN772" s="63" t="s">
        <v>1155</v>
      </c>
      <c r="AO772" s="86">
        <f t="shared" si="80"/>
        <v>0</v>
      </c>
      <c r="AP772" s="63" t="s">
        <v>2132</v>
      </c>
      <c r="AQ772" s="63"/>
      <c r="AR772" s="63" t="s">
        <v>1157</v>
      </c>
      <c r="AS772" s="63"/>
      <c r="AT772" s="63"/>
      <c r="AU772" s="220"/>
      <c r="AV772" s="220"/>
      <c r="AW772" s="220"/>
    </row>
    <row r="773" spans="1:49" s="221" customFormat="1" ht="370.5" x14ac:dyDescent="0.25">
      <c r="A773" s="63">
        <v>359</v>
      </c>
      <c r="B773" s="63" t="str">
        <f t="shared" si="77"/>
        <v>3075-359</v>
      </c>
      <c r="C773" s="76" t="s">
        <v>1141</v>
      </c>
      <c r="D773" s="76" t="s">
        <v>1142</v>
      </c>
      <c r="E773" s="76" t="s">
        <v>1143</v>
      </c>
      <c r="F773" s="76" t="s">
        <v>1144</v>
      </c>
      <c r="G773" s="88" t="s">
        <v>2178</v>
      </c>
      <c r="H773" s="92" t="s">
        <v>2179</v>
      </c>
      <c r="I773" s="76" t="s">
        <v>1147</v>
      </c>
      <c r="J773" s="76" t="s">
        <v>1148</v>
      </c>
      <c r="K773" s="93" t="s">
        <v>439</v>
      </c>
      <c r="L773" s="63" t="s">
        <v>1149</v>
      </c>
      <c r="M773" s="63" t="s">
        <v>58</v>
      </c>
      <c r="N773" s="63" t="s">
        <v>59</v>
      </c>
      <c r="O773" s="76" t="s">
        <v>1199</v>
      </c>
      <c r="P773" s="76" t="s">
        <v>2180</v>
      </c>
      <c r="Q773" s="83">
        <v>10000000</v>
      </c>
      <c r="R773" s="63">
        <v>1</v>
      </c>
      <c r="S773" s="80">
        <f>10000000-10000000</f>
        <v>0</v>
      </c>
      <c r="T773" s="63"/>
      <c r="U773" s="63"/>
      <c r="V773" s="81"/>
      <c r="W773" s="82"/>
      <c r="X773" s="63"/>
      <c r="Y773" s="89"/>
      <c r="Z773" s="83"/>
      <c r="AA773" s="84"/>
      <c r="AB773" s="85"/>
      <c r="AC773" s="81"/>
      <c r="AD773" s="86"/>
      <c r="AE773" s="87">
        <f t="shared" si="81"/>
        <v>0</v>
      </c>
      <c r="AF773" s="85"/>
      <c r="AG773" s="81"/>
      <c r="AH773" s="86"/>
      <c r="AI773" s="63"/>
      <c r="AJ773" s="63"/>
      <c r="AK773" s="87">
        <f t="shared" si="78"/>
        <v>0</v>
      </c>
      <c r="AL773" s="86"/>
      <c r="AM773" s="86">
        <f t="shared" si="79"/>
        <v>0</v>
      </c>
      <c r="AN773" s="63" t="s">
        <v>1155</v>
      </c>
      <c r="AO773" s="86">
        <f t="shared" si="80"/>
        <v>0</v>
      </c>
      <c r="AP773" s="63" t="s">
        <v>2132</v>
      </c>
      <c r="AQ773" s="63"/>
      <c r="AR773" s="63" t="s">
        <v>1157</v>
      </c>
      <c r="AS773" s="63"/>
      <c r="AT773" s="63"/>
      <c r="AU773" s="220"/>
      <c r="AV773" s="220"/>
      <c r="AW773" s="220"/>
    </row>
    <row r="774" spans="1:49" s="221" customFormat="1" ht="370.5" x14ac:dyDescent="0.25">
      <c r="A774" s="63">
        <v>360</v>
      </c>
      <c r="B774" s="63" t="str">
        <f t="shared" si="77"/>
        <v>3075-360</v>
      </c>
      <c r="C774" s="76" t="s">
        <v>1141</v>
      </c>
      <c r="D774" s="76" t="s">
        <v>1142</v>
      </c>
      <c r="E774" s="76" t="s">
        <v>1143</v>
      </c>
      <c r="F774" s="76" t="s">
        <v>1144</v>
      </c>
      <c r="G774" s="88" t="s">
        <v>2178</v>
      </c>
      <c r="H774" s="92" t="s">
        <v>2179</v>
      </c>
      <c r="I774" s="76" t="s">
        <v>1147</v>
      </c>
      <c r="J774" s="76" t="s">
        <v>1148</v>
      </c>
      <c r="K774" s="93" t="s">
        <v>439</v>
      </c>
      <c r="L774" s="63" t="s">
        <v>1149</v>
      </c>
      <c r="M774" s="63" t="s">
        <v>58</v>
      </c>
      <c r="N774" s="63" t="s">
        <v>59</v>
      </c>
      <c r="O774" s="76" t="s">
        <v>1199</v>
      </c>
      <c r="P774" s="76" t="s">
        <v>2180</v>
      </c>
      <c r="Q774" s="83">
        <v>10000000</v>
      </c>
      <c r="R774" s="63">
        <v>1</v>
      </c>
      <c r="S774" s="80">
        <f>10000000-10000000</f>
        <v>0</v>
      </c>
      <c r="T774" s="63"/>
      <c r="U774" s="63"/>
      <c r="V774" s="81"/>
      <c r="W774" s="82"/>
      <c r="X774" s="63"/>
      <c r="Y774" s="89"/>
      <c r="Z774" s="83"/>
      <c r="AA774" s="84"/>
      <c r="AB774" s="85"/>
      <c r="AC774" s="81"/>
      <c r="AD774" s="86"/>
      <c r="AE774" s="87">
        <f t="shared" si="81"/>
        <v>0</v>
      </c>
      <c r="AF774" s="85"/>
      <c r="AG774" s="81"/>
      <c r="AH774" s="86"/>
      <c r="AI774" s="63"/>
      <c r="AJ774" s="63"/>
      <c r="AK774" s="87">
        <f t="shared" si="78"/>
        <v>0</v>
      </c>
      <c r="AL774" s="86"/>
      <c r="AM774" s="86">
        <f t="shared" si="79"/>
        <v>0</v>
      </c>
      <c r="AN774" s="63" t="s">
        <v>1155</v>
      </c>
      <c r="AO774" s="86">
        <f t="shared" si="80"/>
        <v>0</v>
      </c>
      <c r="AP774" s="63" t="s">
        <v>2132</v>
      </c>
      <c r="AQ774" s="63"/>
      <c r="AR774" s="63" t="s">
        <v>1157</v>
      </c>
      <c r="AS774" s="63"/>
      <c r="AT774" s="63"/>
      <c r="AU774" s="220"/>
      <c r="AV774" s="220"/>
      <c r="AW774" s="220"/>
    </row>
    <row r="775" spans="1:49" s="221" customFormat="1" ht="370.5" x14ac:dyDescent="0.25">
      <c r="A775" s="63">
        <v>361</v>
      </c>
      <c r="B775" s="63" t="str">
        <f t="shared" si="77"/>
        <v>3075-361</v>
      </c>
      <c r="C775" s="76" t="s">
        <v>1141</v>
      </c>
      <c r="D775" s="76" t="s">
        <v>1142</v>
      </c>
      <c r="E775" s="76" t="s">
        <v>1143</v>
      </c>
      <c r="F775" s="76" t="s">
        <v>1144</v>
      </c>
      <c r="G775" s="88" t="s">
        <v>2178</v>
      </c>
      <c r="H775" s="92" t="s">
        <v>2179</v>
      </c>
      <c r="I775" s="76" t="s">
        <v>1147</v>
      </c>
      <c r="J775" s="76" t="s">
        <v>1148</v>
      </c>
      <c r="K775" s="93" t="s">
        <v>439</v>
      </c>
      <c r="L775" s="63" t="s">
        <v>1149</v>
      </c>
      <c r="M775" s="63" t="s">
        <v>58</v>
      </c>
      <c r="N775" s="63" t="s">
        <v>59</v>
      </c>
      <c r="O775" s="76" t="s">
        <v>1199</v>
      </c>
      <c r="P775" s="76" t="s">
        <v>2180</v>
      </c>
      <c r="Q775" s="83">
        <v>10000000</v>
      </c>
      <c r="R775" s="63">
        <v>1</v>
      </c>
      <c r="S775" s="80">
        <f>10000000-9220487</f>
        <v>779513</v>
      </c>
      <c r="T775" s="63"/>
      <c r="U775" s="63" t="s">
        <v>1163</v>
      </c>
      <c r="V775" s="81" t="s">
        <v>875</v>
      </c>
      <c r="W775" s="82" t="s">
        <v>439</v>
      </c>
      <c r="X775" s="63"/>
      <c r="Y775" s="89"/>
      <c r="Z775" s="83"/>
      <c r="AA775" s="84"/>
      <c r="AB775" s="85"/>
      <c r="AC775" s="81"/>
      <c r="AD775" s="86"/>
      <c r="AE775" s="87">
        <f t="shared" si="81"/>
        <v>779513</v>
      </c>
      <c r="AF775" s="85"/>
      <c r="AG775" s="81"/>
      <c r="AH775" s="86"/>
      <c r="AI775" s="63"/>
      <c r="AJ775" s="63"/>
      <c r="AK775" s="87">
        <f t="shared" si="78"/>
        <v>0</v>
      </c>
      <c r="AL775" s="86"/>
      <c r="AM775" s="86">
        <f t="shared" si="79"/>
        <v>0</v>
      </c>
      <c r="AN775" s="63" t="s">
        <v>1155</v>
      </c>
      <c r="AO775" s="86">
        <f t="shared" si="80"/>
        <v>779513</v>
      </c>
      <c r="AP775" s="63" t="s">
        <v>2132</v>
      </c>
      <c r="AQ775" s="63"/>
      <c r="AR775" s="63" t="s">
        <v>2109</v>
      </c>
      <c r="AS775" s="63"/>
      <c r="AT775" s="63"/>
      <c r="AU775" s="220"/>
      <c r="AV775" s="220"/>
      <c r="AW775" s="220"/>
    </row>
    <row r="776" spans="1:49" s="221" customFormat="1" ht="370.5" x14ac:dyDescent="0.25">
      <c r="A776" s="63">
        <v>362</v>
      </c>
      <c r="B776" s="63" t="str">
        <f t="shared" si="77"/>
        <v>3075-362</v>
      </c>
      <c r="C776" s="76" t="s">
        <v>1141</v>
      </c>
      <c r="D776" s="76" t="s">
        <v>1142</v>
      </c>
      <c r="E776" s="76" t="s">
        <v>1143</v>
      </c>
      <c r="F776" s="76" t="s">
        <v>1144</v>
      </c>
      <c r="G776" s="88" t="s">
        <v>2178</v>
      </c>
      <c r="H776" s="92" t="s">
        <v>2179</v>
      </c>
      <c r="I776" s="76" t="s">
        <v>1147</v>
      </c>
      <c r="J776" s="76" t="s">
        <v>1148</v>
      </c>
      <c r="K776" s="93" t="s">
        <v>439</v>
      </c>
      <c r="L776" s="63" t="s">
        <v>1149</v>
      </c>
      <c r="M776" s="63" t="s">
        <v>58</v>
      </c>
      <c r="N776" s="63" t="s">
        <v>59</v>
      </c>
      <c r="O776" s="76" t="s">
        <v>1199</v>
      </c>
      <c r="P776" s="76" t="s">
        <v>2180</v>
      </c>
      <c r="Q776" s="83">
        <v>10000000</v>
      </c>
      <c r="R776" s="63">
        <v>1</v>
      </c>
      <c r="S776" s="80">
        <v>10000000</v>
      </c>
      <c r="T776" s="63"/>
      <c r="U776" s="63" t="s">
        <v>1163</v>
      </c>
      <c r="V776" s="81" t="s">
        <v>1164</v>
      </c>
      <c r="W776" s="82" t="s">
        <v>439</v>
      </c>
      <c r="X776" s="63"/>
      <c r="Y776" s="89"/>
      <c r="Z776" s="83"/>
      <c r="AA776" s="84"/>
      <c r="AB776" s="85"/>
      <c r="AC776" s="81"/>
      <c r="AD776" s="86"/>
      <c r="AE776" s="87">
        <f t="shared" si="81"/>
        <v>10000000</v>
      </c>
      <c r="AF776" s="85"/>
      <c r="AG776" s="81"/>
      <c r="AH776" s="86"/>
      <c r="AI776" s="63"/>
      <c r="AJ776" s="63"/>
      <c r="AK776" s="87">
        <f t="shared" si="78"/>
        <v>0</v>
      </c>
      <c r="AL776" s="86"/>
      <c r="AM776" s="86">
        <f t="shared" si="79"/>
        <v>0</v>
      </c>
      <c r="AN776" s="63" t="s">
        <v>1155</v>
      </c>
      <c r="AO776" s="86">
        <f t="shared" si="80"/>
        <v>10000000</v>
      </c>
      <c r="AP776" s="63" t="s">
        <v>2132</v>
      </c>
      <c r="AQ776" s="63"/>
      <c r="AR776" s="63" t="s">
        <v>2109</v>
      </c>
      <c r="AS776" s="63"/>
      <c r="AT776" s="63"/>
      <c r="AU776" s="220"/>
      <c r="AV776" s="220"/>
      <c r="AW776" s="220"/>
    </row>
    <row r="777" spans="1:49" s="221" customFormat="1" ht="370.5" x14ac:dyDescent="0.25">
      <c r="A777" s="63">
        <v>363</v>
      </c>
      <c r="B777" s="63" t="str">
        <f t="shared" si="77"/>
        <v>3075-363</v>
      </c>
      <c r="C777" s="76" t="s">
        <v>1141</v>
      </c>
      <c r="D777" s="76" t="s">
        <v>1142</v>
      </c>
      <c r="E777" s="76" t="s">
        <v>1143</v>
      </c>
      <c r="F777" s="76" t="s">
        <v>1144</v>
      </c>
      <c r="G777" s="88" t="s">
        <v>2178</v>
      </c>
      <c r="H777" s="92" t="s">
        <v>2179</v>
      </c>
      <c r="I777" s="76" t="s">
        <v>1147</v>
      </c>
      <c r="J777" s="76" t="s">
        <v>1148</v>
      </c>
      <c r="K777" s="93" t="s">
        <v>439</v>
      </c>
      <c r="L777" s="63" t="s">
        <v>1149</v>
      </c>
      <c r="M777" s="63" t="s">
        <v>58</v>
      </c>
      <c r="N777" s="63" t="s">
        <v>59</v>
      </c>
      <c r="O777" s="76" t="s">
        <v>1199</v>
      </c>
      <c r="P777" s="76" t="s">
        <v>2180</v>
      </c>
      <c r="Q777" s="83">
        <v>9385236</v>
      </c>
      <c r="R777" s="63">
        <v>1</v>
      </c>
      <c r="S777" s="80">
        <v>9385236</v>
      </c>
      <c r="T777" s="63"/>
      <c r="U777" s="63" t="s">
        <v>1163</v>
      </c>
      <c r="V777" s="81" t="s">
        <v>830</v>
      </c>
      <c r="W777" s="82" t="s">
        <v>439</v>
      </c>
      <c r="X777" s="63"/>
      <c r="Y777" s="89"/>
      <c r="Z777" s="83"/>
      <c r="AA777" s="84"/>
      <c r="AB777" s="85"/>
      <c r="AC777" s="81"/>
      <c r="AD777" s="86"/>
      <c r="AE777" s="87">
        <f t="shared" si="81"/>
        <v>9385236</v>
      </c>
      <c r="AF777" s="85"/>
      <c r="AG777" s="81"/>
      <c r="AH777" s="86"/>
      <c r="AI777" s="63"/>
      <c r="AJ777" s="63"/>
      <c r="AK777" s="87">
        <f t="shared" si="78"/>
        <v>0</v>
      </c>
      <c r="AL777" s="86"/>
      <c r="AM777" s="86">
        <f t="shared" si="79"/>
        <v>0</v>
      </c>
      <c r="AN777" s="63" t="s">
        <v>1155</v>
      </c>
      <c r="AO777" s="86">
        <f t="shared" si="80"/>
        <v>9385236</v>
      </c>
      <c r="AP777" s="63" t="s">
        <v>2132</v>
      </c>
      <c r="AQ777" s="63"/>
      <c r="AR777" s="63" t="s">
        <v>2109</v>
      </c>
      <c r="AS777" s="63"/>
      <c r="AT777" s="63"/>
      <c r="AU777" s="220"/>
      <c r="AV777" s="220"/>
      <c r="AW777" s="220"/>
    </row>
    <row r="778" spans="1:49" s="221" customFormat="1" ht="342" x14ac:dyDescent="0.25">
      <c r="A778" s="63">
        <v>364</v>
      </c>
      <c r="B778" s="63" t="str">
        <f t="shared" si="77"/>
        <v>3075-364</v>
      </c>
      <c r="C778" s="76" t="s">
        <v>1141</v>
      </c>
      <c r="D778" s="76" t="s">
        <v>1142</v>
      </c>
      <c r="E778" s="76" t="s">
        <v>1143</v>
      </c>
      <c r="F778" s="76" t="s">
        <v>1144</v>
      </c>
      <c r="G778" s="88" t="s">
        <v>2178</v>
      </c>
      <c r="H778" s="92" t="s">
        <v>2179</v>
      </c>
      <c r="I778" s="76" t="s">
        <v>1147</v>
      </c>
      <c r="J778" s="76" t="s">
        <v>1148</v>
      </c>
      <c r="K778" s="93" t="s">
        <v>439</v>
      </c>
      <c r="L778" s="63" t="s">
        <v>1149</v>
      </c>
      <c r="M778" s="63" t="s">
        <v>58</v>
      </c>
      <c r="N778" s="63" t="s">
        <v>59</v>
      </c>
      <c r="O778" s="76" t="s">
        <v>1199</v>
      </c>
      <c r="P778" s="76" t="s">
        <v>2181</v>
      </c>
      <c r="Q778" s="83">
        <v>420000000</v>
      </c>
      <c r="R778" s="63">
        <v>1</v>
      </c>
      <c r="S778" s="80">
        <f>419877047-200000000</f>
        <v>219877047</v>
      </c>
      <c r="T778" s="63"/>
      <c r="U778" s="63" t="s">
        <v>1163</v>
      </c>
      <c r="V778" s="81" t="s">
        <v>2182</v>
      </c>
      <c r="W778" s="82" t="s">
        <v>439</v>
      </c>
      <c r="X778" s="63"/>
      <c r="Y778" s="89"/>
      <c r="Z778" s="83"/>
      <c r="AA778" s="84"/>
      <c r="AB778" s="85"/>
      <c r="AC778" s="81"/>
      <c r="AD778" s="86"/>
      <c r="AE778" s="87">
        <f t="shared" si="81"/>
        <v>219877047</v>
      </c>
      <c r="AF778" s="85"/>
      <c r="AG778" s="81"/>
      <c r="AH778" s="86"/>
      <c r="AI778" s="63"/>
      <c r="AJ778" s="63"/>
      <c r="AK778" s="87">
        <f t="shared" si="78"/>
        <v>0</v>
      </c>
      <c r="AL778" s="86"/>
      <c r="AM778" s="86">
        <f t="shared" si="79"/>
        <v>0</v>
      </c>
      <c r="AN778" s="63" t="s">
        <v>1155</v>
      </c>
      <c r="AO778" s="86">
        <f t="shared" si="80"/>
        <v>219877047</v>
      </c>
      <c r="AP778" s="63" t="s">
        <v>2132</v>
      </c>
      <c r="AQ778" s="63"/>
      <c r="AR778" s="63" t="s">
        <v>2109</v>
      </c>
      <c r="AS778" s="63"/>
      <c r="AT778" s="63"/>
      <c r="AU778" s="220"/>
      <c r="AV778" s="220"/>
      <c r="AW778" s="220"/>
    </row>
    <row r="779" spans="1:49" s="221" customFormat="1" ht="185.25" x14ac:dyDescent="0.25">
      <c r="A779" s="63">
        <v>365</v>
      </c>
      <c r="B779" s="63" t="str">
        <f t="shared" si="77"/>
        <v>3075-365</v>
      </c>
      <c r="C779" s="76" t="s">
        <v>1141</v>
      </c>
      <c r="D779" s="76" t="s">
        <v>1142</v>
      </c>
      <c r="E779" s="76" t="s">
        <v>1174</v>
      </c>
      <c r="F779" s="76" t="s">
        <v>1175</v>
      </c>
      <c r="G779" s="77" t="s">
        <v>1176</v>
      </c>
      <c r="H779" s="78" t="s">
        <v>1177</v>
      </c>
      <c r="I779" s="76" t="s">
        <v>1147</v>
      </c>
      <c r="J779" s="76" t="s">
        <v>1148</v>
      </c>
      <c r="K779" s="76" t="s">
        <v>439</v>
      </c>
      <c r="L779" s="63" t="s">
        <v>1149</v>
      </c>
      <c r="M779" s="63" t="s">
        <v>58</v>
      </c>
      <c r="N779" s="63" t="s">
        <v>59</v>
      </c>
      <c r="O779" s="76" t="s">
        <v>1169</v>
      </c>
      <c r="P779" s="63" t="s">
        <v>2183</v>
      </c>
      <c r="Q779" s="83">
        <v>1154000000</v>
      </c>
      <c r="R779" s="98">
        <v>1</v>
      </c>
      <c r="S779" s="80">
        <f>1154000000-1154000000</f>
        <v>0</v>
      </c>
      <c r="T779" s="63"/>
      <c r="U779" s="63"/>
      <c r="V779" s="81"/>
      <c r="W779" s="82"/>
      <c r="X779" s="63" t="s">
        <v>2184</v>
      </c>
      <c r="Y779" s="81">
        <v>43164</v>
      </c>
      <c r="Z779" s="83">
        <f>1154000000-1154000000</f>
        <v>0</v>
      </c>
      <c r="AA779" s="84" t="s">
        <v>2185</v>
      </c>
      <c r="AB779" s="85"/>
      <c r="AC779" s="81"/>
      <c r="AD779" s="86">
        <v>0</v>
      </c>
      <c r="AE779" s="87">
        <f t="shared" si="81"/>
        <v>0</v>
      </c>
      <c r="AF779" s="85"/>
      <c r="AG779" s="81"/>
      <c r="AH779" s="86"/>
      <c r="AI779" s="63"/>
      <c r="AJ779" s="63"/>
      <c r="AK779" s="87">
        <f t="shared" si="78"/>
        <v>0</v>
      </c>
      <c r="AL779" s="86"/>
      <c r="AM779" s="86">
        <f t="shared" si="79"/>
        <v>0</v>
      </c>
      <c r="AN779" s="63" t="s">
        <v>1155</v>
      </c>
      <c r="AO779" s="86">
        <f t="shared" si="80"/>
        <v>0</v>
      </c>
      <c r="AP779" s="63" t="s">
        <v>2186</v>
      </c>
      <c r="AQ779" s="81">
        <v>43164</v>
      </c>
      <c r="AR779" s="63" t="s">
        <v>1157</v>
      </c>
      <c r="AS779" s="81">
        <v>43164</v>
      </c>
      <c r="AT779" s="63" t="s">
        <v>2187</v>
      </c>
      <c r="AU779" s="220"/>
      <c r="AV779" s="220"/>
      <c r="AW779" s="220"/>
    </row>
    <row r="780" spans="1:49" s="221" customFormat="1" ht="409.5" x14ac:dyDescent="0.25">
      <c r="A780" s="63">
        <v>366</v>
      </c>
      <c r="B780" s="63" t="str">
        <f t="shared" si="77"/>
        <v>3075-366</v>
      </c>
      <c r="C780" s="76" t="s">
        <v>1141</v>
      </c>
      <c r="D780" s="76" t="s">
        <v>1142</v>
      </c>
      <c r="E780" s="76" t="s">
        <v>1424</v>
      </c>
      <c r="F780" s="76" t="s">
        <v>1158</v>
      </c>
      <c r="G780" s="77" t="s">
        <v>1159</v>
      </c>
      <c r="H780" s="101" t="s">
        <v>1160</v>
      </c>
      <c r="I780" s="76" t="s">
        <v>1147</v>
      </c>
      <c r="J780" s="76" t="s">
        <v>1148</v>
      </c>
      <c r="K780" s="76">
        <v>801116</v>
      </c>
      <c r="L780" s="63" t="s">
        <v>1149</v>
      </c>
      <c r="M780" s="63" t="s">
        <v>58</v>
      </c>
      <c r="N780" s="63" t="s">
        <v>59</v>
      </c>
      <c r="O780" s="76" t="s">
        <v>1213</v>
      </c>
      <c r="P780" s="63" t="s">
        <v>2188</v>
      </c>
      <c r="Q780" s="83">
        <v>3300000</v>
      </c>
      <c r="R780" s="98">
        <v>1</v>
      </c>
      <c r="S780" s="80">
        <v>9900000</v>
      </c>
      <c r="T780" s="63" t="s">
        <v>888</v>
      </c>
      <c r="U780" s="63" t="s">
        <v>1163</v>
      </c>
      <c r="V780" s="81" t="s">
        <v>724</v>
      </c>
      <c r="W780" s="82">
        <v>3</v>
      </c>
      <c r="X780" s="63" t="s">
        <v>2189</v>
      </c>
      <c r="Y780" s="81">
        <v>43164</v>
      </c>
      <c r="Z780" s="83">
        <v>9900000</v>
      </c>
      <c r="AA780" s="84" t="s">
        <v>1692</v>
      </c>
      <c r="AB780" s="85">
        <v>685</v>
      </c>
      <c r="AC780" s="81">
        <v>43165</v>
      </c>
      <c r="AD780" s="86">
        <v>9900000</v>
      </c>
      <c r="AE780" s="86">
        <f t="shared" si="81"/>
        <v>0</v>
      </c>
      <c r="AF780" s="85">
        <v>1572</v>
      </c>
      <c r="AG780" s="81">
        <v>43173</v>
      </c>
      <c r="AH780" s="86">
        <v>9900000</v>
      </c>
      <c r="AI780" s="63" t="s">
        <v>2190</v>
      </c>
      <c r="AJ780" s="63">
        <v>541</v>
      </c>
      <c r="AK780" s="87">
        <f t="shared" si="78"/>
        <v>0</v>
      </c>
      <c r="AL780" s="86">
        <v>9900000</v>
      </c>
      <c r="AM780" s="86">
        <f t="shared" si="79"/>
        <v>0</v>
      </c>
      <c r="AN780" s="63" t="s">
        <v>1155</v>
      </c>
      <c r="AO780" s="86">
        <f t="shared" si="80"/>
        <v>0</v>
      </c>
      <c r="AP780" s="63"/>
      <c r="AQ780" s="81">
        <v>43164</v>
      </c>
      <c r="AR780" s="63" t="s">
        <v>2109</v>
      </c>
      <c r="AS780" s="81">
        <v>43164</v>
      </c>
      <c r="AT780" s="63" t="s">
        <v>1453</v>
      </c>
      <c r="AU780" s="220"/>
      <c r="AV780" s="220"/>
      <c r="AW780" s="220"/>
    </row>
    <row r="781" spans="1:49" s="221" customFormat="1" ht="409.5" x14ac:dyDescent="0.25">
      <c r="A781" s="63">
        <v>367</v>
      </c>
      <c r="B781" s="63" t="str">
        <f t="shared" si="77"/>
        <v>3075-367</v>
      </c>
      <c r="C781" s="76" t="s">
        <v>1141</v>
      </c>
      <c r="D781" s="76" t="s">
        <v>1142</v>
      </c>
      <c r="E781" s="76" t="s">
        <v>1424</v>
      </c>
      <c r="F781" s="76" t="s">
        <v>1158</v>
      </c>
      <c r="G781" s="77" t="s">
        <v>1159</v>
      </c>
      <c r="H781" s="101" t="s">
        <v>1160</v>
      </c>
      <c r="I781" s="76" t="s">
        <v>1147</v>
      </c>
      <c r="J781" s="76" t="s">
        <v>1148</v>
      </c>
      <c r="K781" s="76">
        <v>801116</v>
      </c>
      <c r="L781" s="63" t="s">
        <v>1149</v>
      </c>
      <c r="M781" s="63" t="s">
        <v>58</v>
      </c>
      <c r="N781" s="63" t="s">
        <v>59</v>
      </c>
      <c r="O781" s="76" t="s">
        <v>1213</v>
      </c>
      <c r="P781" s="63" t="s">
        <v>2191</v>
      </c>
      <c r="Q781" s="83">
        <v>5100000</v>
      </c>
      <c r="R781" s="98">
        <v>1</v>
      </c>
      <c r="S781" s="80">
        <v>15300000</v>
      </c>
      <c r="T781" s="63" t="s">
        <v>888</v>
      </c>
      <c r="U781" s="63" t="s">
        <v>1163</v>
      </c>
      <c r="V781" s="81" t="s">
        <v>724</v>
      </c>
      <c r="W781" s="82">
        <v>3</v>
      </c>
      <c r="X781" s="63" t="s">
        <v>2192</v>
      </c>
      <c r="Y781" s="81">
        <v>43164</v>
      </c>
      <c r="Z781" s="83">
        <v>15300000</v>
      </c>
      <c r="AA781" s="84" t="s">
        <v>1692</v>
      </c>
      <c r="AB781" s="85">
        <v>686</v>
      </c>
      <c r="AC781" s="81">
        <v>43165</v>
      </c>
      <c r="AD781" s="86">
        <v>15300000</v>
      </c>
      <c r="AE781" s="86">
        <f t="shared" si="81"/>
        <v>0</v>
      </c>
      <c r="AF781" s="85">
        <v>1575</v>
      </c>
      <c r="AG781" s="81">
        <v>43173</v>
      </c>
      <c r="AH781" s="86">
        <v>15300000</v>
      </c>
      <c r="AI781" s="63" t="s">
        <v>2193</v>
      </c>
      <c r="AJ781" s="63">
        <v>534</v>
      </c>
      <c r="AK781" s="87">
        <f t="shared" si="78"/>
        <v>0</v>
      </c>
      <c r="AL781" s="86">
        <v>15300000</v>
      </c>
      <c r="AM781" s="86">
        <f t="shared" si="79"/>
        <v>0</v>
      </c>
      <c r="AN781" s="63" t="s">
        <v>1155</v>
      </c>
      <c r="AO781" s="86">
        <f t="shared" si="80"/>
        <v>0</v>
      </c>
      <c r="AP781" s="63"/>
      <c r="AQ781" s="81">
        <v>43164</v>
      </c>
      <c r="AR781" s="63" t="s">
        <v>2109</v>
      </c>
      <c r="AS781" s="81">
        <v>43164</v>
      </c>
      <c r="AT781" s="63" t="s">
        <v>1453</v>
      </c>
      <c r="AU781" s="220"/>
      <c r="AV781" s="220"/>
      <c r="AW781" s="220"/>
    </row>
    <row r="782" spans="1:49" s="221" customFormat="1" ht="370.5" x14ac:dyDescent="0.25">
      <c r="A782" s="63">
        <v>368</v>
      </c>
      <c r="B782" s="63" t="str">
        <f t="shared" si="77"/>
        <v>3075-368</v>
      </c>
      <c r="C782" s="76" t="s">
        <v>1141</v>
      </c>
      <c r="D782" s="76" t="s">
        <v>1142</v>
      </c>
      <c r="E782" s="76" t="s">
        <v>1424</v>
      </c>
      <c r="F782" s="76" t="s">
        <v>1175</v>
      </c>
      <c r="G782" s="77" t="s">
        <v>1176</v>
      </c>
      <c r="H782" s="101" t="s">
        <v>1425</v>
      </c>
      <c r="I782" s="76" t="s">
        <v>1147</v>
      </c>
      <c r="J782" s="76" t="s">
        <v>1148</v>
      </c>
      <c r="K782" s="76" t="s">
        <v>439</v>
      </c>
      <c r="L782" s="63" t="s">
        <v>1149</v>
      </c>
      <c r="M782" s="63" t="s">
        <v>58</v>
      </c>
      <c r="N782" s="63" t="s">
        <v>59</v>
      </c>
      <c r="O782" s="76" t="s">
        <v>1213</v>
      </c>
      <c r="P782" s="63" t="s">
        <v>2194</v>
      </c>
      <c r="Q782" s="83">
        <v>54686940</v>
      </c>
      <c r="R782" s="98">
        <v>1</v>
      </c>
      <c r="S782" s="80">
        <v>54686940</v>
      </c>
      <c r="T782" s="63" t="s">
        <v>1171</v>
      </c>
      <c r="U782" s="63" t="s">
        <v>1171</v>
      </c>
      <c r="V782" s="81" t="s">
        <v>1023</v>
      </c>
      <c r="W782" s="82" t="s">
        <v>439</v>
      </c>
      <c r="X782" s="63" t="s">
        <v>2195</v>
      </c>
      <c r="Y782" s="81">
        <v>43164</v>
      </c>
      <c r="Z782" s="83">
        <v>54686940</v>
      </c>
      <c r="AA782" s="84" t="s">
        <v>1742</v>
      </c>
      <c r="AB782" s="85">
        <v>701</v>
      </c>
      <c r="AC782" s="81">
        <v>43167</v>
      </c>
      <c r="AD782" s="86">
        <v>54686940</v>
      </c>
      <c r="AE782" s="87">
        <v>0</v>
      </c>
      <c r="AF782" s="85">
        <v>1956</v>
      </c>
      <c r="AG782" s="81">
        <v>43245</v>
      </c>
      <c r="AH782" s="86">
        <v>54686940</v>
      </c>
      <c r="AI782" s="63" t="s">
        <v>2196</v>
      </c>
      <c r="AJ782" s="63">
        <v>2098</v>
      </c>
      <c r="AK782" s="87">
        <f t="shared" si="78"/>
        <v>0</v>
      </c>
      <c r="AL782" s="86">
        <v>54686940</v>
      </c>
      <c r="AM782" s="86">
        <f t="shared" si="79"/>
        <v>0</v>
      </c>
      <c r="AN782" s="63" t="s">
        <v>1155</v>
      </c>
      <c r="AO782" s="86">
        <f t="shared" si="80"/>
        <v>0</v>
      </c>
      <c r="AP782" s="63"/>
      <c r="AQ782" s="81">
        <v>43164</v>
      </c>
      <c r="AR782" s="63" t="s">
        <v>2109</v>
      </c>
      <c r="AS782" s="81">
        <v>43164</v>
      </c>
      <c r="AT782" s="63" t="s">
        <v>2194</v>
      </c>
      <c r="AU782" s="220"/>
      <c r="AV782" s="220"/>
      <c r="AW782" s="220"/>
    </row>
    <row r="783" spans="1:49" s="221" customFormat="1" ht="370.5" x14ac:dyDescent="0.25">
      <c r="A783" s="63">
        <v>369</v>
      </c>
      <c r="B783" s="63" t="str">
        <f t="shared" si="77"/>
        <v>3075-369</v>
      </c>
      <c r="C783" s="76" t="s">
        <v>1141</v>
      </c>
      <c r="D783" s="76" t="s">
        <v>1142</v>
      </c>
      <c r="E783" s="76" t="s">
        <v>1424</v>
      </c>
      <c r="F783" s="76" t="s">
        <v>1175</v>
      </c>
      <c r="G783" s="77" t="s">
        <v>1176</v>
      </c>
      <c r="H783" s="101" t="s">
        <v>1425</v>
      </c>
      <c r="I783" s="76" t="s">
        <v>1147</v>
      </c>
      <c r="J783" s="76" t="s">
        <v>1148</v>
      </c>
      <c r="K783" s="76" t="s">
        <v>439</v>
      </c>
      <c r="L783" s="63" t="s">
        <v>1149</v>
      </c>
      <c r="M783" s="63" t="s">
        <v>58</v>
      </c>
      <c r="N783" s="63" t="s">
        <v>59</v>
      </c>
      <c r="O783" s="76" t="s">
        <v>1213</v>
      </c>
      <c r="P783" s="63" t="s">
        <v>2197</v>
      </c>
      <c r="Q783" s="83">
        <v>54686940</v>
      </c>
      <c r="R783" s="98">
        <v>1</v>
      </c>
      <c r="S783" s="80">
        <v>54686940</v>
      </c>
      <c r="T783" s="63" t="s">
        <v>1171</v>
      </c>
      <c r="U783" s="63" t="s">
        <v>1171</v>
      </c>
      <c r="V783" s="81" t="s">
        <v>724</v>
      </c>
      <c r="W783" s="82" t="s">
        <v>439</v>
      </c>
      <c r="X783" s="63" t="s">
        <v>2198</v>
      </c>
      <c r="Y783" s="81">
        <v>43164</v>
      </c>
      <c r="Z783" s="86">
        <v>54686940</v>
      </c>
      <c r="AA783" s="84" t="s">
        <v>1742</v>
      </c>
      <c r="AB783" s="85">
        <v>702</v>
      </c>
      <c r="AC783" s="81">
        <v>43167</v>
      </c>
      <c r="AD783" s="86">
        <v>54686940</v>
      </c>
      <c r="AE783" s="87">
        <v>0</v>
      </c>
      <c r="AF783" s="85">
        <v>1622</v>
      </c>
      <c r="AG783" s="81">
        <v>43182</v>
      </c>
      <c r="AH783" s="86">
        <v>54686940</v>
      </c>
      <c r="AI783" s="63" t="s">
        <v>2199</v>
      </c>
      <c r="AJ783" s="63">
        <v>1630</v>
      </c>
      <c r="AK783" s="87">
        <f t="shared" si="78"/>
        <v>0</v>
      </c>
      <c r="AL783" s="86">
        <v>54686940</v>
      </c>
      <c r="AM783" s="86">
        <f t="shared" si="79"/>
        <v>0</v>
      </c>
      <c r="AN783" s="63" t="s">
        <v>1155</v>
      </c>
      <c r="AO783" s="86">
        <f t="shared" si="80"/>
        <v>0</v>
      </c>
      <c r="AP783" s="63"/>
      <c r="AQ783" s="81">
        <v>43164</v>
      </c>
      <c r="AR783" s="63" t="s">
        <v>2109</v>
      </c>
      <c r="AS783" s="81">
        <v>43164</v>
      </c>
      <c r="AT783" s="63" t="str">
        <f>P783</f>
        <v>Asignacion del instrumento financiero a las familias ocupantes del predio que hayan superado la fase de verificacion dentro del marco del Decreto 457 de 2017. LOCALIDAD: KENNEDY; BARRIO: VEREDITAS; ID: 2018-8-384287</v>
      </c>
      <c r="AU783" s="220"/>
      <c r="AV783" s="220"/>
      <c r="AW783" s="220"/>
    </row>
    <row r="784" spans="1:49" s="221" customFormat="1" ht="409.5" x14ac:dyDescent="0.25">
      <c r="A784" s="63">
        <v>370</v>
      </c>
      <c r="B784" s="63" t="str">
        <f t="shared" si="77"/>
        <v>3075-370</v>
      </c>
      <c r="C784" s="76" t="s">
        <v>1141</v>
      </c>
      <c r="D784" s="76" t="s">
        <v>1142</v>
      </c>
      <c r="E784" s="76" t="s">
        <v>1424</v>
      </c>
      <c r="F784" s="76" t="s">
        <v>1158</v>
      </c>
      <c r="G784" s="77" t="s">
        <v>1159</v>
      </c>
      <c r="H784" s="101" t="s">
        <v>1160</v>
      </c>
      <c r="I784" s="76" t="s">
        <v>1147</v>
      </c>
      <c r="J784" s="76" t="s">
        <v>1148</v>
      </c>
      <c r="K784" s="76">
        <v>801116</v>
      </c>
      <c r="L784" s="63" t="s">
        <v>1149</v>
      </c>
      <c r="M784" s="63" t="s">
        <v>58</v>
      </c>
      <c r="N784" s="63" t="s">
        <v>59</v>
      </c>
      <c r="O784" s="76" t="s">
        <v>1213</v>
      </c>
      <c r="P784" s="63" t="s">
        <v>2200</v>
      </c>
      <c r="Q784" s="83">
        <v>4000000</v>
      </c>
      <c r="R784" s="98">
        <v>1</v>
      </c>
      <c r="S784" s="80">
        <v>12000000</v>
      </c>
      <c r="T784" s="63" t="s">
        <v>888</v>
      </c>
      <c r="U784" s="63" t="s">
        <v>1163</v>
      </c>
      <c r="V784" s="81" t="s">
        <v>724</v>
      </c>
      <c r="W784" s="82">
        <v>3</v>
      </c>
      <c r="X784" s="63" t="s">
        <v>2201</v>
      </c>
      <c r="Y784" s="81">
        <v>43164</v>
      </c>
      <c r="Z784" s="83">
        <v>12000000</v>
      </c>
      <c r="AA784" s="84" t="s">
        <v>1692</v>
      </c>
      <c r="AB784" s="85">
        <v>687</v>
      </c>
      <c r="AC784" s="81">
        <v>43165</v>
      </c>
      <c r="AD784" s="86">
        <v>12000000</v>
      </c>
      <c r="AE784" s="86">
        <f t="shared" ref="AE784:AE831" si="82">S784-Z784</f>
        <v>0</v>
      </c>
      <c r="AF784" s="85">
        <v>1555</v>
      </c>
      <c r="AG784" s="81">
        <v>43172</v>
      </c>
      <c r="AH784" s="86">
        <v>12000000</v>
      </c>
      <c r="AI784" s="63" t="s">
        <v>1498</v>
      </c>
      <c r="AJ784" s="63">
        <v>537</v>
      </c>
      <c r="AK784" s="87">
        <f t="shared" si="78"/>
        <v>0</v>
      </c>
      <c r="AL784" s="86">
        <v>12000000</v>
      </c>
      <c r="AM784" s="86">
        <f t="shared" si="79"/>
        <v>0</v>
      </c>
      <c r="AN784" s="63" t="s">
        <v>1155</v>
      </c>
      <c r="AO784" s="86">
        <f t="shared" si="80"/>
        <v>0</v>
      </c>
      <c r="AP784" s="63"/>
      <c r="AQ784" s="81">
        <v>43164</v>
      </c>
      <c r="AR784" s="63" t="s">
        <v>2109</v>
      </c>
      <c r="AS784" s="81">
        <v>43164</v>
      </c>
      <c r="AT784" s="63" t="s">
        <v>1453</v>
      </c>
      <c r="AU784" s="220"/>
      <c r="AV784" s="220"/>
      <c r="AW784" s="220"/>
    </row>
    <row r="785" spans="1:49" s="221" customFormat="1" ht="409.5" x14ac:dyDescent="0.25">
      <c r="A785" s="63">
        <v>371</v>
      </c>
      <c r="B785" s="63" t="str">
        <f t="shared" si="77"/>
        <v>3075-371</v>
      </c>
      <c r="C785" s="76" t="s">
        <v>1141</v>
      </c>
      <c r="D785" s="76" t="s">
        <v>1142</v>
      </c>
      <c r="E785" s="76" t="s">
        <v>1424</v>
      </c>
      <c r="F785" s="76" t="s">
        <v>1158</v>
      </c>
      <c r="G785" s="77" t="s">
        <v>1159</v>
      </c>
      <c r="H785" s="101" t="s">
        <v>1160</v>
      </c>
      <c r="I785" s="76" t="s">
        <v>1147</v>
      </c>
      <c r="J785" s="76" t="s">
        <v>1148</v>
      </c>
      <c r="K785" s="76">
        <v>801116</v>
      </c>
      <c r="L785" s="63" t="s">
        <v>1149</v>
      </c>
      <c r="M785" s="63" t="s">
        <v>58</v>
      </c>
      <c r="N785" s="63" t="s">
        <v>59</v>
      </c>
      <c r="O785" s="76" t="s">
        <v>1213</v>
      </c>
      <c r="P785" s="63" t="s">
        <v>2202</v>
      </c>
      <c r="Q785" s="83">
        <v>5500000</v>
      </c>
      <c r="R785" s="98">
        <v>1</v>
      </c>
      <c r="S785" s="80">
        <v>16500000</v>
      </c>
      <c r="T785" s="63" t="s">
        <v>888</v>
      </c>
      <c r="U785" s="63" t="s">
        <v>1163</v>
      </c>
      <c r="V785" s="81" t="s">
        <v>724</v>
      </c>
      <c r="W785" s="82">
        <v>3</v>
      </c>
      <c r="X785" s="63" t="s">
        <v>2203</v>
      </c>
      <c r="Y785" s="81">
        <v>43164</v>
      </c>
      <c r="Z785" s="83">
        <v>16500000</v>
      </c>
      <c r="AA785" s="84" t="s">
        <v>1692</v>
      </c>
      <c r="AB785" s="85">
        <v>692</v>
      </c>
      <c r="AC785" s="81">
        <v>43165</v>
      </c>
      <c r="AD785" s="86">
        <v>16500000</v>
      </c>
      <c r="AE785" s="86">
        <f t="shared" si="82"/>
        <v>0</v>
      </c>
      <c r="AF785" s="85">
        <v>1573</v>
      </c>
      <c r="AG785" s="81">
        <v>43173</v>
      </c>
      <c r="AH785" s="86">
        <v>16500000</v>
      </c>
      <c r="AI785" s="63" t="s">
        <v>2204</v>
      </c>
      <c r="AJ785" s="63">
        <v>540</v>
      </c>
      <c r="AK785" s="87">
        <f t="shared" si="78"/>
        <v>0</v>
      </c>
      <c r="AL785" s="86">
        <v>16500000</v>
      </c>
      <c r="AM785" s="86">
        <f t="shared" si="79"/>
        <v>0</v>
      </c>
      <c r="AN785" s="63" t="s">
        <v>1155</v>
      </c>
      <c r="AO785" s="86">
        <f t="shared" si="80"/>
        <v>0</v>
      </c>
      <c r="AP785" s="63"/>
      <c r="AQ785" s="81">
        <v>43164</v>
      </c>
      <c r="AR785" s="63" t="s">
        <v>2109</v>
      </c>
      <c r="AS785" s="81">
        <v>43164</v>
      </c>
      <c r="AT785" s="63" t="s">
        <v>1453</v>
      </c>
      <c r="AU785" s="220"/>
      <c r="AV785" s="220"/>
      <c r="AW785" s="220"/>
    </row>
    <row r="786" spans="1:49" s="221" customFormat="1" ht="409.5" x14ac:dyDescent="0.25">
      <c r="A786" s="63">
        <v>372</v>
      </c>
      <c r="B786" s="63" t="str">
        <f t="shared" si="77"/>
        <v>3075-372</v>
      </c>
      <c r="C786" s="76" t="s">
        <v>1141</v>
      </c>
      <c r="D786" s="76" t="s">
        <v>1142</v>
      </c>
      <c r="E786" s="76" t="s">
        <v>1424</v>
      </c>
      <c r="F786" s="76" t="s">
        <v>1158</v>
      </c>
      <c r="G786" s="77" t="s">
        <v>1159</v>
      </c>
      <c r="H786" s="101" t="s">
        <v>1160</v>
      </c>
      <c r="I786" s="76" t="s">
        <v>1147</v>
      </c>
      <c r="J786" s="76" t="s">
        <v>1148</v>
      </c>
      <c r="K786" s="76">
        <v>801116</v>
      </c>
      <c r="L786" s="63" t="s">
        <v>1149</v>
      </c>
      <c r="M786" s="63" t="s">
        <v>58</v>
      </c>
      <c r="N786" s="63" t="s">
        <v>59</v>
      </c>
      <c r="O786" s="76" t="s">
        <v>1213</v>
      </c>
      <c r="P786" s="63" t="s">
        <v>2205</v>
      </c>
      <c r="Q786" s="83">
        <v>4000000</v>
      </c>
      <c r="R786" s="98">
        <v>1</v>
      </c>
      <c r="S786" s="80">
        <v>12000000</v>
      </c>
      <c r="T786" s="63" t="s">
        <v>888</v>
      </c>
      <c r="U786" s="63" t="s">
        <v>1163</v>
      </c>
      <c r="V786" s="81" t="s">
        <v>724</v>
      </c>
      <c r="W786" s="82">
        <v>3</v>
      </c>
      <c r="X786" s="63" t="s">
        <v>2206</v>
      </c>
      <c r="Y786" s="81">
        <v>43164</v>
      </c>
      <c r="Z786" s="83">
        <v>12000000</v>
      </c>
      <c r="AA786" s="84" t="s">
        <v>1692</v>
      </c>
      <c r="AB786" s="85">
        <v>695</v>
      </c>
      <c r="AC786" s="81">
        <v>43165</v>
      </c>
      <c r="AD786" s="86">
        <v>12000000</v>
      </c>
      <c r="AE786" s="86">
        <f t="shared" si="82"/>
        <v>0</v>
      </c>
      <c r="AF786" s="85">
        <v>1597</v>
      </c>
      <c r="AG786" s="81">
        <v>43175</v>
      </c>
      <c r="AH786" s="86">
        <v>12000000</v>
      </c>
      <c r="AI786" s="63" t="s">
        <v>2207</v>
      </c>
      <c r="AJ786" s="63">
        <v>552</v>
      </c>
      <c r="AK786" s="87">
        <f t="shared" si="78"/>
        <v>0</v>
      </c>
      <c r="AL786" s="86">
        <v>12000000</v>
      </c>
      <c r="AM786" s="86">
        <f t="shared" si="79"/>
        <v>0</v>
      </c>
      <c r="AN786" s="63" t="s">
        <v>1155</v>
      </c>
      <c r="AO786" s="86">
        <f t="shared" si="80"/>
        <v>0</v>
      </c>
      <c r="AP786" s="63"/>
      <c r="AQ786" s="81">
        <v>43164</v>
      </c>
      <c r="AR786" s="63" t="s">
        <v>2109</v>
      </c>
      <c r="AS786" s="81">
        <v>43164</v>
      </c>
      <c r="AT786" s="63" t="s">
        <v>1453</v>
      </c>
      <c r="AU786" s="220"/>
      <c r="AV786" s="220"/>
      <c r="AW786" s="220"/>
    </row>
    <row r="787" spans="1:49" s="221" customFormat="1" ht="409.5" x14ac:dyDescent="0.25">
      <c r="A787" s="63">
        <v>373</v>
      </c>
      <c r="B787" s="63" t="str">
        <f t="shared" si="77"/>
        <v>3075-373</v>
      </c>
      <c r="C787" s="76" t="s">
        <v>1141</v>
      </c>
      <c r="D787" s="76" t="s">
        <v>1142</v>
      </c>
      <c r="E787" s="76" t="s">
        <v>1424</v>
      </c>
      <c r="F787" s="76" t="s">
        <v>1158</v>
      </c>
      <c r="G787" s="77" t="s">
        <v>1159</v>
      </c>
      <c r="H787" s="101" t="s">
        <v>1160</v>
      </c>
      <c r="I787" s="76" t="s">
        <v>1147</v>
      </c>
      <c r="J787" s="76" t="s">
        <v>1148</v>
      </c>
      <c r="K787" s="76">
        <v>801116</v>
      </c>
      <c r="L787" s="63" t="s">
        <v>1149</v>
      </c>
      <c r="M787" s="63" t="s">
        <v>58</v>
      </c>
      <c r="N787" s="63" t="s">
        <v>59</v>
      </c>
      <c r="O787" s="76" t="s">
        <v>1213</v>
      </c>
      <c r="P787" s="63" t="s">
        <v>2208</v>
      </c>
      <c r="Q787" s="83">
        <v>5100000</v>
      </c>
      <c r="R787" s="98">
        <v>1</v>
      </c>
      <c r="S787" s="80">
        <v>15300000</v>
      </c>
      <c r="T787" s="63" t="s">
        <v>888</v>
      </c>
      <c r="U787" s="63" t="s">
        <v>1163</v>
      </c>
      <c r="V787" s="81" t="s">
        <v>724</v>
      </c>
      <c r="W787" s="82">
        <v>3</v>
      </c>
      <c r="X787" s="63" t="s">
        <v>2209</v>
      </c>
      <c r="Y787" s="81">
        <v>43164</v>
      </c>
      <c r="Z787" s="83">
        <v>15300000</v>
      </c>
      <c r="AA787" s="84" t="s">
        <v>1692</v>
      </c>
      <c r="AB787" s="85">
        <v>694</v>
      </c>
      <c r="AC787" s="81">
        <v>43165</v>
      </c>
      <c r="AD787" s="86">
        <v>15300000</v>
      </c>
      <c r="AE787" s="86">
        <f t="shared" si="82"/>
        <v>0</v>
      </c>
      <c r="AF787" s="85">
        <v>1576</v>
      </c>
      <c r="AG787" s="81">
        <v>43173</v>
      </c>
      <c r="AH787" s="86">
        <v>15300000</v>
      </c>
      <c r="AI787" s="63" t="s">
        <v>2210</v>
      </c>
      <c r="AJ787" s="63">
        <v>542</v>
      </c>
      <c r="AK787" s="87">
        <f t="shared" si="78"/>
        <v>0</v>
      </c>
      <c r="AL787" s="86">
        <v>15300000</v>
      </c>
      <c r="AM787" s="86">
        <f t="shared" si="79"/>
        <v>0</v>
      </c>
      <c r="AN787" s="63" t="s">
        <v>1155</v>
      </c>
      <c r="AO787" s="86">
        <f t="shared" si="80"/>
        <v>0</v>
      </c>
      <c r="AP787" s="63"/>
      <c r="AQ787" s="81">
        <v>43164</v>
      </c>
      <c r="AR787" s="63" t="s">
        <v>2109</v>
      </c>
      <c r="AS787" s="81">
        <v>43164</v>
      </c>
      <c r="AT787" s="63" t="s">
        <v>1453</v>
      </c>
      <c r="AU787" s="220"/>
      <c r="AV787" s="220"/>
      <c r="AW787" s="220"/>
    </row>
    <row r="788" spans="1:49" s="221" customFormat="1" ht="409.5" x14ac:dyDescent="0.25">
      <c r="A788" s="63">
        <v>374</v>
      </c>
      <c r="B788" s="63" t="str">
        <f t="shared" si="77"/>
        <v>3075-374</v>
      </c>
      <c r="C788" s="76" t="s">
        <v>1141</v>
      </c>
      <c r="D788" s="76" t="s">
        <v>1142</v>
      </c>
      <c r="E788" s="76" t="s">
        <v>1424</v>
      </c>
      <c r="F788" s="76" t="s">
        <v>1158</v>
      </c>
      <c r="G788" s="77" t="s">
        <v>1159</v>
      </c>
      <c r="H788" s="101" t="s">
        <v>1160</v>
      </c>
      <c r="I788" s="76" t="s">
        <v>1147</v>
      </c>
      <c r="J788" s="76" t="s">
        <v>1148</v>
      </c>
      <c r="K788" s="76">
        <v>801116</v>
      </c>
      <c r="L788" s="63" t="s">
        <v>1149</v>
      </c>
      <c r="M788" s="63" t="s">
        <v>58</v>
      </c>
      <c r="N788" s="63" t="s">
        <v>59</v>
      </c>
      <c r="O788" s="76" t="s">
        <v>1213</v>
      </c>
      <c r="P788" s="63" t="s">
        <v>2211</v>
      </c>
      <c r="Q788" s="83">
        <v>5100000</v>
      </c>
      <c r="R788" s="98">
        <v>1</v>
      </c>
      <c r="S788" s="80">
        <v>15300000</v>
      </c>
      <c r="T788" s="63" t="s">
        <v>888</v>
      </c>
      <c r="U788" s="63" t="s">
        <v>1163</v>
      </c>
      <c r="V788" s="81" t="s">
        <v>724</v>
      </c>
      <c r="W788" s="82">
        <v>3</v>
      </c>
      <c r="X788" s="63" t="s">
        <v>2212</v>
      </c>
      <c r="Y788" s="81">
        <v>43164</v>
      </c>
      <c r="Z788" s="83">
        <v>15300000</v>
      </c>
      <c r="AA788" s="84" t="s">
        <v>1692</v>
      </c>
      <c r="AB788" s="85">
        <v>696</v>
      </c>
      <c r="AC788" s="81">
        <v>43165</v>
      </c>
      <c r="AD788" s="86">
        <v>15300000</v>
      </c>
      <c r="AE788" s="86">
        <f t="shared" si="82"/>
        <v>0</v>
      </c>
      <c r="AF788" s="85">
        <v>1599</v>
      </c>
      <c r="AG788" s="81">
        <v>43175</v>
      </c>
      <c r="AH788" s="86">
        <v>15300000</v>
      </c>
      <c r="AI788" s="63" t="s">
        <v>1455</v>
      </c>
      <c r="AJ788" s="63">
        <v>554</v>
      </c>
      <c r="AK788" s="87">
        <f t="shared" si="78"/>
        <v>0</v>
      </c>
      <c r="AL788" s="86">
        <v>15300000</v>
      </c>
      <c r="AM788" s="86">
        <f t="shared" si="79"/>
        <v>0</v>
      </c>
      <c r="AN788" s="63" t="s">
        <v>1155</v>
      </c>
      <c r="AO788" s="86">
        <f t="shared" si="80"/>
        <v>0</v>
      </c>
      <c r="AP788" s="63"/>
      <c r="AQ788" s="81">
        <v>43164</v>
      </c>
      <c r="AR788" s="63" t="s">
        <v>2109</v>
      </c>
      <c r="AS788" s="81">
        <v>43164</v>
      </c>
      <c r="AT788" s="63" t="s">
        <v>1453</v>
      </c>
      <c r="AU788" s="220"/>
      <c r="AV788" s="220"/>
      <c r="AW788" s="220"/>
    </row>
    <row r="789" spans="1:49" s="221" customFormat="1" ht="409.5" x14ac:dyDescent="0.25">
      <c r="A789" s="63">
        <v>375</v>
      </c>
      <c r="B789" s="63" t="str">
        <f t="shared" si="77"/>
        <v>3075-375</v>
      </c>
      <c r="C789" s="76" t="s">
        <v>1141</v>
      </c>
      <c r="D789" s="76" t="s">
        <v>1142</v>
      </c>
      <c r="E789" s="76" t="s">
        <v>1424</v>
      </c>
      <c r="F789" s="76" t="s">
        <v>1158</v>
      </c>
      <c r="G789" s="77" t="s">
        <v>1159</v>
      </c>
      <c r="H789" s="101" t="s">
        <v>1160</v>
      </c>
      <c r="I789" s="76" t="s">
        <v>1147</v>
      </c>
      <c r="J789" s="76" t="s">
        <v>1148</v>
      </c>
      <c r="K789" s="76">
        <v>801116</v>
      </c>
      <c r="L789" s="63" t="s">
        <v>1149</v>
      </c>
      <c r="M789" s="63" t="s">
        <v>58</v>
      </c>
      <c r="N789" s="63" t="s">
        <v>59</v>
      </c>
      <c r="O789" s="76" t="s">
        <v>1213</v>
      </c>
      <c r="P789" s="63" t="s">
        <v>2213</v>
      </c>
      <c r="Q789" s="83">
        <v>3300000</v>
      </c>
      <c r="R789" s="98">
        <v>1</v>
      </c>
      <c r="S789" s="80">
        <v>9900000</v>
      </c>
      <c r="T789" s="63" t="s">
        <v>888</v>
      </c>
      <c r="U789" s="63" t="s">
        <v>1163</v>
      </c>
      <c r="V789" s="81" t="s">
        <v>724</v>
      </c>
      <c r="W789" s="82">
        <v>3</v>
      </c>
      <c r="X789" s="63" t="s">
        <v>2214</v>
      </c>
      <c r="Y789" s="81">
        <v>43164</v>
      </c>
      <c r="Z789" s="86">
        <v>9900000</v>
      </c>
      <c r="AA789" s="84" t="s">
        <v>1692</v>
      </c>
      <c r="AB789" s="85">
        <v>690</v>
      </c>
      <c r="AC789" s="81">
        <v>43165</v>
      </c>
      <c r="AD789" s="86">
        <v>9900000</v>
      </c>
      <c r="AE789" s="86">
        <f t="shared" si="82"/>
        <v>0</v>
      </c>
      <c r="AF789" s="85">
        <v>1594</v>
      </c>
      <c r="AG789" s="81">
        <v>43175</v>
      </c>
      <c r="AH789" s="86">
        <v>9900000</v>
      </c>
      <c r="AI789" s="63" t="s">
        <v>2215</v>
      </c>
      <c r="AJ789" s="63">
        <v>543</v>
      </c>
      <c r="AK789" s="87">
        <f t="shared" si="78"/>
        <v>0</v>
      </c>
      <c r="AL789" s="86">
        <v>9900000</v>
      </c>
      <c r="AM789" s="86">
        <f t="shared" si="79"/>
        <v>0</v>
      </c>
      <c r="AN789" s="63" t="s">
        <v>1155</v>
      </c>
      <c r="AO789" s="86">
        <f t="shared" si="80"/>
        <v>0</v>
      </c>
      <c r="AP789" s="63"/>
      <c r="AQ789" s="81">
        <v>43164</v>
      </c>
      <c r="AR789" s="63" t="s">
        <v>2109</v>
      </c>
      <c r="AS789" s="81">
        <v>43164</v>
      </c>
      <c r="AT789" s="63" t="s">
        <v>1453</v>
      </c>
      <c r="AU789" s="220"/>
      <c r="AV789" s="220"/>
      <c r="AW789" s="220"/>
    </row>
    <row r="790" spans="1:49" s="221" customFormat="1" ht="409.5" x14ac:dyDescent="0.25">
      <c r="A790" s="63">
        <v>376</v>
      </c>
      <c r="B790" s="63" t="str">
        <f t="shared" si="77"/>
        <v>3075-376</v>
      </c>
      <c r="C790" s="76" t="s">
        <v>1141</v>
      </c>
      <c r="D790" s="76" t="s">
        <v>1142</v>
      </c>
      <c r="E790" s="76" t="s">
        <v>1424</v>
      </c>
      <c r="F790" s="76" t="s">
        <v>1158</v>
      </c>
      <c r="G790" s="77" t="s">
        <v>1159</v>
      </c>
      <c r="H790" s="101" t="s">
        <v>1160</v>
      </c>
      <c r="I790" s="76" t="s">
        <v>1147</v>
      </c>
      <c r="J790" s="76" t="s">
        <v>1148</v>
      </c>
      <c r="K790" s="76">
        <v>801116</v>
      </c>
      <c r="L790" s="63" t="s">
        <v>1149</v>
      </c>
      <c r="M790" s="63" t="s">
        <v>58</v>
      </c>
      <c r="N790" s="63" t="s">
        <v>59</v>
      </c>
      <c r="O790" s="76" t="s">
        <v>1213</v>
      </c>
      <c r="P790" s="63" t="s">
        <v>2216</v>
      </c>
      <c r="Q790" s="83">
        <v>3300000</v>
      </c>
      <c r="R790" s="98">
        <v>1</v>
      </c>
      <c r="S790" s="80">
        <v>9900000</v>
      </c>
      <c r="T790" s="63" t="s">
        <v>888</v>
      </c>
      <c r="U790" s="63" t="s">
        <v>1163</v>
      </c>
      <c r="V790" s="81" t="s">
        <v>724</v>
      </c>
      <c r="W790" s="82">
        <v>3</v>
      </c>
      <c r="X790" s="63" t="s">
        <v>2217</v>
      </c>
      <c r="Y790" s="81">
        <v>43164</v>
      </c>
      <c r="Z790" s="83">
        <v>9900000</v>
      </c>
      <c r="AA790" s="84" t="s">
        <v>1692</v>
      </c>
      <c r="AB790" s="85">
        <v>691</v>
      </c>
      <c r="AC790" s="81">
        <v>43165</v>
      </c>
      <c r="AD790" s="86">
        <v>9900000</v>
      </c>
      <c r="AE790" s="86">
        <f t="shared" si="82"/>
        <v>0</v>
      </c>
      <c r="AF790" s="85">
        <v>1591</v>
      </c>
      <c r="AG790" s="81">
        <v>43175</v>
      </c>
      <c r="AH790" s="86">
        <v>9900000</v>
      </c>
      <c r="AI790" s="63" t="s">
        <v>2218</v>
      </c>
      <c r="AJ790" s="63">
        <v>549</v>
      </c>
      <c r="AK790" s="87">
        <f t="shared" si="78"/>
        <v>0</v>
      </c>
      <c r="AL790" s="86">
        <v>9900000</v>
      </c>
      <c r="AM790" s="86">
        <f t="shared" si="79"/>
        <v>0</v>
      </c>
      <c r="AN790" s="63" t="s">
        <v>1155</v>
      </c>
      <c r="AO790" s="86">
        <f t="shared" si="80"/>
        <v>0</v>
      </c>
      <c r="AP790" s="63"/>
      <c r="AQ790" s="81">
        <v>43164</v>
      </c>
      <c r="AR790" s="63" t="s">
        <v>2109</v>
      </c>
      <c r="AS790" s="81">
        <v>43164</v>
      </c>
      <c r="AT790" s="63" t="s">
        <v>1453</v>
      </c>
      <c r="AU790" s="220"/>
      <c r="AV790" s="220"/>
      <c r="AW790" s="220"/>
    </row>
    <row r="791" spans="1:49" s="221" customFormat="1" ht="409.5" x14ac:dyDescent="0.25">
      <c r="A791" s="63">
        <v>377</v>
      </c>
      <c r="B791" s="63" t="str">
        <f t="shared" si="77"/>
        <v>3075-377</v>
      </c>
      <c r="C791" s="76" t="s">
        <v>1141</v>
      </c>
      <c r="D791" s="76" t="s">
        <v>1142</v>
      </c>
      <c r="E791" s="76" t="s">
        <v>1424</v>
      </c>
      <c r="F791" s="76" t="s">
        <v>1158</v>
      </c>
      <c r="G791" s="77" t="s">
        <v>1159</v>
      </c>
      <c r="H791" s="101" t="s">
        <v>1160</v>
      </c>
      <c r="I791" s="76" t="s">
        <v>1147</v>
      </c>
      <c r="J791" s="76" t="s">
        <v>1148</v>
      </c>
      <c r="K791" s="76">
        <v>801116</v>
      </c>
      <c r="L791" s="63" t="s">
        <v>1149</v>
      </c>
      <c r="M791" s="63" t="s">
        <v>58</v>
      </c>
      <c r="N791" s="63" t="s">
        <v>59</v>
      </c>
      <c r="O791" s="76" t="s">
        <v>1213</v>
      </c>
      <c r="P791" s="63" t="s">
        <v>2219</v>
      </c>
      <c r="Q791" s="83">
        <v>5100000</v>
      </c>
      <c r="R791" s="98">
        <v>1</v>
      </c>
      <c r="S791" s="80">
        <v>15300000</v>
      </c>
      <c r="T791" s="63" t="s">
        <v>888</v>
      </c>
      <c r="U791" s="63" t="s">
        <v>1163</v>
      </c>
      <c r="V791" s="81" t="s">
        <v>724</v>
      </c>
      <c r="W791" s="82">
        <v>3</v>
      </c>
      <c r="X791" s="63" t="s">
        <v>2220</v>
      </c>
      <c r="Y791" s="81">
        <v>43164</v>
      </c>
      <c r="Z791" s="83">
        <v>15300000</v>
      </c>
      <c r="AA791" s="84" t="s">
        <v>1692</v>
      </c>
      <c r="AB791" s="85">
        <v>688</v>
      </c>
      <c r="AC791" s="81">
        <v>43165</v>
      </c>
      <c r="AD791" s="86">
        <v>15300000</v>
      </c>
      <c r="AE791" s="86">
        <f t="shared" si="82"/>
        <v>0</v>
      </c>
      <c r="AF791" s="85">
        <v>1596</v>
      </c>
      <c r="AG791" s="81">
        <v>43175</v>
      </c>
      <c r="AH791" s="86">
        <v>15300000</v>
      </c>
      <c r="AI791" s="63" t="s">
        <v>2221</v>
      </c>
      <c r="AJ791" s="63">
        <v>544</v>
      </c>
      <c r="AK791" s="87">
        <f t="shared" si="78"/>
        <v>0</v>
      </c>
      <c r="AL791" s="86">
        <v>15300000</v>
      </c>
      <c r="AM791" s="86">
        <f t="shared" si="79"/>
        <v>0</v>
      </c>
      <c r="AN791" s="63" t="s">
        <v>1155</v>
      </c>
      <c r="AO791" s="86">
        <f t="shared" si="80"/>
        <v>0</v>
      </c>
      <c r="AP791" s="63"/>
      <c r="AQ791" s="81">
        <v>43164</v>
      </c>
      <c r="AR791" s="63" t="s">
        <v>2109</v>
      </c>
      <c r="AS791" s="81">
        <v>43164</v>
      </c>
      <c r="AT791" s="63" t="s">
        <v>1453</v>
      </c>
      <c r="AU791" s="220"/>
      <c r="AV791" s="220"/>
      <c r="AW791" s="220"/>
    </row>
    <row r="792" spans="1:49" s="221" customFormat="1" ht="409.5" x14ac:dyDescent="0.25">
      <c r="A792" s="63">
        <v>378</v>
      </c>
      <c r="B792" s="63" t="str">
        <f t="shared" si="77"/>
        <v>3075-378</v>
      </c>
      <c r="C792" s="76" t="s">
        <v>1141</v>
      </c>
      <c r="D792" s="76" t="s">
        <v>1142</v>
      </c>
      <c r="E792" s="76" t="s">
        <v>1424</v>
      </c>
      <c r="F792" s="76" t="s">
        <v>1158</v>
      </c>
      <c r="G792" s="77" t="s">
        <v>1159</v>
      </c>
      <c r="H792" s="101" t="s">
        <v>1160</v>
      </c>
      <c r="I792" s="76" t="s">
        <v>1147</v>
      </c>
      <c r="J792" s="76" t="s">
        <v>1148</v>
      </c>
      <c r="K792" s="76">
        <v>801116</v>
      </c>
      <c r="L792" s="63" t="s">
        <v>1149</v>
      </c>
      <c r="M792" s="63" t="s">
        <v>58</v>
      </c>
      <c r="N792" s="63" t="s">
        <v>59</v>
      </c>
      <c r="O792" s="76" t="s">
        <v>1213</v>
      </c>
      <c r="P792" s="63" t="s">
        <v>2222</v>
      </c>
      <c r="Q792" s="83">
        <v>3450000</v>
      </c>
      <c r="R792" s="98">
        <v>1</v>
      </c>
      <c r="S792" s="80">
        <v>10350000</v>
      </c>
      <c r="T792" s="63" t="s">
        <v>888</v>
      </c>
      <c r="U792" s="63" t="s">
        <v>1163</v>
      </c>
      <c r="V792" s="81" t="s">
        <v>724</v>
      </c>
      <c r="W792" s="82">
        <v>3</v>
      </c>
      <c r="X792" s="63" t="s">
        <v>2223</v>
      </c>
      <c r="Y792" s="81">
        <v>43164</v>
      </c>
      <c r="Z792" s="83">
        <v>10350000</v>
      </c>
      <c r="AA792" s="84" t="s">
        <v>1692</v>
      </c>
      <c r="AB792" s="85">
        <v>689</v>
      </c>
      <c r="AC792" s="81">
        <v>43165</v>
      </c>
      <c r="AD792" s="86">
        <v>10350000</v>
      </c>
      <c r="AE792" s="86">
        <f t="shared" si="82"/>
        <v>0</v>
      </c>
      <c r="AF792" s="85">
        <v>1593</v>
      </c>
      <c r="AG792" s="81">
        <v>43175</v>
      </c>
      <c r="AH792" s="86">
        <v>10350000</v>
      </c>
      <c r="AI792" s="63" t="s">
        <v>2224</v>
      </c>
      <c r="AJ792" s="63">
        <v>546</v>
      </c>
      <c r="AK792" s="87">
        <f t="shared" si="78"/>
        <v>0</v>
      </c>
      <c r="AL792" s="86">
        <v>10350000</v>
      </c>
      <c r="AM792" s="86">
        <f t="shared" si="79"/>
        <v>0</v>
      </c>
      <c r="AN792" s="63" t="s">
        <v>1155</v>
      </c>
      <c r="AO792" s="86">
        <f t="shared" si="80"/>
        <v>0</v>
      </c>
      <c r="AP792" s="63"/>
      <c r="AQ792" s="81">
        <v>43164</v>
      </c>
      <c r="AR792" s="63" t="s">
        <v>2109</v>
      </c>
      <c r="AS792" s="81">
        <v>43164</v>
      </c>
      <c r="AT792" s="63" t="s">
        <v>1453</v>
      </c>
      <c r="AU792" s="220"/>
      <c r="AV792" s="220"/>
      <c r="AW792" s="220"/>
    </row>
    <row r="793" spans="1:49" s="221" customFormat="1" ht="370.5" x14ac:dyDescent="0.25">
      <c r="A793" s="63">
        <v>379</v>
      </c>
      <c r="B793" s="63" t="str">
        <f t="shared" si="77"/>
        <v>3075-379</v>
      </c>
      <c r="C793" s="76" t="s">
        <v>1141</v>
      </c>
      <c r="D793" s="76" t="s">
        <v>1142</v>
      </c>
      <c r="E793" s="76" t="s">
        <v>1424</v>
      </c>
      <c r="F793" s="76" t="s">
        <v>1175</v>
      </c>
      <c r="G793" s="77" t="s">
        <v>1176</v>
      </c>
      <c r="H793" s="78" t="s">
        <v>1425</v>
      </c>
      <c r="I793" s="76" t="s">
        <v>1147</v>
      </c>
      <c r="J793" s="76" t="s">
        <v>1148</v>
      </c>
      <c r="K793" s="76" t="s">
        <v>439</v>
      </c>
      <c r="L793" s="63" t="s">
        <v>1149</v>
      </c>
      <c r="M793" s="63" t="s">
        <v>58</v>
      </c>
      <c r="N793" s="63" t="s">
        <v>59</v>
      </c>
      <c r="O793" s="76" t="s">
        <v>1213</v>
      </c>
      <c r="P793" s="63" t="s">
        <v>2225</v>
      </c>
      <c r="Q793" s="83">
        <v>54686940</v>
      </c>
      <c r="R793" s="98">
        <v>1</v>
      </c>
      <c r="S793" s="80">
        <v>54686940</v>
      </c>
      <c r="T793" s="63" t="s">
        <v>1171</v>
      </c>
      <c r="U793" s="63" t="s">
        <v>1171</v>
      </c>
      <c r="V793" s="81" t="s">
        <v>411</v>
      </c>
      <c r="W793" s="82" t="s">
        <v>439</v>
      </c>
      <c r="X793" s="63" t="s">
        <v>2226</v>
      </c>
      <c r="Y793" s="81">
        <v>43164</v>
      </c>
      <c r="Z793" s="86">
        <v>54686940</v>
      </c>
      <c r="AA793" s="84" t="s">
        <v>1742</v>
      </c>
      <c r="AB793" s="85">
        <v>703</v>
      </c>
      <c r="AC793" s="81">
        <v>43167</v>
      </c>
      <c r="AD793" s="86">
        <v>54686940</v>
      </c>
      <c r="AE793" s="87">
        <f t="shared" si="82"/>
        <v>0</v>
      </c>
      <c r="AF793" s="85">
        <v>1665</v>
      </c>
      <c r="AG793" s="81">
        <v>43192</v>
      </c>
      <c r="AH793" s="86">
        <v>54686940</v>
      </c>
      <c r="AI793" s="63" t="s">
        <v>2227</v>
      </c>
      <c r="AJ793" s="63">
        <v>1685</v>
      </c>
      <c r="AK793" s="87">
        <f t="shared" si="78"/>
        <v>0</v>
      </c>
      <c r="AL793" s="86">
        <v>54686940</v>
      </c>
      <c r="AM793" s="86">
        <f t="shared" si="79"/>
        <v>0</v>
      </c>
      <c r="AN793" s="63" t="s">
        <v>1155</v>
      </c>
      <c r="AO793" s="86">
        <f t="shared" si="80"/>
        <v>0</v>
      </c>
      <c r="AP793" s="63"/>
      <c r="AQ793" s="81">
        <v>43164</v>
      </c>
      <c r="AR793" s="63" t="s">
        <v>2109</v>
      </c>
      <c r="AS793" s="81">
        <v>43164</v>
      </c>
      <c r="AT793" s="63" t="str">
        <f>P793</f>
        <v>Asignacion del instrumento financiero a las familias ocupantes del predio que hayan superado la fase de verificacion dentro del marco del Decreto 457 de 2017. LOCALIDAD: KENNEDY; BARRIO: VEREDITAS; ID: 2017-8-383670</v>
      </c>
      <c r="AU793" s="220"/>
      <c r="AV793" s="220"/>
      <c r="AW793" s="220"/>
    </row>
    <row r="794" spans="1:49" s="221" customFormat="1" ht="128.25" x14ac:dyDescent="0.25">
      <c r="A794" s="63">
        <v>380</v>
      </c>
      <c r="B794" s="63" t="str">
        <f t="shared" si="77"/>
        <v>3075-380</v>
      </c>
      <c r="C794" s="76" t="s">
        <v>1141</v>
      </c>
      <c r="D794" s="76" t="s">
        <v>1142</v>
      </c>
      <c r="E794" s="76" t="s">
        <v>1165</v>
      </c>
      <c r="F794" s="76" t="s">
        <v>1166</v>
      </c>
      <c r="G794" s="77" t="s">
        <v>1167</v>
      </c>
      <c r="H794" s="78" t="s">
        <v>1168</v>
      </c>
      <c r="I794" s="76" t="s">
        <v>1147</v>
      </c>
      <c r="J794" s="76" t="s">
        <v>1148</v>
      </c>
      <c r="K794" s="76" t="s">
        <v>439</v>
      </c>
      <c r="L794" s="63" t="s">
        <v>1149</v>
      </c>
      <c r="M794" s="63" t="s">
        <v>58</v>
      </c>
      <c r="N794" s="63" t="s">
        <v>59</v>
      </c>
      <c r="O794" s="76" t="s">
        <v>1169</v>
      </c>
      <c r="P794" s="63" t="s">
        <v>2228</v>
      </c>
      <c r="Q794" s="79">
        <v>14366140</v>
      </c>
      <c r="R794" s="63">
        <v>1</v>
      </c>
      <c r="S794" s="80">
        <v>0</v>
      </c>
      <c r="T794" s="63"/>
      <c r="U794" s="63"/>
      <c r="V794" s="81"/>
      <c r="W794" s="82"/>
      <c r="X794" s="63" t="s">
        <v>2229</v>
      </c>
      <c r="Y794" s="81">
        <v>43166</v>
      </c>
      <c r="Z794" s="83">
        <v>0</v>
      </c>
      <c r="AA794" s="84" t="s">
        <v>1782</v>
      </c>
      <c r="AB794" s="85"/>
      <c r="AC794" s="81"/>
      <c r="AD794" s="86"/>
      <c r="AE794" s="87">
        <f t="shared" si="82"/>
        <v>0</v>
      </c>
      <c r="AF794" s="85"/>
      <c r="AG794" s="81"/>
      <c r="AH794" s="86"/>
      <c r="AI794" s="63"/>
      <c r="AJ794" s="63"/>
      <c r="AK794" s="87">
        <f t="shared" si="78"/>
        <v>0</v>
      </c>
      <c r="AL794" s="86"/>
      <c r="AM794" s="86">
        <f t="shared" si="79"/>
        <v>0</v>
      </c>
      <c r="AN794" s="63" t="s">
        <v>1155</v>
      </c>
      <c r="AO794" s="86">
        <f t="shared" si="80"/>
        <v>0</v>
      </c>
      <c r="AP794" s="63"/>
      <c r="AQ794" s="81">
        <v>43150</v>
      </c>
      <c r="AR794" s="63" t="s">
        <v>1157</v>
      </c>
      <c r="AS794" s="81">
        <v>43166</v>
      </c>
      <c r="AT794" s="63" t="s">
        <v>2230</v>
      </c>
      <c r="AU794" s="220"/>
      <c r="AV794" s="220"/>
      <c r="AW794" s="220"/>
    </row>
    <row r="795" spans="1:49" s="221" customFormat="1" ht="128.25" x14ac:dyDescent="0.25">
      <c r="A795" s="63">
        <v>381</v>
      </c>
      <c r="B795" s="63" t="str">
        <f t="shared" si="77"/>
        <v>3075-381</v>
      </c>
      <c r="C795" s="76" t="s">
        <v>1141</v>
      </c>
      <c r="D795" s="76" t="s">
        <v>1142</v>
      </c>
      <c r="E795" s="76" t="s">
        <v>1165</v>
      </c>
      <c r="F795" s="76" t="s">
        <v>1166</v>
      </c>
      <c r="G795" s="77" t="s">
        <v>1167</v>
      </c>
      <c r="H795" s="78" t="s">
        <v>1168</v>
      </c>
      <c r="I795" s="76" t="s">
        <v>1147</v>
      </c>
      <c r="J795" s="76" t="s">
        <v>1148</v>
      </c>
      <c r="K795" s="76" t="s">
        <v>439</v>
      </c>
      <c r="L795" s="63" t="s">
        <v>1149</v>
      </c>
      <c r="M795" s="63" t="s">
        <v>58</v>
      </c>
      <c r="N795" s="63" t="s">
        <v>59</v>
      </c>
      <c r="O795" s="76" t="s">
        <v>1169</v>
      </c>
      <c r="P795" s="63" t="s">
        <v>2228</v>
      </c>
      <c r="Q795" s="79">
        <v>21724920</v>
      </c>
      <c r="R795" s="63">
        <v>1</v>
      </c>
      <c r="S795" s="80">
        <v>0</v>
      </c>
      <c r="T795" s="63"/>
      <c r="U795" s="63"/>
      <c r="V795" s="81"/>
      <c r="W795" s="82"/>
      <c r="X795" s="63" t="s">
        <v>2231</v>
      </c>
      <c r="Y795" s="81">
        <v>43166</v>
      </c>
      <c r="Z795" s="83">
        <v>0</v>
      </c>
      <c r="AA795" s="84" t="s">
        <v>1782</v>
      </c>
      <c r="AB795" s="85"/>
      <c r="AC795" s="81"/>
      <c r="AD795" s="86"/>
      <c r="AE795" s="87">
        <f t="shared" si="82"/>
        <v>0</v>
      </c>
      <c r="AF795" s="85"/>
      <c r="AG795" s="81"/>
      <c r="AH795" s="86"/>
      <c r="AI795" s="63"/>
      <c r="AJ795" s="63"/>
      <c r="AK795" s="87">
        <f t="shared" si="78"/>
        <v>0</v>
      </c>
      <c r="AL795" s="86"/>
      <c r="AM795" s="86">
        <f t="shared" si="79"/>
        <v>0</v>
      </c>
      <c r="AN795" s="63" t="s">
        <v>1155</v>
      </c>
      <c r="AO795" s="86">
        <f t="shared" si="80"/>
        <v>0</v>
      </c>
      <c r="AP795" s="63"/>
      <c r="AQ795" s="81">
        <v>43150</v>
      </c>
      <c r="AR795" s="63" t="s">
        <v>1157</v>
      </c>
      <c r="AS795" s="81">
        <v>43166</v>
      </c>
      <c r="AT795" s="63" t="s">
        <v>2230</v>
      </c>
      <c r="AU795" s="220"/>
      <c r="AV795" s="220"/>
      <c r="AW795" s="220"/>
    </row>
    <row r="796" spans="1:49" s="221" customFormat="1" ht="342" x14ac:dyDescent="0.25">
      <c r="A796" s="63">
        <v>382</v>
      </c>
      <c r="B796" s="63" t="str">
        <f t="shared" si="77"/>
        <v>3075-382</v>
      </c>
      <c r="C796" s="76" t="s">
        <v>1141</v>
      </c>
      <c r="D796" s="76" t="s">
        <v>1142</v>
      </c>
      <c r="E796" s="76" t="s">
        <v>1424</v>
      </c>
      <c r="F796" s="76" t="s">
        <v>1175</v>
      </c>
      <c r="G796" s="77" t="s">
        <v>1176</v>
      </c>
      <c r="H796" s="78" t="s">
        <v>1425</v>
      </c>
      <c r="I796" s="76" t="s">
        <v>1147</v>
      </c>
      <c r="J796" s="76" t="s">
        <v>1148</v>
      </c>
      <c r="K796" s="76" t="s">
        <v>439</v>
      </c>
      <c r="L796" s="63" t="s">
        <v>1149</v>
      </c>
      <c r="M796" s="63" t="s">
        <v>58</v>
      </c>
      <c r="N796" s="63" t="s">
        <v>59</v>
      </c>
      <c r="O796" s="76" t="s">
        <v>1213</v>
      </c>
      <c r="P796" s="63" t="s">
        <v>2232</v>
      </c>
      <c r="Q796" s="83">
        <v>54686940</v>
      </c>
      <c r="R796" s="98">
        <v>1</v>
      </c>
      <c r="S796" s="80">
        <v>54686940</v>
      </c>
      <c r="T796" s="63" t="s">
        <v>1171</v>
      </c>
      <c r="U796" s="63" t="s">
        <v>1171</v>
      </c>
      <c r="V796" s="81" t="s">
        <v>411</v>
      </c>
      <c r="W796" s="82" t="s">
        <v>439</v>
      </c>
      <c r="X796" s="63" t="s">
        <v>2233</v>
      </c>
      <c r="Y796" s="81">
        <v>43166</v>
      </c>
      <c r="Z796" s="83">
        <v>54686940</v>
      </c>
      <c r="AA796" s="84" t="s">
        <v>1742</v>
      </c>
      <c r="AB796" s="85">
        <v>714</v>
      </c>
      <c r="AC796" s="81">
        <v>43173</v>
      </c>
      <c r="AD796" s="86">
        <v>54686940</v>
      </c>
      <c r="AE796" s="87">
        <f t="shared" si="82"/>
        <v>0</v>
      </c>
      <c r="AF796" s="85">
        <v>1819</v>
      </c>
      <c r="AG796" s="81">
        <v>43209</v>
      </c>
      <c r="AH796" s="86">
        <v>54686940</v>
      </c>
      <c r="AI796" s="63" t="s">
        <v>2234</v>
      </c>
      <c r="AJ796" s="63">
        <v>1871</v>
      </c>
      <c r="AK796" s="87">
        <f t="shared" si="78"/>
        <v>0</v>
      </c>
      <c r="AL796" s="86">
        <v>54686940</v>
      </c>
      <c r="AM796" s="86">
        <f t="shared" si="79"/>
        <v>0</v>
      </c>
      <c r="AN796" s="63" t="s">
        <v>1155</v>
      </c>
      <c r="AO796" s="86">
        <f t="shared" si="80"/>
        <v>0</v>
      </c>
      <c r="AP796" s="63"/>
      <c r="AQ796" s="81">
        <v>43166</v>
      </c>
      <c r="AR796" s="63" t="s">
        <v>2109</v>
      </c>
      <c r="AS796" s="81">
        <v>43166</v>
      </c>
      <c r="AT796" s="63" t="s">
        <v>2235</v>
      </c>
      <c r="AU796" s="220"/>
      <c r="AV796" s="220"/>
      <c r="AW796" s="220"/>
    </row>
    <row r="797" spans="1:49" s="221" customFormat="1" ht="409.5" x14ac:dyDescent="0.25">
      <c r="A797" s="63">
        <v>383</v>
      </c>
      <c r="B797" s="63" t="str">
        <f t="shared" si="77"/>
        <v>3075-383</v>
      </c>
      <c r="C797" s="76" t="s">
        <v>1141</v>
      </c>
      <c r="D797" s="76" t="s">
        <v>1142</v>
      </c>
      <c r="E797" s="76" t="s">
        <v>1424</v>
      </c>
      <c r="F797" s="76" t="s">
        <v>1158</v>
      </c>
      <c r="G797" s="77" t="s">
        <v>1159</v>
      </c>
      <c r="H797" s="101" t="s">
        <v>1160</v>
      </c>
      <c r="I797" s="76" t="s">
        <v>1147</v>
      </c>
      <c r="J797" s="76" t="s">
        <v>1148</v>
      </c>
      <c r="K797" s="76">
        <v>801116</v>
      </c>
      <c r="L797" s="63" t="s">
        <v>1149</v>
      </c>
      <c r="M797" s="63" t="s">
        <v>58</v>
      </c>
      <c r="N797" s="63" t="s">
        <v>59</v>
      </c>
      <c r="O797" s="76" t="s">
        <v>1213</v>
      </c>
      <c r="P797" s="63" t="s">
        <v>2236</v>
      </c>
      <c r="Q797" s="83">
        <v>5100000</v>
      </c>
      <c r="R797" s="98">
        <v>1</v>
      </c>
      <c r="S797" s="80">
        <v>15300000</v>
      </c>
      <c r="T797" s="63" t="s">
        <v>888</v>
      </c>
      <c r="U797" s="63" t="s">
        <v>1163</v>
      </c>
      <c r="V797" s="81" t="s">
        <v>724</v>
      </c>
      <c r="W797" s="82">
        <v>3</v>
      </c>
      <c r="X797" s="63" t="s">
        <v>2237</v>
      </c>
      <c r="Y797" s="81">
        <v>43167</v>
      </c>
      <c r="Z797" s="83">
        <v>15300000</v>
      </c>
      <c r="AA797" s="84" t="s">
        <v>1698</v>
      </c>
      <c r="AB797" s="85">
        <v>708</v>
      </c>
      <c r="AC797" s="81">
        <v>43168</v>
      </c>
      <c r="AD797" s="86">
        <v>15300000</v>
      </c>
      <c r="AE797" s="86">
        <f t="shared" si="82"/>
        <v>0</v>
      </c>
      <c r="AF797" s="85">
        <v>1556</v>
      </c>
      <c r="AG797" s="81">
        <v>43172</v>
      </c>
      <c r="AH797" s="86">
        <v>15300000</v>
      </c>
      <c r="AI797" s="63" t="s">
        <v>2238</v>
      </c>
      <c r="AJ797" s="63">
        <v>536</v>
      </c>
      <c r="AK797" s="87">
        <f t="shared" si="78"/>
        <v>0</v>
      </c>
      <c r="AL797" s="86">
        <v>15300000</v>
      </c>
      <c r="AM797" s="86">
        <f t="shared" si="79"/>
        <v>0</v>
      </c>
      <c r="AN797" s="63" t="s">
        <v>1155</v>
      </c>
      <c r="AO797" s="86">
        <f t="shared" si="80"/>
        <v>0</v>
      </c>
      <c r="AP797" s="63"/>
      <c r="AQ797" s="81">
        <v>43167</v>
      </c>
      <c r="AR797" s="63" t="s">
        <v>2109</v>
      </c>
      <c r="AS797" s="81">
        <v>43167</v>
      </c>
      <c r="AT797" s="63" t="s">
        <v>1453</v>
      </c>
      <c r="AU797" s="220"/>
      <c r="AV797" s="220"/>
      <c r="AW797" s="220"/>
    </row>
    <row r="798" spans="1:49" s="221" customFormat="1" ht="409.5" x14ac:dyDescent="0.25">
      <c r="A798" s="63">
        <v>384</v>
      </c>
      <c r="B798" s="63" t="str">
        <f t="shared" si="77"/>
        <v>3075-384</v>
      </c>
      <c r="C798" s="76" t="s">
        <v>1141</v>
      </c>
      <c r="D798" s="76" t="s">
        <v>1142</v>
      </c>
      <c r="E798" s="76" t="s">
        <v>1424</v>
      </c>
      <c r="F798" s="76" t="s">
        <v>1158</v>
      </c>
      <c r="G798" s="77" t="s">
        <v>1159</v>
      </c>
      <c r="H798" s="101" t="s">
        <v>1160</v>
      </c>
      <c r="I798" s="76" t="s">
        <v>1147</v>
      </c>
      <c r="J798" s="76" t="s">
        <v>1148</v>
      </c>
      <c r="K798" s="76">
        <v>801116</v>
      </c>
      <c r="L798" s="63" t="s">
        <v>1149</v>
      </c>
      <c r="M798" s="63" t="s">
        <v>58</v>
      </c>
      <c r="N798" s="63" t="s">
        <v>59</v>
      </c>
      <c r="O798" s="76" t="s">
        <v>1213</v>
      </c>
      <c r="P798" s="63" t="s">
        <v>2239</v>
      </c>
      <c r="Q798" s="83">
        <v>4000000</v>
      </c>
      <c r="R798" s="98">
        <v>1</v>
      </c>
      <c r="S798" s="80">
        <v>12000000</v>
      </c>
      <c r="T798" s="63" t="s">
        <v>888</v>
      </c>
      <c r="U798" s="63" t="s">
        <v>1163</v>
      </c>
      <c r="V798" s="81" t="s">
        <v>724</v>
      </c>
      <c r="W798" s="82">
        <v>3</v>
      </c>
      <c r="X798" s="63" t="s">
        <v>2240</v>
      </c>
      <c r="Y798" s="81">
        <v>43167</v>
      </c>
      <c r="Z798" s="83">
        <v>12000000</v>
      </c>
      <c r="AA798" s="84" t="s">
        <v>1698</v>
      </c>
      <c r="AB798" s="85">
        <v>709</v>
      </c>
      <c r="AC798" s="81">
        <v>43168</v>
      </c>
      <c r="AD798" s="86">
        <v>12000000</v>
      </c>
      <c r="AE798" s="86">
        <f t="shared" si="82"/>
        <v>0</v>
      </c>
      <c r="AF798" s="85">
        <v>1595</v>
      </c>
      <c r="AG798" s="81">
        <v>43175</v>
      </c>
      <c r="AH798" s="86">
        <v>12000000</v>
      </c>
      <c r="AI798" s="63" t="s">
        <v>2241</v>
      </c>
      <c r="AJ798" s="63">
        <v>551</v>
      </c>
      <c r="AK798" s="87">
        <f t="shared" si="78"/>
        <v>0</v>
      </c>
      <c r="AL798" s="86">
        <v>5733333</v>
      </c>
      <c r="AM798" s="86">
        <f t="shared" si="79"/>
        <v>6266667</v>
      </c>
      <c r="AN798" s="63" t="s">
        <v>1155</v>
      </c>
      <c r="AO798" s="86">
        <f t="shared" si="80"/>
        <v>0</v>
      </c>
      <c r="AP798" s="63"/>
      <c r="AQ798" s="81">
        <v>43167</v>
      </c>
      <c r="AR798" s="63" t="s">
        <v>2109</v>
      </c>
      <c r="AS798" s="81">
        <v>43167</v>
      </c>
      <c r="AT798" s="63" t="s">
        <v>1453</v>
      </c>
      <c r="AU798" s="220"/>
      <c r="AV798" s="220"/>
      <c r="AW798" s="220"/>
    </row>
    <row r="799" spans="1:49" s="221" customFormat="1" ht="409.5" x14ac:dyDescent="0.25">
      <c r="A799" s="63">
        <v>385</v>
      </c>
      <c r="B799" s="63" t="str">
        <f t="shared" ref="B799:B862" si="83">CONCATENATE("3075","-",A799)</f>
        <v>3075-385</v>
      </c>
      <c r="C799" s="76" t="s">
        <v>1141</v>
      </c>
      <c r="D799" s="76" t="s">
        <v>1142</v>
      </c>
      <c r="E799" s="76" t="s">
        <v>1424</v>
      </c>
      <c r="F799" s="76" t="s">
        <v>1158</v>
      </c>
      <c r="G799" s="77" t="s">
        <v>1159</v>
      </c>
      <c r="H799" s="101" t="s">
        <v>1160</v>
      </c>
      <c r="I799" s="76" t="s">
        <v>1147</v>
      </c>
      <c r="J799" s="76" t="s">
        <v>1148</v>
      </c>
      <c r="K799" s="76">
        <v>801116</v>
      </c>
      <c r="L799" s="63" t="s">
        <v>1149</v>
      </c>
      <c r="M799" s="63" t="s">
        <v>58</v>
      </c>
      <c r="N799" s="63" t="s">
        <v>59</v>
      </c>
      <c r="O799" s="76" t="s">
        <v>1213</v>
      </c>
      <c r="P799" s="63" t="s">
        <v>2242</v>
      </c>
      <c r="Q799" s="83">
        <v>5100000</v>
      </c>
      <c r="R799" s="98">
        <v>1</v>
      </c>
      <c r="S799" s="80">
        <v>15300000</v>
      </c>
      <c r="T799" s="63" t="s">
        <v>888</v>
      </c>
      <c r="U799" s="63" t="s">
        <v>1163</v>
      </c>
      <c r="V799" s="81" t="s">
        <v>724</v>
      </c>
      <c r="W799" s="82">
        <v>3</v>
      </c>
      <c r="X799" s="63" t="s">
        <v>2243</v>
      </c>
      <c r="Y799" s="81">
        <v>43167</v>
      </c>
      <c r="Z799" s="83">
        <v>15300000</v>
      </c>
      <c r="AA799" s="84" t="s">
        <v>1698</v>
      </c>
      <c r="AB799" s="85">
        <v>710</v>
      </c>
      <c r="AC799" s="81">
        <v>43168</v>
      </c>
      <c r="AD799" s="86">
        <v>15300000</v>
      </c>
      <c r="AE799" s="86">
        <f t="shared" si="82"/>
        <v>0</v>
      </c>
      <c r="AF799" s="85">
        <v>1592</v>
      </c>
      <c r="AG799" s="81">
        <v>43175</v>
      </c>
      <c r="AH799" s="86">
        <v>15300000</v>
      </c>
      <c r="AI799" s="63" t="s">
        <v>2244</v>
      </c>
      <c r="AJ799" s="63">
        <v>545</v>
      </c>
      <c r="AK799" s="87">
        <f t="shared" ref="AK799:AK862" si="84">AD799-AH799</f>
        <v>0</v>
      </c>
      <c r="AL799" s="86">
        <v>15300000</v>
      </c>
      <c r="AM799" s="86">
        <f t="shared" ref="AM799:AM862" si="85">AH799-AL799</f>
        <v>0</v>
      </c>
      <c r="AN799" s="63" t="s">
        <v>1155</v>
      </c>
      <c r="AO799" s="86">
        <f t="shared" ref="AO799:AO862" si="86">S799-AH799</f>
        <v>0</v>
      </c>
      <c r="AP799" s="63"/>
      <c r="AQ799" s="81">
        <v>43167</v>
      </c>
      <c r="AR799" s="63" t="s">
        <v>2109</v>
      </c>
      <c r="AS799" s="81">
        <v>43167</v>
      </c>
      <c r="AT799" s="63" t="s">
        <v>1453</v>
      </c>
      <c r="AU799" s="220"/>
      <c r="AV799" s="220"/>
      <c r="AW799" s="220"/>
    </row>
    <row r="800" spans="1:49" s="221" customFormat="1" ht="409.5" x14ac:dyDescent="0.25">
      <c r="A800" s="63">
        <v>386</v>
      </c>
      <c r="B800" s="63" t="str">
        <f t="shared" si="83"/>
        <v>3075-386</v>
      </c>
      <c r="C800" s="76" t="s">
        <v>1141</v>
      </c>
      <c r="D800" s="76" t="s">
        <v>1142</v>
      </c>
      <c r="E800" s="76" t="s">
        <v>1424</v>
      </c>
      <c r="F800" s="76" t="s">
        <v>1158</v>
      </c>
      <c r="G800" s="77" t="s">
        <v>1159</v>
      </c>
      <c r="H800" s="101" t="s">
        <v>1160</v>
      </c>
      <c r="I800" s="76" t="s">
        <v>1147</v>
      </c>
      <c r="J800" s="76" t="s">
        <v>1148</v>
      </c>
      <c r="K800" s="76">
        <v>801116</v>
      </c>
      <c r="L800" s="63" t="s">
        <v>1149</v>
      </c>
      <c r="M800" s="63" t="s">
        <v>58</v>
      </c>
      <c r="N800" s="63" t="s">
        <v>59</v>
      </c>
      <c r="O800" s="76" t="s">
        <v>1213</v>
      </c>
      <c r="P800" s="63" t="s">
        <v>2245</v>
      </c>
      <c r="Q800" s="83">
        <v>3450000</v>
      </c>
      <c r="R800" s="98">
        <v>1</v>
      </c>
      <c r="S800" s="80">
        <v>10350000</v>
      </c>
      <c r="T800" s="63" t="s">
        <v>888</v>
      </c>
      <c r="U800" s="63" t="s">
        <v>1163</v>
      </c>
      <c r="V800" s="81" t="s">
        <v>724</v>
      </c>
      <c r="W800" s="82">
        <v>3</v>
      </c>
      <c r="X800" s="63" t="s">
        <v>2246</v>
      </c>
      <c r="Y800" s="81">
        <v>43167</v>
      </c>
      <c r="Z800" s="83">
        <v>10350000</v>
      </c>
      <c r="AA800" s="84" t="s">
        <v>1698</v>
      </c>
      <c r="AB800" s="85">
        <v>712</v>
      </c>
      <c r="AC800" s="81">
        <v>43168</v>
      </c>
      <c r="AD800" s="86">
        <v>10350000</v>
      </c>
      <c r="AE800" s="86">
        <f t="shared" si="82"/>
        <v>0</v>
      </c>
      <c r="AF800" s="85">
        <v>1598</v>
      </c>
      <c r="AG800" s="81">
        <v>43175</v>
      </c>
      <c r="AH800" s="86">
        <v>10350000</v>
      </c>
      <c r="AI800" s="63" t="s">
        <v>1504</v>
      </c>
      <c r="AJ800" s="63">
        <v>558</v>
      </c>
      <c r="AK800" s="87">
        <f t="shared" si="84"/>
        <v>0</v>
      </c>
      <c r="AL800" s="86">
        <v>10350000</v>
      </c>
      <c r="AM800" s="86">
        <f t="shared" si="85"/>
        <v>0</v>
      </c>
      <c r="AN800" s="63" t="s">
        <v>1155</v>
      </c>
      <c r="AO800" s="86">
        <f t="shared" si="86"/>
        <v>0</v>
      </c>
      <c r="AP800" s="63"/>
      <c r="AQ800" s="81">
        <v>43167</v>
      </c>
      <c r="AR800" s="63" t="s">
        <v>2109</v>
      </c>
      <c r="AS800" s="81">
        <v>43167</v>
      </c>
      <c r="AT800" s="63" t="s">
        <v>1453</v>
      </c>
      <c r="AU800" s="220"/>
      <c r="AV800" s="220"/>
      <c r="AW800" s="220"/>
    </row>
    <row r="801" spans="1:49" s="221" customFormat="1" ht="370.5" x14ac:dyDescent="0.25">
      <c r="A801" s="63">
        <v>387</v>
      </c>
      <c r="B801" s="63" t="str">
        <f t="shared" si="83"/>
        <v>3075-387</v>
      </c>
      <c r="C801" s="76" t="s">
        <v>1141</v>
      </c>
      <c r="D801" s="76" t="s">
        <v>1142</v>
      </c>
      <c r="E801" s="76" t="s">
        <v>1424</v>
      </c>
      <c r="F801" s="76" t="s">
        <v>1175</v>
      </c>
      <c r="G801" s="77" t="s">
        <v>1176</v>
      </c>
      <c r="H801" s="78" t="s">
        <v>1425</v>
      </c>
      <c r="I801" s="76" t="s">
        <v>1147</v>
      </c>
      <c r="J801" s="76" t="s">
        <v>1148</v>
      </c>
      <c r="K801" s="76" t="s">
        <v>439</v>
      </c>
      <c r="L801" s="63" t="s">
        <v>1149</v>
      </c>
      <c r="M801" s="63" t="s">
        <v>58</v>
      </c>
      <c r="N801" s="63" t="s">
        <v>59</v>
      </c>
      <c r="O801" s="76" t="s">
        <v>1213</v>
      </c>
      <c r="P801" s="63" t="s">
        <v>2247</v>
      </c>
      <c r="Q801" s="83">
        <v>54686940</v>
      </c>
      <c r="R801" s="98">
        <v>1</v>
      </c>
      <c r="S801" s="80">
        <v>54686940</v>
      </c>
      <c r="T801" s="63" t="s">
        <v>1171</v>
      </c>
      <c r="U801" s="63" t="s">
        <v>1171</v>
      </c>
      <c r="V801" s="81" t="s">
        <v>1023</v>
      </c>
      <c r="W801" s="82" t="s">
        <v>439</v>
      </c>
      <c r="X801" s="99" t="s">
        <v>2248</v>
      </c>
      <c r="Y801" s="81">
        <v>43173</v>
      </c>
      <c r="Z801" s="83">
        <v>54686940</v>
      </c>
      <c r="AA801" s="84" t="s">
        <v>1742</v>
      </c>
      <c r="AB801" s="85">
        <v>727</v>
      </c>
      <c r="AC801" s="81">
        <v>43175</v>
      </c>
      <c r="AD801" s="86">
        <v>54686940</v>
      </c>
      <c r="AE801" s="87">
        <f t="shared" si="82"/>
        <v>0</v>
      </c>
      <c r="AF801" s="85">
        <v>1851</v>
      </c>
      <c r="AG801" s="81">
        <v>43222</v>
      </c>
      <c r="AH801" s="86">
        <v>54686940</v>
      </c>
      <c r="AI801" s="63" t="s">
        <v>2249</v>
      </c>
      <c r="AJ801" s="63">
        <v>1961</v>
      </c>
      <c r="AK801" s="87">
        <f t="shared" si="84"/>
        <v>0</v>
      </c>
      <c r="AL801" s="86">
        <v>54686940</v>
      </c>
      <c r="AM801" s="86">
        <f t="shared" si="85"/>
        <v>0</v>
      </c>
      <c r="AN801" s="63" t="s">
        <v>1155</v>
      </c>
      <c r="AO801" s="86">
        <f t="shared" si="86"/>
        <v>0</v>
      </c>
      <c r="AP801" s="63"/>
      <c r="AQ801" s="81">
        <v>43172</v>
      </c>
      <c r="AR801" s="63" t="s">
        <v>2109</v>
      </c>
      <c r="AS801" s="81">
        <v>43173</v>
      </c>
      <c r="AT801" s="63" t="s">
        <v>2247</v>
      </c>
      <c r="AU801" s="220"/>
      <c r="AV801" s="220"/>
      <c r="AW801" s="220"/>
    </row>
    <row r="802" spans="1:49" s="221" customFormat="1" ht="370.5" x14ac:dyDescent="0.25">
      <c r="A802" s="63">
        <v>388</v>
      </c>
      <c r="B802" s="63" t="str">
        <f t="shared" si="83"/>
        <v>3075-388</v>
      </c>
      <c r="C802" s="76" t="s">
        <v>1141</v>
      </c>
      <c r="D802" s="76" t="s">
        <v>1142</v>
      </c>
      <c r="E802" s="76" t="s">
        <v>1424</v>
      </c>
      <c r="F802" s="76" t="s">
        <v>1175</v>
      </c>
      <c r="G802" s="77" t="s">
        <v>1176</v>
      </c>
      <c r="H802" s="78" t="s">
        <v>1425</v>
      </c>
      <c r="I802" s="76" t="s">
        <v>1147</v>
      </c>
      <c r="J802" s="76" t="s">
        <v>1148</v>
      </c>
      <c r="K802" s="76" t="s">
        <v>439</v>
      </c>
      <c r="L802" s="63" t="s">
        <v>1149</v>
      </c>
      <c r="M802" s="63" t="s">
        <v>58</v>
      </c>
      <c r="N802" s="63" t="s">
        <v>59</v>
      </c>
      <c r="O802" s="76" t="s">
        <v>1213</v>
      </c>
      <c r="P802" s="63" t="s">
        <v>2250</v>
      </c>
      <c r="Q802" s="83">
        <v>54686940</v>
      </c>
      <c r="R802" s="98">
        <v>1</v>
      </c>
      <c r="S802" s="80">
        <v>54686940</v>
      </c>
      <c r="T802" s="63" t="s">
        <v>1171</v>
      </c>
      <c r="U802" s="63" t="s">
        <v>1171</v>
      </c>
      <c r="V802" s="81" t="s">
        <v>411</v>
      </c>
      <c r="W802" s="82" t="s">
        <v>439</v>
      </c>
      <c r="X802" s="99" t="s">
        <v>2251</v>
      </c>
      <c r="Y802" s="81">
        <v>43173</v>
      </c>
      <c r="Z802" s="83">
        <v>54686940</v>
      </c>
      <c r="AA802" s="84" t="s">
        <v>1742</v>
      </c>
      <c r="AB802" s="85">
        <v>726</v>
      </c>
      <c r="AC802" s="81">
        <v>43175</v>
      </c>
      <c r="AD802" s="86">
        <v>54686940</v>
      </c>
      <c r="AE802" s="87">
        <f t="shared" si="82"/>
        <v>0</v>
      </c>
      <c r="AF802" s="85">
        <v>1790</v>
      </c>
      <c r="AG802" s="81">
        <v>43202</v>
      </c>
      <c r="AH802" s="86">
        <v>54686940</v>
      </c>
      <c r="AI802" s="63" t="s">
        <v>2252</v>
      </c>
      <c r="AJ802" s="63">
        <v>1842</v>
      </c>
      <c r="AK802" s="87">
        <f t="shared" si="84"/>
        <v>0</v>
      </c>
      <c r="AL802" s="86">
        <v>54686940</v>
      </c>
      <c r="AM802" s="86">
        <f t="shared" si="85"/>
        <v>0</v>
      </c>
      <c r="AN802" s="63" t="s">
        <v>1155</v>
      </c>
      <c r="AO802" s="86">
        <f t="shared" si="86"/>
        <v>0</v>
      </c>
      <c r="AP802" s="63"/>
      <c r="AQ802" s="81">
        <v>43172</v>
      </c>
      <c r="AR802" s="63" t="s">
        <v>2109</v>
      </c>
      <c r="AS802" s="81">
        <v>43173</v>
      </c>
      <c r="AT802" s="63" t="s">
        <v>2250</v>
      </c>
      <c r="AU802" s="220"/>
      <c r="AV802" s="220"/>
      <c r="AW802" s="220"/>
    </row>
    <row r="803" spans="1:49" s="221" customFormat="1" ht="370.5" x14ac:dyDescent="0.25">
      <c r="A803" s="63">
        <v>389</v>
      </c>
      <c r="B803" s="63" t="str">
        <f t="shared" si="83"/>
        <v>3075-389</v>
      </c>
      <c r="C803" s="76" t="s">
        <v>1141</v>
      </c>
      <c r="D803" s="76" t="s">
        <v>1142</v>
      </c>
      <c r="E803" s="76" t="s">
        <v>1424</v>
      </c>
      <c r="F803" s="76" t="s">
        <v>1175</v>
      </c>
      <c r="G803" s="77" t="s">
        <v>1176</v>
      </c>
      <c r="H803" s="78" t="s">
        <v>1425</v>
      </c>
      <c r="I803" s="76" t="s">
        <v>1147</v>
      </c>
      <c r="J803" s="76" t="s">
        <v>1148</v>
      </c>
      <c r="K803" s="76" t="s">
        <v>439</v>
      </c>
      <c r="L803" s="63" t="s">
        <v>1149</v>
      </c>
      <c r="M803" s="63" t="s">
        <v>58</v>
      </c>
      <c r="N803" s="63" t="s">
        <v>59</v>
      </c>
      <c r="O803" s="76" t="s">
        <v>1213</v>
      </c>
      <c r="P803" s="63" t="s">
        <v>2253</v>
      </c>
      <c r="Q803" s="83">
        <v>54686940</v>
      </c>
      <c r="R803" s="98">
        <v>1</v>
      </c>
      <c r="S803" s="80">
        <v>54686940</v>
      </c>
      <c r="T803" s="63" t="s">
        <v>1171</v>
      </c>
      <c r="U803" s="63" t="s">
        <v>1171</v>
      </c>
      <c r="V803" s="81" t="s">
        <v>411</v>
      </c>
      <c r="W803" s="82" t="s">
        <v>439</v>
      </c>
      <c r="X803" s="99" t="s">
        <v>2254</v>
      </c>
      <c r="Y803" s="81">
        <v>43173</v>
      </c>
      <c r="Z803" s="83">
        <v>54686940</v>
      </c>
      <c r="AA803" s="84" t="s">
        <v>1742</v>
      </c>
      <c r="AB803" s="85">
        <v>725</v>
      </c>
      <c r="AC803" s="81">
        <v>43175</v>
      </c>
      <c r="AD803" s="86">
        <v>54686940</v>
      </c>
      <c r="AE803" s="87">
        <f t="shared" si="82"/>
        <v>0</v>
      </c>
      <c r="AF803" s="85">
        <v>1808</v>
      </c>
      <c r="AG803" s="81">
        <v>43207</v>
      </c>
      <c r="AH803" s="86">
        <v>54686940</v>
      </c>
      <c r="AI803" s="63" t="s">
        <v>2255</v>
      </c>
      <c r="AJ803" s="63">
        <v>1864</v>
      </c>
      <c r="AK803" s="87">
        <f t="shared" si="84"/>
        <v>0</v>
      </c>
      <c r="AL803" s="86">
        <v>54686940</v>
      </c>
      <c r="AM803" s="86">
        <f t="shared" si="85"/>
        <v>0</v>
      </c>
      <c r="AN803" s="63" t="s">
        <v>1155</v>
      </c>
      <c r="AO803" s="86">
        <f t="shared" si="86"/>
        <v>0</v>
      </c>
      <c r="AP803" s="63"/>
      <c r="AQ803" s="81">
        <v>43172</v>
      </c>
      <c r="AR803" s="63" t="s">
        <v>2109</v>
      </c>
      <c r="AS803" s="81">
        <v>43173</v>
      </c>
      <c r="AT803" s="63" t="s">
        <v>2253</v>
      </c>
      <c r="AU803" s="220"/>
      <c r="AV803" s="220"/>
      <c r="AW803" s="220"/>
    </row>
    <row r="804" spans="1:49" s="221" customFormat="1" ht="370.5" x14ac:dyDescent="0.25">
      <c r="A804" s="63">
        <v>390</v>
      </c>
      <c r="B804" s="63" t="str">
        <f t="shared" si="83"/>
        <v>3075-390</v>
      </c>
      <c r="C804" s="76" t="s">
        <v>1141</v>
      </c>
      <c r="D804" s="76" t="s">
        <v>1142</v>
      </c>
      <c r="E804" s="76" t="s">
        <v>1424</v>
      </c>
      <c r="F804" s="76" t="s">
        <v>1175</v>
      </c>
      <c r="G804" s="77" t="s">
        <v>1176</v>
      </c>
      <c r="H804" s="78" t="s">
        <v>1425</v>
      </c>
      <c r="I804" s="76" t="s">
        <v>1147</v>
      </c>
      <c r="J804" s="76" t="s">
        <v>1148</v>
      </c>
      <c r="K804" s="76" t="s">
        <v>439</v>
      </c>
      <c r="L804" s="63" t="s">
        <v>1149</v>
      </c>
      <c r="M804" s="63" t="s">
        <v>58</v>
      </c>
      <c r="N804" s="63" t="s">
        <v>59</v>
      </c>
      <c r="O804" s="76" t="s">
        <v>1213</v>
      </c>
      <c r="P804" s="63" t="s">
        <v>2256</v>
      </c>
      <c r="Q804" s="83">
        <v>54686940</v>
      </c>
      <c r="R804" s="98">
        <v>1</v>
      </c>
      <c r="S804" s="80">
        <v>54686940</v>
      </c>
      <c r="T804" s="63" t="s">
        <v>1171</v>
      </c>
      <c r="U804" s="63" t="s">
        <v>1171</v>
      </c>
      <c r="V804" s="81" t="s">
        <v>411</v>
      </c>
      <c r="W804" s="82" t="s">
        <v>439</v>
      </c>
      <c r="X804" s="99" t="s">
        <v>2257</v>
      </c>
      <c r="Y804" s="81">
        <v>43173</v>
      </c>
      <c r="Z804" s="83">
        <v>54686940</v>
      </c>
      <c r="AA804" s="84" t="s">
        <v>1742</v>
      </c>
      <c r="AB804" s="85">
        <v>724</v>
      </c>
      <c r="AC804" s="81">
        <v>43175</v>
      </c>
      <c r="AD804" s="86">
        <v>54686940</v>
      </c>
      <c r="AE804" s="87">
        <f t="shared" si="82"/>
        <v>0</v>
      </c>
      <c r="AF804" s="85">
        <v>1824</v>
      </c>
      <c r="AG804" s="81">
        <v>43210</v>
      </c>
      <c r="AH804" s="86">
        <v>54686940</v>
      </c>
      <c r="AI804" s="63" t="s">
        <v>2258</v>
      </c>
      <c r="AJ804" s="63">
        <v>1878</v>
      </c>
      <c r="AK804" s="87">
        <f t="shared" si="84"/>
        <v>0</v>
      </c>
      <c r="AL804" s="86">
        <v>54686940</v>
      </c>
      <c r="AM804" s="86">
        <f t="shared" si="85"/>
        <v>0</v>
      </c>
      <c r="AN804" s="63" t="s">
        <v>1155</v>
      </c>
      <c r="AO804" s="86">
        <f t="shared" si="86"/>
        <v>0</v>
      </c>
      <c r="AP804" s="63"/>
      <c r="AQ804" s="81">
        <v>43172</v>
      </c>
      <c r="AR804" s="63" t="s">
        <v>2109</v>
      </c>
      <c r="AS804" s="81">
        <v>43173</v>
      </c>
      <c r="AT804" s="63" t="s">
        <v>2256</v>
      </c>
      <c r="AU804" s="220"/>
      <c r="AV804" s="220"/>
      <c r="AW804" s="220"/>
    </row>
    <row r="805" spans="1:49" s="221" customFormat="1" ht="370.5" x14ac:dyDescent="0.25">
      <c r="A805" s="63">
        <v>391</v>
      </c>
      <c r="B805" s="63" t="str">
        <f t="shared" si="83"/>
        <v>3075-391</v>
      </c>
      <c r="C805" s="76" t="s">
        <v>1141</v>
      </c>
      <c r="D805" s="76" t="s">
        <v>1142</v>
      </c>
      <c r="E805" s="76" t="s">
        <v>1424</v>
      </c>
      <c r="F805" s="76" t="s">
        <v>1175</v>
      </c>
      <c r="G805" s="77" t="s">
        <v>1176</v>
      </c>
      <c r="H805" s="78" t="s">
        <v>1425</v>
      </c>
      <c r="I805" s="76" t="s">
        <v>1147</v>
      </c>
      <c r="J805" s="76" t="s">
        <v>1148</v>
      </c>
      <c r="K805" s="76" t="s">
        <v>439</v>
      </c>
      <c r="L805" s="63" t="s">
        <v>1149</v>
      </c>
      <c r="M805" s="63" t="s">
        <v>58</v>
      </c>
      <c r="N805" s="63" t="s">
        <v>59</v>
      </c>
      <c r="O805" s="76" t="s">
        <v>1213</v>
      </c>
      <c r="P805" s="63" t="s">
        <v>2259</v>
      </c>
      <c r="Q805" s="83">
        <v>54686940</v>
      </c>
      <c r="R805" s="98">
        <v>1</v>
      </c>
      <c r="S805" s="80">
        <v>54686940</v>
      </c>
      <c r="T805" s="63" t="s">
        <v>1171</v>
      </c>
      <c r="U805" s="63" t="s">
        <v>1171</v>
      </c>
      <c r="V805" s="81" t="s">
        <v>411</v>
      </c>
      <c r="W805" s="82" t="s">
        <v>439</v>
      </c>
      <c r="X805" s="99" t="s">
        <v>2260</v>
      </c>
      <c r="Y805" s="81">
        <v>43173</v>
      </c>
      <c r="Z805" s="83">
        <v>54686940</v>
      </c>
      <c r="AA805" s="84" t="s">
        <v>1742</v>
      </c>
      <c r="AB805" s="85">
        <v>723</v>
      </c>
      <c r="AC805" s="81">
        <v>43175</v>
      </c>
      <c r="AD805" s="86">
        <v>54686940</v>
      </c>
      <c r="AE805" s="87">
        <f t="shared" si="82"/>
        <v>0</v>
      </c>
      <c r="AF805" s="85">
        <v>1817</v>
      </c>
      <c r="AG805" s="81">
        <v>43209</v>
      </c>
      <c r="AH805" s="86">
        <v>54686940</v>
      </c>
      <c r="AI805" s="63" t="s">
        <v>2261</v>
      </c>
      <c r="AJ805" s="63">
        <v>1873</v>
      </c>
      <c r="AK805" s="87">
        <f t="shared" si="84"/>
        <v>0</v>
      </c>
      <c r="AL805" s="86">
        <v>54686940</v>
      </c>
      <c r="AM805" s="86">
        <f t="shared" si="85"/>
        <v>0</v>
      </c>
      <c r="AN805" s="63" t="s">
        <v>1155</v>
      </c>
      <c r="AO805" s="86">
        <f t="shared" si="86"/>
        <v>0</v>
      </c>
      <c r="AP805" s="63"/>
      <c r="AQ805" s="81">
        <v>43172</v>
      </c>
      <c r="AR805" s="63" t="s">
        <v>2109</v>
      </c>
      <c r="AS805" s="81">
        <v>43173</v>
      </c>
      <c r="AT805" s="63" t="s">
        <v>2259</v>
      </c>
      <c r="AU805" s="220"/>
      <c r="AV805" s="220"/>
      <c r="AW805" s="220"/>
    </row>
    <row r="806" spans="1:49" s="221" customFormat="1" ht="370.5" x14ac:dyDescent="0.25">
      <c r="A806" s="63">
        <v>392</v>
      </c>
      <c r="B806" s="63" t="str">
        <f t="shared" si="83"/>
        <v>3075-392</v>
      </c>
      <c r="C806" s="76" t="s">
        <v>1141</v>
      </c>
      <c r="D806" s="76" t="s">
        <v>1142</v>
      </c>
      <c r="E806" s="76" t="s">
        <v>1424</v>
      </c>
      <c r="F806" s="76" t="s">
        <v>1175</v>
      </c>
      <c r="G806" s="77" t="s">
        <v>1176</v>
      </c>
      <c r="H806" s="78" t="s">
        <v>1425</v>
      </c>
      <c r="I806" s="76" t="s">
        <v>1147</v>
      </c>
      <c r="J806" s="76" t="s">
        <v>1148</v>
      </c>
      <c r="K806" s="76" t="s">
        <v>439</v>
      </c>
      <c r="L806" s="63" t="s">
        <v>1149</v>
      </c>
      <c r="M806" s="63" t="s">
        <v>58</v>
      </c>
      <c r="N806" s="63" t="s">
        <v>59</v>
      </c>
      <c r="O806" s="76" t="s">
        <v>1213</v>
      </c>
      <c r="P806" s="63" t="s">
        <v>2262</v>
      </c>
      <c r="Q806" s="83">
        <v>54686940</v>
      </c>
      <c r="R806" s="98">
        <v>1</v>
      </c>
      <c r="S806" s="80">
        <v>54686940</v>
      </c>
      <c r="T806" s="63" t="s">
        <v>1171</v>
      </c>
      <c r="U806" s="63" t="s">
        <v>1171</v>
      </c>
      <c r="V806" s="81" t="s">
        <v>411</v>
      </c>
      <c r="W806" s="82" t="s">
        <v>439</v>
      </c>
      <c r="X806" s="99" t="s">
        <v>2263</v>
      </c>
      <c r="Y806" s="81">
        <v>43173</v>
      </c>
      <c r="Z806" s="83">
        <v>54686940</v>
      </c>
      <c r="AA806" s="84" t="s">
        <v>1742</v>
      </c>
      <c r="AB806" s="85">
        <v>722</v>
      </c>
      <c r="AC806" s="81">
        <v>43175</v>
      </c>
      <c r="AD806" s="86">
        <v>54686940</v>
      </c>
      <c r="AE806" s="87">
        <f t="shared" si="82"/>
        <v>0</v>
      </c>
      <c r="AF806" s="85">
        <v>1786</v>
      </c>
      <c r="AG806" s="81">
        <v>43202</v>
      </c>
      <c r="AH806" s="86">
        <v>54686940</v>
      </c>
      <c r="AI806" s="63" t="s">
        <v>2264</v>
      </c>
      <c r="AJ806" s="63">
        <v>1840</v>
      </c>
      <c r="AK806" s="87">
        <f t="shared" si="84"/>
        <v>0</v>
      </c>
      <c r="AL806" s="86">
        <v>54686940</v>
      </c>
      <c r="AM806" s="86">
        <f t="shared" si="85"/>
        <v>0</v>
      </c>
      <c r="AN806" s="63" t="s">
        <v>1155</v>
      </c>
      <c r="AO806" s="86">
        <f t="shared" si="86"/>
        <v>0</v>
      </c>
      <c r="AP806" s="63"/>
      <c r="AQ806" s="81">
        <v>43172</v>
      </c>
      <c r="AR806" s="63" t="s">
        <v>2109</v>
      </c>
      <c r="AS806" s="81">
        <v>43173</v>
      </c>
      <c r="AT806" s="63" t="s">
        <v>2262</v>
      </c>
      <c r="AU806" s="220"/>
      <c r="AV806" s="220"/>
      <c r="AW806" s="220"/>
    </row>
    <row r="807" spans="1:49" s="221" customFormat="1" ht="370.5" x14ac:dyDescent="0.25">
      <c r="A807" s="63">
        <v>393</v>
      </c>
      <c r="B807" s="63" t="str">
        <f t="shared" si="83"/>
        <v>3075-393</v>
      </c>
      <c r="C807" s="76" t="s">
        <v>1141</v>
      </c>
      <c r="D807" s="76" t="s">
        <v>1142</v>
      </c>
      <c r="E807" s="76" t="s">
        <v>1424</v>
      </c>
      <c r="F807" s="76" t="s">
        <v>1175</v>
      </c>
      <c r="G807" s="77" t="s">
        <v>1176</v>
      </c>
      <c r="H807" s="78" t="s">
        <v>1425</v>
      </c>
      <c r="I807" s="76" t="s">
        <v>1147</v>
      </c>
      <c r="J807" s="76" t="s">
        <v>1148</v>
      </c>
      <c r="K807" s="76" t="s">
        <v>439</v>
      </c>
      <c r="L807" s="63" t="s">
        <v>1149</v>
      </c>
      <c r="M807" s="63" t="s">
        <v>58</v>
      </c>
      <c r="N807" s="63" t="s">
        <v>59</v>
      </c>
      <c r="O807" s="76" t="s">
        <v>1213</v>
      </c>
      <c r="P807" s="63" t="s">
        <v>2265</v>
      </c>
      <c r="Q807" s="83">
        <v>54686940</v>
      </c>
      <c r="R807" s="98">
        <v>1</v>
      </c>
      <c r="S807" s="80">
        <v>54686940</v>
      </c>
      <c r="T807" s="63" t="s">
        <v>1171</v>
      </c>
      <c r="U807" s="63" t="s">
        <v>1171</v>
      </c>
      <c r="V807" s="81" t="s">
        <v>1023</v>
      </c>
      <c r="W807" s="82" t="s">
        <v>439</v>
      </c>
      <c r="X807" s="99" t="s">
        <v>2266</v>
      </c>
      <c r="Y807" s="81">
        <v>43173</v>
      </c>
      <c r="Z807" s="83">
        <v>54686940</v>
      </c>
      <c r="AA807" s="84" t="s">
        <v>1742</v>
      </c>
      <c r="AB807" s="85">
        <v>721</v>
      </c>
      <c r="AC807" s="81">
        <v>43175</v>
      </c>
      <c r="AD807" s="86">
        <v>54686940</v>
      </c>
      <c r="AE807" s="87">
        <f t="shared" si="82"/>
        <v>0</v>
      </c>
      <c r="AF807" s="85">
        <v>1853</v>
      </c>
      <c r="AG807" s="81">
        <v>43223</v>
      </c>
      <c r="AH807" s="86">
        <v>54686940</v>
      </c>
      <c r="AI807" s="63" t="s">
        <v>2267</v>
      </c>
      <c r="AJ807" s="63">
        <v>1965</v>
      </c>
      <c r="AK807" s="87">
        <f t="shared" si="84"/>
        <v>0</v>
      </c>
      <c r="AL807" s="86">
        <v>54686940</v>
      </c>
      <c r="AM807" s="86">
        <f t="shared" si="85"/>
        <v>0</v>
      </c>
      <c r="AN807" s="63" t="s">
        <v>1155</v>
      </c>
      <c r="AO807" s="86">
        <f t="shared" si="86"/>
        <v>0</v>
      </c>
      <c r="AP807" s="63"/>
      <c r="AQ807" s="81">
        <v>43172</v>
      </c>
      <c r="AR807" s="63" t="s">
        <v>2109</v>
      </c>
      <c r="AS807" s="81">
        <v>43173</v>
      </c>
      <c r="AT807" s="63" t="s">
        <v>2265</v>
      </c>
      <c r="AU807" s="220"/>
      <c r="AV807" s="220"/>
      <c r="AW807" s="220"/>
    </row>
    <row r="808" spans="1:49" s="221" customFormat="1" ht="370.5" x14ac:dyDescent="0.25">
      <c r="A808" s="63">
        <v>394</v>
      </c>
      <c r="B808" s="63" t="str">
        <f t="shared" si="83"/>
        <v>3075-394</v>
      </c>
      <c r="C808" s="76" t="s">
        <v>1141</v>
      </c>
      <c r="D808" s="76" t="s">
        <v>1142</v>
      </c>
      <c r="E808" s="76" t="s">
        <v>1424</v>
      </c>
      <c r="F808" s="76" t="s">
        <v>1175</v>
      </c>
      <c r="G808" s="77" t="s">
        <v>1176</v>
      </c>
      <c r="H808" s="78" t="s">
        <v>1425</v>
      </c>
      <c r="I808" s="76" t="s">
        <v>1147</v>
      </c>
      <c r="J808" s="76" t="s">
        <v>1148</v>
      </c>
      <c r="K808" s="76" t="s">
        <v>439</v>
      </c>
      <c r="L808" s="63" t="s">
        <v>1149</v>
      </c>
      <c r="M808" s="63" t="s">
        <v>58</v>
      </c>
      <c r="N808" s="63" t="s">
        <v>59</v>
      </c>
      <c r="O808" s="76" t="s">
        <v>1213</v>
      </c>
      <c r="P808" s="63" t="s">
        <v>2268</v>
      </c>
      <c r="Q808" s="83">
        <v>54686940</v>
      </c>
      <c r="R808" s="98">
        <v>1</v>
      </c>
      <c r="S808" s="80">
        <v>54686940</v>
      </c>
      <c r="T808" s="63" t="s">
        <v>1171</v>
      </c>
      <c r="U808" s="63" t="s">
        <v>1171</v>
      </c>
      <c r="V808" s="81" t="s">
        <v>411</v>
      </c>
      <c r="W808" s="82" t="s">
        <v>439</v>
      </c>
      <c r="X808" s="99" t="s">
        <v>2269</v>
      </c>
      <c r="Y808" s="81">
        <v>43173</v>
      </c>
      <c r="Z808" s="83">
        <v>54686940</v>
      </c>
      <c r="AA808" s="84" t="s">
        <v>1742</v>
      </c>
      <c r="AB808" s="85">
        <v>720</v>
      </c>
      <c r="AC808" s="81">
        <v>43175</v>
      </c>
      <c r="AD808" s="86">
        <v>54686940</v>
      </c>
      <c r="AE808" s="87">
        <f t="shared" si="82"/>
        <v>0</v>
      </c>
      <c r="AF808" s="85">
        <v>1828</v>
      </c>
      <c r="AG808" s="81">
        <v>43210</v>
      </c>
      <c r="AH808" s="86">
        <v>54686940</v>
      </c>
      <c r="AI808" s="63" t="s">
        <v>2270</v>
      </c>
      <c r="AJ808" s="63">
        <v>1893</v>
      </c>
      <c r="AK808" s="87">
        <f t="shared" si="84"/>
        <v>0</v>
      </c>
      <c r="AL808" s="86">
        <v>54686940</v>
      </c>
      <c r="AM808" s="86">
        <f t="shared" si="85"/>
        <v>0</v>
      </c>
      <c r="AN808" s="63" t="s">
        <v>1155</v>
      </c>
      <c r="AO808" s="86">
        <f t="shared" si="86"/>
        <v>0</v>
      </c>
      <c r="AP808" s="63"/>
      <c r="AQ808" s="81">
        <v>43172</v>
      </c>
      <c r="AR808" s="63" t="s">
        <v>2109</v>
      </c>
      <c r="AS808" s="81">
        <v>43173</v>
      </c>
      <c r="AT808" s="63" t="s">
        <v>2268</v>
      </c>
      <c r="AU808" s="220"/>
      <c r="AV808" s="220"/>
      <c r="AW808" s="220"/>
    </row>
    <row r="809" spans="1:49" s="221" customFormat="1" ht="370.5" x14ac:dyDescent="0.25">
      <c r="A809" s="63">
        <v>395</v>
      </c>
      <c r="B809" s="63" t="str">
        <f t="shared" si="83"/>
        <v>3075-395</v>
      </c>
      <c r="C809" s="76" t="s">
        <v>1141</v>
      </c>
      <c r="D809" s="76" t="s">
        <v>1142</v>
      </c>
      <c r="E809" s="76" t="s">
        <v>1424</v>
      </c>
      <c r="F809" s="76" t="s">
        <v>1175</v>
      </c>
      <c r="G809" s="77" t="s">
        <v>1176</v>
      </c>
      <c r="H809" s="78" t="s">
        <v>1425</v>
      </c>
      <c r="I809" s="76" t="s">
        <v>1147</v>
      </c>
      <c r="J809" s="76" t="s">
        <v>1148</v>
      </c>
      <c r="K809" s="76" t="s">
        <v>439</v>
      </c>
      <c r="L809" s="63" t="s">
        <v>1149</v>
      </c>
      <c r="M809" s="63" t="s">
        <v>58</v>
      </c>
      <c r="N809" s="63" t="s">
        <v>59</v>
      </c>
      <c r="O809" s="76" t="s">
        <v>1213</v>
      </c>
      <c r="P809" s="63" t="s">
        <v>2271</v>
      </c>
      <c r="Q809" s="83">
        <v>54686940</v>
      </c>
      <c r="R809" s="98">
        <v>1</v>
      </c>
      <c r="S809" s="80">
        <v>0</v>
      </c>
      <c r="T809" s="63"/>
      <c r="U809" s="63"/>
      <c r="V809" s="81"/>
      <c r="W809" s="82"/>
      <c r="X809" s="99" t="s">
        <v>2272</v>
      </c>
      <c r="Y809" s="81">
        <v>43173</v>
      </c>
      <c r="Z809" s="83">
        <v>0</v>
      </c>
      <c r="AA809" s="84" t="s">
        <v>1742</v>
      </c>
      <c r="AB809" s="85"/>
      <c r="AC809" s="81">
        <v>43175</v>
      </c>
      <c r="AD809" s="86">
        <v>0</v>
      </c>
      <c r="AE809" s="87">
        <f t="shared" si="82"/>
        <v>0</v>
      </c>
      <c r="AF809" s="85"/>
      <c r="AG809" s="81"/>
      <c r="AH809" s="86"/>
      <c r="AI809" s="63"/>
      <c r="AJ809" s="63"/>
      <c r="AK809" s="87">
        <f t="shared" si="84"/>
        <v>0</v>
      </c>
      <c r="AL809" s="86"/>
      <c r="AM809" s="86">
        <f t="shared" si="85"/>
        <v>0</v>
      </c>
      <c r="AN809" s="63" t="s">
        <v>1155</v>
      </c>
      <c r="AO809" s="86">
        <f t="shared" si="86"/>
        <v>0</v>
      </c>
      <c r="AP809" s="63" t="s">
        <v>2273</v>
      </c>
      <c r="AQ809" s="81">
        <v>43172</v>
      </c>
      <c r="AR809" s="63" t="s">
        <v>1157</v>
      </c>
      <c r="AS809" s="81">
        <v>43173</v>
      </c>
      <c r="AT809" s="63" t="s">
        <v>2271</v>
      </c>
      <c r="AU809" s="220"/>
      <c r="AV809" s="220"/>
      <c r="AW809" s="220"/>
    </row>
    <row r="810" spans="1:49" s="221" customFormat="1" ht="370.5" x14ac:dyDescent="0.25">
      <c r="A810" s="63">
        <v>396</v>
      </c>
      <c r="B810" s="63" t="str">
        <f t="shared" si="83"/>
        <v>3075-396</v>
      </c>
      <c r="C810" s="76" t="s">
        <v>1141</v>
      </c>
      <c r="D810" s="76" t="s">
        <v>1142</v>
      </c>
      <c r="E810" s="76" t="s">
        <v>1424</v>
      </c>
      <c r="F810" s="76" t="s">
        <v>1175</v>
      </c>
      <c r="G810" s="77" t="s">
        <v>1176</v>
      </c>
      <c r="H810" s="78" t="s">
        <v>1425</v>
      </c>
      <c r="I810" s="76" t="s">
        <v>1147</v>
      </c>
      <c r="J810" s="76" t="s">
        <v>1148</v>
      </c>
      <c r="K810" s="76" t="s">
        <v>439</v>
      </c>
      <c r="L810" s="63" t="s">
        <v>1149</v>
      </c>
      <c r="M810" s="63" t="s">
        <v>58</v>
      </c>
      <c r="N810" s="63" t="s">
        <v>59</v>
      </c>
      <c r="O810" s="76" t="s">
        <v>1213</v>
      </c>
      <c r="P810" s="63" t="s">
        <v>2274</v>
      </c>
      <c r="Q810" s="83">
        <v>54686940</v>
      </c>
      <c r="R810" s="98">
        <v>1</v>
      </c>
      <c r="S810" s="80">
        <v>54686940</v>
      </c>
      <c r="T810" s="63" t="s">
        <v>1171</v>
      </c>
      <c r="U810" s="63" t="s">
        <v>1171</v>
      </c>
      <c r="V810" s="81" t="s">
        <v>411</v>
      </c>
      <c r="W810" s="82" t="s">
        <v>439</v>
      </c>
      <c r="X810" s="99" t="s">
        <v>2275</v>
      </c>
      <c r="Y810" s="81">
        <v>43173</v>
      </c>
      <c r="Z810" s="83">
        <v>54686940</v>
      </c>
      <c r="AA810" s="84" t="s">
        <v>1742</v>
      </c>
      <c r="AB810" s="85">
        <v>729</v>
      </c>
      <c r="AC810" s="81">
        <v>43175</v>
      </c>
      <c r="AD810" s="86">
        <v>54686940</v>
      </c>
      <c r="AE810" s="87">
        <f t="shared" si="82"/>
        <v>0</v>
      </c>
      <c r="AF810" s="85">
        <v>1829</v>
      </c>
      <c r="AG810" s="81">
        <v>43210</v>
      </c>
      <c r="AH810" s="86">
        <v>54686940</v>
      </c>
      <c r="AI810" s="63" t="s">
        <v>2276</v>
      </c>
      <c r="AJ810" s="63">
        <v>1877</v>
      </c>
      <c r="AK810" s="87">
        <f t="shared" si="84"/>
        <v>0</v>
      </c>
      <c r="AL810" s="86">
        <v>54686940</v>
      </c>
      <c r="AM810" s="86">
        <f t="shared" si="85"/>
        <v>0</v>
      </c>
      <c r="AN810" s="63" t="s">
        <v>1155</v>
      </c>
      <c r="AO810" s="86">
        <f t="shared" si="86"/>
        <v>0</v>
      </c>
      <c r="AP810" s="63"/>
      <c r="AQ810" s="81">
        <v>43172</v>
      </c>
      <c r="AR810" s="63" t="s">
        <v>2109</v>
      </c>
      <c r="AS810" s="81">
        <v>43173</v>
      </c>
      <c r="AT810" s="63" t="s">
        <v>2274</v>
      </c>
      <c r="AU810" s="220"/>
      <c r="AV810" s="220"/>
      <c r="AW810" s="220"/>
    </row>
    <row r="811" spans="1:49" s="221" customFormat="1" ht="370.5" x14ac:dyDescent="0.25">
      <c r="A811" s="63">
        <v>397</v>
      </c>
      <c r="B811" s="63" t="str">
        <f t="shared" si="83"/>
        <v>3075-397</v>
      </c>
      <c r="C811" s="76" t="s">
        <v>1141</v>
      </c>
      <c r="D811" s="76" t="s">
        <v>1142</v>
      </c>
      <c r="E811" s="76" t="s">
        <v>1424</v>
      </c>
      <c r="F811" s="76" t="s">
        <v>1175</v>
      </c>
      <c r="G811" s="77" t="s">
        <v>1176</v>
      </c>
      <c r="H811" s="78" t="s">
        <v>1425</v>
      </c>
      <c r="I811" s="76" t="s">
        <v>1147</v>
      </c>
      <c r="J811" s="76" t="s">
        <v>1148</v>
      </c>
      <c r="K811" s="76" t="s">
        <v>439</v>
      </c>
      <c r="L811" s="63" t="s">
        <v>1149</v>
      </c>
      <c r="M811" s="63" t="s">
        <v>58</v>
      </c>
      <c r="N811" s="63" t="s">
        <v>59</v>
      </c>
      <c r="O811" s="76" t="s">
        <v>1213</v>
      </c>
      <c r="P811" s="63" t="s">
        <v>2277</v>
      </c>
      <c r="Q811" s="83">
        <v>54686940</v>
      </c>
      <c r="R811" s="98">
        <v>1</v>
      </c>
      <c r="S811" s="80">
        <v>0</v>
      </c>
      <c r="T811" s="63"/>
      <c r="U811" s="63"/>
      <c r="V811" s="81"/>
      <c r="W811" s="82"/>
      <c r="X811" s="99" t="s">
        <v>2278</v>
      </c>
      <c r="Y811" s="81">
        <v>43173</v>
      </c>
      <c r="Z811" s="83">
        <v>0</v>
      </c>
      <c r="AA811" s="84" t="s">
        <v>1742</v>
      </c>
      <c r="AB811" s="85"/>
      <c r="AC811" s="81">
        <v>43175</v>
      </c>
      <c r="AD811" s="86">
        <v>0</v>
      </c>
      <c r="AE811" s="87">
        <f t="shared" si="82"/>
        <v>0</v>
      </c>
      <c r="AF811" s="85"/>
      <c r="AG811" s="81"/>
      <c r="AH811" s="86"/>
      <c r="AI811" s="63"/>
      <c r="AJ811" s="63"/>
      <c r="AK811" s="87">
        <f t="shared" si="84"/>
        <v>0</v>
      </c>
      <c r="AL811" s="86"/>
      <c r="AM811" s="86">
        <f t="shared" si="85"/>
        <v>0</v>
      </c>
      <c r="AN811" s="63" t="s">
        <v>1155</v>
      </c>
      <c r="AO811" s="86">
        <f t="shared" si="86"/>
        <v>0</v>
      </c>
      <c r="AP811" s="63" t="s">
        <v>2279</v>
      </c>
      <c r="AQ811" s="81">
        <v>43172</v>
      </c>
      <c r="AR811" s="63" t="s">
        <v>1157</v>
      </c>
      <c r="AS811" s="81">
        <v>43173</v>
      </c>
      <c r="AT811" s="63" t="s">
        <v>2277</v>
      </c>
      <c r="AU811" s="220"/>
      <c r="AV811" s="220"/>
      <c r="AW811" s="220"/>
    </row>
    <row r="812" spans="1:49" s="221" customFormat="1" ht="370.5" x14ac:dyDescent="0.25">
      <c r="A812" s="63">
        <v>398</v>
      </c>
      <c r="B812" s="63" t="str">
        <f t="shared" si="83"/>
        <v>3075-398</v>
      </c>
      <c r="C812" s="76" t="s">
        <v>1141</v>
      </c>
      <c r="D812" s="76" t="s">
        <v>1142</v>
      </c>
      <c r="E812" s="76" t="s">
        <v>1424</v>
      </c>
      <c r="F812" s="76" t="s">
        <v>1175</v>
      </c>
      <c r="G812" s="77" t="s">
        <v>1176</v>
      </c>
      <c r="H812" s="78" t="s">
        <v>1425</v>
      </c>
      <c r="I812" s="76" t="s">
        <v>1147</v>
      </c>
      <c r="J812" s="76" t="s">
        <v>1148</v>
      </c>
      <c r="K812" s="76" t="s">
        <v>439</v>
      </c>
      <c r="L812" s="63" t="s">
        <v>1149</v>
      </c>
      <c r="M812" s="63" t="s">
        <v>58</v>
      </c>
      <c r="N812" s="63" t="s">
        <v>59</v>
      </c>
      <c r="O812" s="76" t="s">
        <v>1213</v>
      </c>
      <c r="P812" s="63" t="s">
        <v>2280</v>
      </c>
      <c r="Q812" s="83">
        <v>54686940</v>
      </c>
      <c r="R812" s="98">
        <v>1</v>
      </c>
      <c r="S812" s="80">
        <v>54686940</v>
      </c>
      <c r="T812" s="63" t="s">
        <v>1171</v>
      </c>
      <c r="U812" s="63" t="s">
        <v>1171</v>
      </c>
      <c r="V812" s="81" t="s">
        <v>411</v>
      </c>
      <c r="W812" s="82" t="s">
        <v>439</v>
      </c>
      <c r="X812" s="99" t="s">
        <v>2281</v>
      </c>
      <c r="Y812" s="81">
        <v>43173</v>
      </c>
      <c r="Z812" s="83">
        <v>54686940</v>
      </c>
      <c r="AA812" s="84" t="s">
        <v>1742</v>
      </c>
      <c r="AB812" s="85">
        <v>733</v>
      </c>
      <c r="AC812" s="81">
        <v>43175</v>
      </c>
      <c r="AD812" s="86">
        <v>54686940</v>
      </c>
      <c r="AE812" s="87">
        <f t="shared" si="82"/>
        <v>0</v>
      </c>
      <c r="AF812" s="85">
        <v>1784</v>
      </c>
      <c r="AG812" s="81">
        <v>43202</v>
      </c>
      <c r="AH812" s="86">
        <v>54686940</v>
      </c>
      <c r="AI812" s="63" t="s">
        <v>2282</v>
      </c>
      <c r="AJ812" s="63">
        <v>1845</v>
      </c>
      <c r="AK812" s="87">
        <f t="shared" si="84"/>
        <v>0</v>
      </c>
      <c r="AL812" s="86">
        <v>54686940</v>
      </c>
      <c r="AM812" s="86">
        <f t="shared" si="85"/>
        <v>0</v>
      </c>
      <c r="AN812" s="63" t="s">
        <v>1155</v>
      </c>
      <c r="AO812" s="86">
        <f t="shared" si="86"/>
        <v>0</v>
      </c>
      <c r="AP812" s="63"/>
      <c r="AQ812" s="81">
        <v>43172</v>
      </c>
      <c r="AR812" s="63" t="s">
        <v>2109</v>
      </c>
      <c r="AS812" s="81">
        <v>43173</v>
      </c>
      <c r="AT812" s="63" t="s">
        <v>2280</v>
      </c>
      <c r="AU812" s="220"/>
      <c r="AV812" s="220"/>
      <c r="AW812" s="220"/>
    </row>
    <row r="813" spans="1:49" s="221" customFormat="1" ht="370.5" x14ac:dyDescent="0.25">
      <c r="A813" s="63">
        <v>399</v>
      </c>
      <c r="B813" s="63" t="str">
        <f t="shared" si="83"/>
        <v>3075-399</v>
      </c>
      <c r="C813" s="76" t="s">
        <v>1141</v>
      </c>
      <c r="D813" s="76" t="s">
        <v>1142</v>
      </c>
      <c r="E813" s="76" t="s">
        <v>1424</v>
      </c>
      <c r="F813" s="76" t="s">
        <v>1175</v>
      </c>
      <c r="G813" s="77" t="s">
        <v>1176</v>
      </c>
      <c r="H813" s="78" t="s">
        <v>1425</v>
      </c>
      <c r="I813" s="76" t="s">
        <v>1147</v>
      </c>
      <c r="J813" s="76" t="s">
        <v>1148</v>
      </c>
      <c r="K813" s="76" t="s">
        <v>439</v>
      </c>
      <c r="L813" s="63" t="s">
        <v>1149</v>
      </c>
      <c r="M813" s="63" t="s">
        <v>58</v>
      </c>
      <c r="N813" s="63" t="s">
        <v>59</v>
      </c>
      <c r="O813" s="76" t="s">
        <v>1213</v>
      </c>
      <c r="P813" s="63" t="s">
        <v>2283</v>
      </c>
      <c r="Q813" s="83">
        <v>54686940</v>
      </c>
      <c r="R813" s="98">
        <v>1</v>
      </c>
      <c r="S813" s="80">
        <v>54686940</v>
      </c>
      <c r="T813" s="63" t="s">
        <v>1171</v>
      </c>
      <c r="U813" s="63" t="s">
        <v>1171</v>
      </c>
      <c r="V813" s="81" t="s">
        <v>411</v>
      </c>
      <c r="W813" s="82" t="s">
        <v>439</v>
      </c>
      <c r="X813" s="99" t="s">
        <v>2284</v>
      </c>
      <c r="Y813" s="81">
        <v>43173</v>
      </c>
      <c r="Z813" s="83">
        <v>54686940</v>
      </c>
      <c r="AA813" s="84" t="s">
        <v>1742</v>
      </c>
      <c r="AB813" s="85">
        <v>736</v>
      </c>
      <c r="AC813" s="81">
        <v>43175</v>
      </c>
      <c r="AD813" s="86">
        <v>54686940</v>
      </c>
      <c r="AE813" s="87">
        <f t="shared" si="82"/>
        <v>0</v>
      </c>
      <c r="AF813" s="85">
        <v>1787</v>
      </c>
      <c r="AG813" s="81">
        <v>43202</v>
      </c>
      <c r="AH813" s="86">
        <v>54686940</v>
      </c>
      <c r="AI813" s="63" t="s">
        <v>2285</v>
      </c>
      <c r="AJ813" s="63">
        <v>1847</v>
      </c>
      <c r="AK813" s="87">
        <f t="shared" si="84"/>
        <v>0</v>
      </c>
      <c r="AL813" s="86">
        <v>54686940</v>
      </c>
      <c r="AM813" s="86">
        <f t="shared" si="85"/>
        <v>0</v>
      </c>
      <c r="AN813" s="63" t="s">
        <v>1155</v>
      </c>
      <c r="AO813" s="86">
        <f t="shared" si="86"/>
        <v>0</v>
      </c>
      <c r="AP813" s="63"/>
      <c r="AQ813" s="81">
        <v>43172</v>
      </c>
      <c r="AR813" s="63" t="s">
        <v>2109</v>
      </c>
      <c r="AS813" s="81">
        <v>43173</v>
      </c>
      <c r="AT813" s="63" t="s">
        <v>2283</v>
      </c>
      <c r="AU813" s="220"/>
      <c r="AV813" s="220"/>
      <c r="AW813" s="220"/>
    </row>
    <row r="814" spans="1:49" s="221" customFormat="1" ht="370.5" x14ac:dyDescent="0.25">
      <c r="A814" s="63">
        <v>400</v>
      </c>
      <c r="B814" s="63" t="str">
        <f t="shared" si="83"/>
        <v>3075-400</v>
      </c>
      <c r="C814" s="76" t="s">
        <v>1141</v>
      </c>
      <c r="D814" s="76" t="s">
        <v>1142</v>
      </c>
      <c r="E814" s="76" t="s">
        <v>1424</v>
      </c>
      <c r="F814" s="76" t="s">
        <v>1175</v>
      </c>
      <c r="G814" s="77" t="s">
        <v>1176</v>
      </c>
      <c r="H814" s="78" t="s">
        <v>1425</v>
      </c>
      <c r="I814" s="76" t="s">
        <v>1147</v>
      </c>
      <c r="J814" s="76" t="s">
        <v>1148</v>
      </c>
      <c r="K814" s="76" t="s">
        <v>439</v>
      </c>
      <c r="L814" s="63" t="s">
        <v>1149</v>
      </c>
      <c r="M814" s="63" t="s">
        <v>58</v>
      </c>
      <c r="N814" s="63" t="s">
        <v>59</v>
      </c>
      <c r="O814" s="76" t="s">
        <v>1213</v>
      </c>
      <c r="P814" s="63" t="s">
        <v>2286</v>
      </c>
      <c r="Q814" s="83">
        <v>54686940</v>
      </c>
      <c r="R814" s="98">
        <v>1</v>
      </c>
      <c r="S814" s="80">
        <v>54686940</v>
      </c>
      <c r="T814" s="63" t="s">
        <v>1171</v>
      </c>
      <c r="U814" s="63" t="s">
        <v>1171</v>
      </c>
      <c r="V814" s="81" t="s">
        <v>411</v>
      </c>
      <c r="W814" s="82" t="s">
        <v>439</v>
      </c>
      <c r="X814" s="99" t="s">
        <v>2287</v>
      </c>
      <c r="Y814" s="81">
        <v>43173</v>
      </c>
      <c r="Z814" s="83">
        <v>54686940</v>
      </c>
      <c r="AA814" s="84" t="s">
        <v>1742</v>
      </c>
      <c r="AB814" s="85">
        <v>738</v>
      </c>
      <c r="AC814" s="81">
        <v>43175</v>
      </c>
      <c r="AD814" s="86">
        <v>54686940</v>
      </c>
      <c r="AE814" s="87">
        <f t="shared" si="82"/>
        <v>0</v>
      </c>
      <c r="AF814" s="85">
        <v>1791</v>
      </c>
      <c r="AG814" s="81">
        <v>43202</v>
      </c>
      <c r="AH814" s="86">
        <v>54686940</v>
      </c>
      <c r="AI814" s="63" t="s">
        <v>2288</v>
      </c>
      <c r="AJ814" s="63">
        <v>1843</v>
      </c>
      <c r="AK814" s="87">
        <f t="shared" si="84"/>
        <v>0</v>
      </c>
      <c r="AL814" s="86">
        <v>54686940</v>
      </c>
      <c r="AM814" s="86">
        <f t="shared" si="85"/>
        <v>0</v>
      </c>
      <c r="AN814" s="63" t="s">
        <v>1155</v>
      </c>
      <c r="AO814" s="86">
        <f t="shared" si="86"/>
        <v>0</v>
      </c>
      <c r="AP814" s="63"/>
      <c r="AQ814" s="81">
        <v>43172</v>
      </c>
      <c r="AR814" s="63" t="s">
        <v>2109</v>
      </c>
      <c r="AS814" s="81">
        <v>43173</v>
      </c>
      <c r="AT814" s="63" t="s">
        <v>2286</v>
      </c>
      <c r="AU814" s="220"/>
      <c r="AV814" s="220"/>
      <c r="AW814" s="220"/>
    </row>
    <row r="815" spans="1:49" s="221" customFormat="1" ht="370.5" x14ac:dyDescent="0.25">
      <c r="A815" s="63">
        <v>401</v>
      </c>
      <c r="B815" s="63" t="str">
        <f t="shared" si="83"/>
        <v>3075-401</v>
      </c>
      <c r="C815" s="76" t="s">
        <v>1141</v>
      </c>
      <c r="D815" s="76" t="s">
        <v>1142</v>
      </c>
      <c r="E815" s="76" t="s">
        <v>1424</v>
      </c>
      <c r="F815" s="76" t="s">
        <v>1175</v>
      </c>
      <c r="G815" s="77" t="s">
        <v>1176</v>
      </c>
      <c r="H815" s="78" t="s">
        <v>1425</v>
      </c>
      <c r="I815" s="76" t="s">
        <v>1147</v>
      </c>
      <c r="J815" s="76" t="s">
        <v>1148</v>
      </c>
      <c r="K815" s="76" t="s">
        <v>439</v>
      </c>
      <c r="L815" s="63" t="s">
        <v>1149</v>
      </c>
      <c r="M815" s="63" t="s">
        <v>58</v>
      </c>
      <c r="N815" s="63" t="s">
        <v>59</v>
      </c>
      <c r="O815" s="76" t="s">
        <v>1213</v>
      </c>
      <c r="P815" s="63" t="s">
        <v>2289</v>
      </c>
      <c r="Q815" s="83">
        <v>54686940</v>
      </c>
      <c r="R815" s="98">
        <v>1</v>
      </c>
      <c r="S815" s="80">
        <v>54686940</v>
      </c>
      <c r="T815" s="63" t="s">
        <v>1171</v>
      </c>
      <c r="U815" s="63" t="s">
        <v>1171</v>
      </c>
      <c r="V815" s="81" t="s">
        <v>411</v>
      </c>
      <c r="W815" s="82" t="s">
        <v>439</v>
      </c>
      <c r="X815" s="99" t="s">
        <v>2290</v>
      </c>
      <c r="Y815" s="81">
        <v>43173</v>
      </c>
      <c r="Z815" s="83">
        <v>54686940</v>
      </c>
      <c r="AA815" s="84" t="s">
        <v>1742</v>
      </c>
      <c r="AB815" s="85">
        <v>744</v>
      </c>
      <c r="AC815" s="81">
        <v>43175</v>
      </c>
      <c r="AD815" s="86">
        <v>54686940</v>
      </c>
      <c r="AE815" s="87">
        <f t="shared" si="82"/>
        <v>0</v>
      </c>
      <c r="AF815" s="85">
        <v>1785</v>
      </c>
      <c r="AG815" s="81">
        <v>43202</v>
      </c>
      <c r="AH815" s="86">
        <v>54686940</v>
      </c>
      <c r="AI815" s="63" t="s">
        <v>2291</v>
      </c>
      <c r="AJ815" s="63">
        <v>1846</v>
      </c>
      <c r="AK815" s="87">
        <f t="shared" si="84"/>
        <v>0</v>
      </c>
      <c r="AL815" s="86">
        <v>54686940</v>
      </c>
      <c r="AM815" s="86">
        <f t="shared" si="85"/>
        <v>0</v>
      </c>
      <c r="AN815" s="63" t="s">
        <v>1155</v>
      </c>
      <c r="AO815" s="86">
        <f t="shared" si="86"/>
        <v>0</v>
      </c>
      <c r="AP815" s="63"/>
      <c r="AQ815" s="81">
        <v>43172</v>
      </c>
      <c r="AR815" s="63" t="s">
        <v>2109</v>
      </c>
      <c r="AS815" s="81">
        <v>43173</v>
      </c>
      <c r="AT815" s="63" t="s">
        <v>2289</v>
      </c>
      <c r="AU815" s="220"/>
      <c r="AV815" s="220"/>
      <c r="AW815" s="220"/>
    </row>
    <row r="816" spans="1:49" s="221" customFormat="1" ht="370.5" x14ac:dyDescent="0.25">
      <c r="A816" s="63">
        <v>402</v>
      </c>
      <c r="B816" s="63" t="str">
        <f t="shared" si="83"/>
        <v>3075-402</v>
      </c>
      <c r="C816" s="76" t="s">
        <v>1141</v>
      </c>
      <c r="D816" s="76" t="s">
        <v>1142</v>
      </c>
      <c r="E816" s="76" t="s">
        <v>1424</v>
      </c>
      <c r="F816" s="76" t="s">
        <v>1175</v>
      </c>
      <c r="G816" s="77" t="s">
        <v>1176</v>
      </c>
      <c r="H816" s="78" t="s">
        <v>1425</v>
      </c>
      <c r="I816" s="76" t="s">
        <v>1147</v>
      </c>
      <c r="J816" s="76" t="s">
        <v>1148</v>
      </c>
      <c r="K816" s="76" t="s">
        <v>439</v>
      </c>
      <c r="L816" s="63" t="s">
        <v>1149</v>
      </c>
      <c r="M816" s="63" t="s">
        <v>58</v>
      </c>
      <c r="N816" s="63" t="s">
        <v>59</v>
      </c>
      <c r="O816" s="76" t="s">
        <v>1213</v>
      </c>
      <c r="P816" s="63" t="s">
        <v>2292</v>
      </c>
      <c r="Q816" s="83">
        <v>54686940</v>
      </c>
      <c r="R816" s="98">
        <v>1</v>
      </c>
      <c r="S816" s="80">
        <v>54686940</v>
      </c>
      <c r="T816" s="63" t="s">
        <v>1171</v>
      </c>
      <c r="U816" s="63" t="s">
        <v>1171</v>
      </c>
      <c r="V816" s="81" t="s">
        <v>411</v>
      </c>
      <c r="W816" s="82" t="s">
        <v>439</v>
      </c>
      <c r="X816" s="99" t="s">
        <v>2293</v>
      </c>
      <c r="Y816" s="81">
        <v>43173</v>
      </c>
      <c r="Z816" s="83">
        <v>54686940</v>
      </c>
      <c r="AA816" s="84" t="s">
        <v>1742</v>
      </c>
      <c r="AB816" s="85">
        <v>745</v>
      </c>
      <c r="AC816" s="81">
        <v>43175</v>
      </c>
      <c r="AD816" s="86">
        <v>54686940</v>
      </c>
      <c r="AE816" s="87">
        <f t="shared" si="82"/>
        <v>0</v>
      </c>
      <c r="AF816" s="85">
        <v>1815</v>
      </c>
      <c r="AG816" s="81">
        <v>43209</v>
      </c>
      <c r="AH816" s="86">
        <v>54686940</v>
      </c>
      <c r="AI816" s="63" t="s">
        <v>2294</v>
      </c>
      <c r="AJ816" s="63">
        <v>1872</v>
      </c>
      <c r="AK816" s="87">
        <f t="shared" si="84"/>
        <v>0</v>
      </c>
      <c r="AL816" s="86">
        <v>54686940</v>
      </c>
      <c r="AM816" s="86">
        <f t="shared" si="85"/>
        <v>0</v>
      </c>
      <c r="AN816" s="63" t="s">
        <v>1155</v>
      </c>
      <c r="AO816" s="86">
        <f t="shared" si="86"/>
        <v>0</v>
      </c>
      <c r="AP816" s="63"/>
      <c r="AQ816" s="81">
        <v>43172</v>
      </c>
      <c r="AR816" s="63" t="s">
        <v>2109</v>
      </c>
      <c r="AS816" s="81">
        <v>43173</v>
      </c>
      <c r="AT816" s="63" t="s">
        <v>2292</v>
      </c>
      <c r="AU816" s="220"/>
      <c r="AV816" s="220"/>
      <c r="AW816" s="220"/>
    </row>
    <row r="817" spans="1:49" s="221" customFormat="1" ht="370.5" x14ac:dyDescent="0.25">
      <c r="A817" s="63">
        <v>403</v>
      </c>
      <c r="B817" s="63" t="str">
        <f t="shared" si="83"/>
        <v>3075-403</v>
      </c>
      <c r="C817" s="76" t="s">
        <v>1141</v>
      </c>
      <c r="D817" s="76" t="s">
        <v>1142</v>
      </c>
      <c r="E817" s="76" t="s">
        <v>1424</v>
      </c>
      <c r="F817" s="76" t="s">
        <v>1175</v>
      </c>
      <c r="G817" s="77" t="s">
        <v>1176</v>
      </c>
      <c r="H817" s="78" t="s">
        <v>1425</v>
      </c>
      <c r="I817" s="76" t="s">
        <v>1147</v>
      </c>
      <c r="J817" s="76" t="s">
        <v>1148</v>
      </c>
      <c r="K817" s="76" t="s">
        <v>439</v>
      </c>
      <c r="L817" s="63" t="s">
        <v>1149</v>
      </c>
      <c r="M817" s="63" t="s">
        <v>58</v>
      </c>
      <c r="N817" s="63" t="s">
        <v>59</v>
      </c>
      <c r="O817" s="76" t="s">
        <v>1213</v>
      </c>
      <c r="P817" s="63" t="s">
        <v>2295</v>
      </c>
      <c r="Q817" s="83">
        <v>54686940</v>
      </c>
      <c r="R817" s="98">
        <v>1</v>
      </c>
      <c r="S817" s="80">
        <v>54686940</v>
      </c>
      <c r="T817" s="63" t="s">
        <v>1171</v>
      </c>
      <c r="U817" s="63" t="s">
        <v>1171</v>
      </c>
      <c r="V817" s="81" t="s">
        <v>411</v>
      </c>
      <c r="W817" s="82" t="s">
        <v>439</v>
      </c>
      <c r="X817" s="99" t="s">
        <v>2296</v>
      </c>
      <c r="Y817" s="81">
        <v>43173</v>
      </c>
      <c r="Z817" s="83">
        <v>54686940</v>
      </c>
      <c r="AA817" s="84" t="s">
        <v>1742</v>
      </c>
      <c r="AB817" s="85">
        <v>747</v>
      </c>
      <c r="AC817" s="81">
        <v>43175</v>
      </c>
      <c r="AD817" s="86">
        <v>54686940</v>
      </c>
      <c r="AE817" s="87">
        <f t="shared" si="82"/>
        <v>0</v>
      </c>
      <c r="AF817" s="85">
        <v>1762</v>
      </c>
      <c r="AG817" s="81">
        <v>43201</v>
      </c>
      <c r="AH817" s="86">
        <v>54686940</v>
      </c>
      <c r="AI817" s="63" t="s">
        <v>2297</v>
      </c>
      <c r="AJ817" s="63">
        <v>1777</v>
      </c>
      <c r="AK817" s="87">
        <f t="shared" si="84"/>
        <v>0</v>
      </c>
      <c r="AL817" s="86">
        <v>54686940</v>
      </c>
      <c r="AM817" s="86">
        <f t="shared" si="85"/>
        <v>0</v>
      </c>
      <c r="AN817" s="63" t="s">
        <v>1155</v>
      </c>
      <c r="AO817" s="86">
        <f t="shared" si="86"/>
        <v>0</v>
      </c>
      <c r="AP817" s="63"/>
      <c r="AQ817" s="81">
        <v>43172</v>
      </c>
      <c r="AR817" s="63" t="s">
        <v>2109</v>
      </c>
      <c r="AS817" s="81">
        <v>43173</v>
      </c>
      <c r="AT817" s="63" t="s">
        <v>2295</v>
      </c>
      <c r="AU817" s="220"/>
      <c r="AV817" s="220"/>
      <c r="AW817" s="220"/>
    </row>
    <row r="818" spans="1:49" s="221" customFormat="1" ht="370.5" x14ac:dyDescent="0.25">
      <c r="A818" s="63">
        <v>404</v>
      </c>
      <c r="B818" s="63" t="str">
        <f t="shared" si="83"/>
        <v>3075-404</v>
      </c>
      <c r="C818" s="76" t="s">
        <v>1141</v>
      </c>
      <c r="D818" s="76" t="s">
        <v>1142</v>
      </c>
      <c r="E818" s="76" t="s">
        <v>1424</v>
      </c>
      <c r="F818" s="76" t="s">
        <v>1175</v>
      </c>
      <c r="G818" s="77" t="s">
        <v>1176</v>
      </c>
      <c r="H818" s="78" t="s">
        <v>1425</v>
      </c>
      <c r="I818" s="76" t="s">
        <v>1147</v>
      </c>
      <c r="J818" s="76" t="s">
        <v>1148</v>
      </c>
      <c r="K818" s="76" t="s">
        <v>439</v>
      </c>
      <c r="L818" s="63" t="s">
        <v>1149</v>
      </c>
      <c r="M818" s="63" t="s">
        <v>58</v>
      </c>
      <c r="N818" s="63" t="s">
        <v>59</v>
      </c>
      <c r="O818" s="76" t="s">
        <v>1213</v>
      </c>
      <c r="P818" s="63" t="s">
        <v>2298</v>
      </c>
      <c r="Q818" s="83">
        <v>54686940</v>
      </c>
      <c r="R818" s="98">
        <v>1</v>
      </c>
      <c r="S818" s="80">
        <v>54686940</v>
      </c>
      <c r="T818" s="63" t="s">
        <v>1171</v>
      </c>
      <c r="U818" s="63" t="s">
        <v>1171</v>
      </c>
      <c r="V818" s="81" t="s">
        <v>411</v>
      </c>
      <c r="W818" s="82" t="s">
        <v>439</v>
      </c>
      <c r="X818" s="99" t="s">
        <v>2299</v>
      </c>
      <c r="Y818" s="81">
        <v>43173</v>
      </c>
      <c r="Z818" s="83">
        <v>54686940</v>
      </c>
      <c r="AA818" s="84" t="s">
        <v>1742</v>
      </c>
      <c r="AB818" s="85">
        <v>732</v>
      </c>
      <c r="AC818" s="81">
        <v>43175</v>
      </c>
      <c r="AD818" s="86">
        <v>54686940</v>
      </c>
      <c r="AE818" s="87">
        <f t="shared" si="82"/>
        <v>0</v>
      </c>
      <c r="AF818" s="85">
        <v>1788</v>
      </c>
      <c r="AG818" s="81">
        <v>43202</v>
      </c>
      <c r="AH818" s="86">
        <v>54686940</v>
      </c>
      <c r="AI818" s="63" t="s">
        <v>2300</v>
      </c>
      <c r="AJ818" s="63">
        <v>1841</v>
      </c>
      <c r="AK818" s="87">
        <f t="shared" si="84"/>
        <v>0</v>
      </c>
      <c r="AL818" s="86">
        <v>54686940</v>
      </c>
      <c r="AM818" s="86">
        <f t="shared" si="85"/>
        <v>0</v>
      </c>
      <c r="AN818" s="63" t="s">
        <v>1155</v>
      </c>
      <c r="AO818" s="86">
        <f t="shared" si="86"/>
        <v>0</v>
      </c>
      <c r="AP818" s="63"/>
      <c r="AQ818" s="81">
        <v>43172</v>
      </c>
      <c r="AR818" s="63" t="s">
        <v>2109</v>
      </c>
      <c r="AS818" s="81">
        <v>43173</v>
      </c>
      <c r="AT818" s="63" t="s">
        <v>2298</v>
      </c>
      <c r="AU818" s="220"/>
      <c r="AV818" s="220"/>
      <c r="AW818" s="220"/>
    </row>
    <row r="819" spans="1:49" s="221" customFormat="1" ht="370.5" x14ac:dyDescent="0.25">
      <c r="A819" s="63">
        <v>405</v>
      </c>
      <c r="B819" s="63" t="str">
        <f t="shared" si="83"/>
        <v>3075-405</v>
      </c>
      <c r="C819" s="76" t="s">
        <v>1141</v>
      </c>
      <c r="D819" s="76" t="s">
        <v>1142</v>
      </c>
      <c r="E819" s="76" t="s">
        <v>1424</v>
      </c>
      <c r="F819" s="76" t="s">
        <v>1175</v>
      </c>
      <c r="G819" s="77" t="s">
        <v>1176</v>
      </c>
      <c r="H819" s="78" t="s">
        <v>1425</v>
      </c>
      <c r="I819" s="76" t="s">
        <v>1147</v>
      </c>
      <c r="J819" s="76" t="s">
        <v>1148</v>
      </c>
      <c r="K819" s="76" t="s">
        <v>439</v>
      </c>
      <c r="L819" s="63" t="s">
        <v>1149</v>
      </c>
      <c r="M819" s="63" t="s">
        <v>58</v>
      </c>
      <c r="N819" s="63" t="s">
        <v>59</v>
      </c>
      <c r="O819" s="76" t="s">
        <v>1213</v>
      </c>
      <c r="P819" s="63" t="s">
        <v>2301</v>
      </c>
      <c r="Q819" s="83">
        <v>54686940</v>
      </c>
      <c r="R819" s="98">
        <v>1</v>
      </c>
      <c r="S819" s="80">
        <v>54686940</v>
      </c>
      <c r="T819" s="63" t="s">
        <v>1171</v>
      </c>
      <c r="U819" s="63" t="s">
        <v>1171</v>
      </c>
      <c r="V819" s="81" t="s">
        <v>411</v>
      </c>
      <c r="W819" s="82" t="s">
        <v>439</v>
      </c>
      <c r="X819" s="99" t="s">
        <v>2302</v>
      </c>
      <c r="Y819" s="81">
        <v>43173</v>
      </c>
      <c r="Z819" s="83">
        <v>54686940</v>
      </c>
      <c r="AA819" s="84" t="s">
        <v>1742</v>
      </c>
      <c r="AB819" s="85">
        <v>734</v>
      </c>
      <c r="AC819" s="81">
        <v>43175</v>
      </c>
      <c r="AD819" s="86">
        <v>54686940</v>
      </c>
      <c r="AE819" s="87">
        <f t="shared" si="82"/>
        <v>0</v>
      </c>
      <c r="AF819" s="85">
        <v>1789</v>
      </c>
      <c r="AG819" s="81">
        <v>43202</v>
      </c>
      <c r="AH819" s="86">
        <v>54686940</v>
      </c>
      <c r="AI819" s="63" t="s">
        <v>2303</v>
      </c>
      <c r="AJ819" s="63">
        <v>1848</v>
      </c>
      <c r="AK819" s="87">
        <f t="shared" si="84"/>
        <v>0</v>
      </c>
      <c r="AL819" s="86">
        <v>54686940</v>
      </c>
      <c r="AM819" s="86">
        <f t="shared" si="85"/>
        <v>0</v>
      </c>
      <c r="AN819" s="63" t="s">
        <v>1155</v>
      </c>
      <c r="AO819" s="86">
        <f t="shared" si="86"/>
        <v>0</v>
      </c>
      <c r="AP819" s="63"/>
      <c r="AQ819" s="81">
        <v>43172</v>
      </c>
      <c r="AR819" s="63" t="s">
        <v>2109</v>
      </c>
      <c r="AS819" s="81">
        <v>43173</v>
      </c>
      <c r="AT819" s="63" t="s">
        <v>2301</v>
      </c>
      <c r="AU819" s="220"/>
      <c r="AV819" s="220"/>
      <c r="AW819" s="220"/>
    </row>
    <row r="820" spans="1:49" s="221" customFormat="1" ht="370.5" x14ac:dyDescent="0.25">
      <c r="A820" s="63">
        <v>406</v>
      </c>
      <c r="B820" s="63" t="str">
        <f t="shared" si="83"/>
        <v>3075-406</v>
      </c>
      <c r="C820" s="76" t="s">
        <v>1141</v>
      </c>
      <c r="D820" s="76" t="s">
        <v>1142</v>
      </c>
      <c r="E820" s="76" t="s">
        <v>1424</v>
      </c>
      <c r="F820" s="76" t="s">
        <v>1175</v>
      </c>
      <c r="G820" s="77" t="s">
        <v>1176</v>
      </c>
      <c r="H820" s="78" t="s">
        <v>1425</v>
      </c>
      <c r="I820" s="76" t="s">
        <v>1147</v>
      </c>
      <c r="J820" s="76" t="s">
        <v>1148</v>
      </c>
      <c r="K820" s="76" t="s">
        <v>439</v>
      </c>
      <c r="L820" s="63" t="s">
        <v>1149</v>
      </c>
      <c r="M820" s="63" t="s">
        <v>58</v>
      </c>
      <c r="N820" s="63" t="s">
        <v>59</v>
      </c>
      <c r="O820" s="76" t="s">
        <v>1213</v>
      </c>
      <c r="P820" s="63" t="s">
        <v>2304</v>
      </c>
      <c r="Q820" s="83">
        <v>54686940</v>
      </c>
      <c r="R820" s="98">
        <v>1</v>
      </c>
      <c r="S820" s="80">
        <v>54686940</v>
      </c>
      <c r="T820" s="63" t="s">
        <v>1171</v>
      </c>
      <c r="U820" s="63" t="s">
        <v>1171</v>
      </c>
      <c r="V820" s="81" t="s">
        <v>411</v>
      </c>
      <c r="W820" s="82" t="s">
        <v>439</v>
      </c>
      <c r="X820" s="99" t="s">
        <v>2305</v>
      </c>
      <c r="Y820" s="81">
        <v>43173</v>
      </c>
      <c r="Z820" s="83">
        <v>54686940</v>
      </c>
      <c r="AA820" s="84" t="s">
        <v>1742</v>
      </c>
      <c r="AB820" s="85">
        <v>735</v>
      </c>
      <c r="AC820" s="81">
        <v>43175</v>
      </c>
      <c r="AD820" s="86">
        <v>54686940</v>
      </c>
      <c r="AE820" s="87">
        <f t="shared" si="82"/>
        <v>0</v>
      </c>
      <c r="AF820" s="85">
        <v>1783</v>
      </c>
      <c r="AG820" s="81">
        <v>43202</v>
      </c>
      <c r="AH820" s="86">
        <v>54686940</v>
      </c>
      <c r="AI820" s="63" t="s">
        <v>2306</v>
      </c>
      <c r="AJ820" s="63">
        <v>1839</v>
      </c>
      <c r="AK820" s="87">
        <f t="shared" si="84"/>
        <v>0</v>
      </c>
      <c r="AL820" s="86">
        <v>54686940</v>
      </c>
      <c r="AM820" s="86">
        <f t="shared" si="85"/>
        <v>0</v>
      </c>
      <c r="AN820" s="63" t="s">
        <v>1155</v>
      </c>
      <c r="AO820" s="86">
        <f t="shared" si="86"/>
        <v>0</v>
      </c>
      <c r="AP820" s="63"/>
      <c r="AQ820" s="81">
        <v>43172</v>
      </c>
      <c r="AR820" s="63" t="s">
        <v>2109</v>
      </c>
      <c r="AS820" s="81">
        <v>43173</v>
      </c>
      <c r="AT820" s="63" t="s">
        <v>2304</v>
      </c>
      <c r="AU820" s="220"/>
      <c r="AV820" s="220"/>
      <c r="AW820" s="220"/>
    </row>
    <row r="821" spans="1:49" s="221" customFormat="1" ht="228" x14ac:dyDescent="0.25">
      <c r="A821" s="63">
        <v>407</v>
      </c>
      <c r="B821" s="63" t="str">
        <f t="shared" si="83"/>
        <v>3075-407</v>
      </c>
      <c r="C821" s="76" t="s">
        <v>1141</v>
      </c>
      <c r="D821" s="76" t="s">
        <v>1142</v>
      </c>
      <c r="E821" s="76" t="s">
        <v>1174</v>
      </c>
      <c r="F821" s="76" t="s">
        <v>1175</v>
      </c>
      <c r="G821" s="77" t="s">
        <v>1176</v>
      </c>
      <c r="H821" s="78" t="s">
        <v>1177</v>
      </c>
      <c r="I821" s="76" t="s">
        <v>1147</v>
      </c>
      <c r="J821" s="76" t="s">
        <v>1178</v>
      </c>
      <c r="K821" s="76" t="s">
        <v>439</v>
      </c>
      <c r="L821" s="63" t="s">
        <v>1149</v>
      </c>
      <c r="M821" s="63" t="s">
        <v>58</v>
      </c>
      <c r="N821" s="63" t="s">
        <v>59</v>
      </c>
      <c r="O821" s="76" t="s">
        <v>1169</v>
      </c>
      <c r="P821" s="76" t="s">
        <v>2307</v>
      </c>
      <c r="Q821" s="79">
        <v>39062100</v>
      </c>
      <c r="R821" s="63">
        <v>1</v>
      </c>
      <c r="S821" s="80">
        <v>39062100</v>
      </c>
      <c r="T821" s="63" t="s">
        <v>1171</v>
      </c>
      <c r="U821" s="63" t="s">
        <v>1171</v>
      </c>
      <c r="V821" s="81" t="s">
        <v>411</v>
      </c>
      <c r="W821" s="82" t="s">
        <v>439</v>
      </c>
      <c r="X821" s="99" t="s">
        <v>2308</v>
      </c>
      <c r="Y821" s="81">
        <v>43173</v>
      </c>
      <c r="Z821" s="83">
        <v>39062100</v>
      </c>
      <c r="AA821" s="84" t="s">
        <v>2024</v>
      </c>
      <c r="AB821" s="85">
        <v>737</v>
      </c>
      <c r="AC821" s="81">
        <v>43175</v>
      </c>
      <c r="AD821" s="86">
        <v>39062100</v>
      </c>
      <c r="AE821" s="87">
        <f t="shared" si="82"/>
        <v>0</v>
      </c>
      <c r="AF821" s="85">
        <v>1761</v>
      </c>
      <c r="AG821" s="81">
        <v>43201</v>
      </c>
      <c r="AH821" s="86">
        <v>39062100</v>
      </c>
      <c r="AI821" s="63" t="s">
        <v>2309</v>
      </c>
      <c r="AJ821" s="63">
        <v>1783</v>
      </c>
      <c r="AK821" s="87">
        <f t="shared" si="84"/>
        <v>0</v>
      </c>
      <c r="AL821" s="86">
        <v>39062100</v>
      </c>
      <c r="AM821" s="86">
        <f t="shared" si="85"/>
        <v>0</v>
      </c>
      <c r="AN821" s="63" t="s">
        <v>1155</v>
      </c>
      <c r="AO821" s="86">
        <f t="shared" si="86"/>
        <v>0</v>
      </c>
      <c r="AP821" s="63"/>
      <c r="AQ821" s="81">
        <v>43172</v>
      </c>
      <c r="AR821" s="63" t="s">
        <v>2109</v>
      </c>
      <c r="AS821" s="81">
        <v>43173</v>
      </c>
      <c r="AT821" s="63" t="s">
        <v>2307</v>
      </c>
      <c r="AU821" s="220"/>
      <c r="AV821" s="220"/>
      <c r="AW821" s="220"/>
    </row>
    <row r="822" spans="1:49" s="221" customFormat="1" ht="228" x14ac:dyDescent="0.25">
      <c r="A822" s="63">
        <v>408</v>
      </c>
      <c r="B822" s="63" t="str">
        <f t="shared" si="83"/>
        <v>3075-408</v>
      </c>
      <c r="C822" s="76" t="s">
        <v>1141</v>
      </c>
      <c r="D822" s="76" t="s">
        <v>1142</v>
      </c>
      <c r="E822" s="76" t="s">
        <v>1174</v>
      </c>
      <c r="F822" s="76" t="s">
        <v>1175</v>
      </c>
      <c r="G822" s="77" t="s">
        <v>1176</v>
      </c>
      <c r="H822" s="78" t="s">
        <v>1177</v>
      </c>
      <c r="I822" s="76" t="s">
        <v>1147</v>
      </c>
      <c r="J822" s="76" t="s">
        <v>1178</v>
      </c>
      <c r="K822" s="76" t="s">
        <v>439</v>
      </c>
      <c r="L822" s="63" t="s">
        <v>1149</v>
      </c>
      <c r="M822" s="63" t="s">
        <v>58</v>
      </c>
      <c r="N822" s="63" t="s">
        <v>59</v>
      </c>
      <c r="O822" s="76" t="s">
        <v>1169</v>
      </c>
      <c r="P822" s="76" t="s">
        <v>2310</v>
      </c>
      <c r="Q822" s="79">
        <v>39062100</v>
      </c>
      <c r="R822" s="63">
        <v>1</v>
      </c>
      <c r="S822" s="80">
        <v>39062100</v>
      </c>
      <c r="T822" s="63" t="s">
        <v>1171</v>
      </c>
      <c r="U822" s="63" t="s">
        <v>1171</v>
      </c>
      <c r="V822" s="81" t="s">
        <v>411</v>
      </c>
      <c r="W822" s="82" t="s">
        <v>439</v>
      </c>
      <c r="X822" s="99" t="s">
        <v>2311</v>
      </c>
      <c r="Y822" s="81">
        <v>43173</v>
      </c>
      <c r="Z822" s="83">
        <v>39062100</v>
      </c>
      <c r="AA822" s="84" t="s">
        <v>2024</v>
      </c>
      <c r="AB822" s="85">
        <v>739</v>
      </c>
      <c r="AC822" s="81">
        <v>43175</v>
      </c>
      <c r="AD822" s="86">
        <v>39062100</v>
      </c>
      <c r="AE822" s="87">
        <f t="shared" si="82"/>
        <v>0</v>
      </c>
      <c r="AF822" s="85">
        <v>1792</v>
      </c>
      <c r="AG822" s="81">
        <v>43203</v>
      </c>
      <c r="AH822" s="86">
        <v>39062100</v>
      </c>
      <c r="AI822" s="63" t="s">
        <v>2312</v>
      </c>
      <c r="AJ822" s="63">
        <v>1862</v>
      </c>
      <c r="AK822" s="87">
        <f t="shared" si="84"/>
        <v>0</v>
      </c>
      <c r="AL822" s="86">
        <v>0</v>
      </c>
      <c r="AM822" s="86">
        <f t="shared" si="85"/>
        <v>39062100</v>
      </c>
      <c r="AN822" s="63" t="s">
        <v>1155</v>
      </c>
      <c r="AO822" s="86">
        <f t="shared" si="86"/>
        <v>0</v>
      </c>
      <c r="AP822" s="63"/>
      <c r="AQ822" s="81">
        <v>43172</v>
      </c>
      <c r="AR822" s="63" t="s">
        <v>2109</v>
      </c>
      <c r="AS822" s="81">
        <v>43173</v>
      </c>
      <c r="AT822" s="63" t="s">
        <v>2310</v>
      </c>
      <c r="AU822" s="220"/>
      <c r="AV822" s="220"/>
      <c r="AW822" s="220"/>
    </row>
    <row r="823" spans="1:49" s="221" customFormat="1" ht="156.75" x14ac:dyDescent="0.25">
      <c r="A823" s="63">
        <v>409</v>
      </c>
      <c r="B823" s="63" t="str">
        <f t="shared" si="83"/>
        <v>3075-409</v>
      </c>
      <c r="C823" s="76" t="s">
        <v>1141</v>
      </c>
      <c r="D823" s="76" t="s">
        <v>1142</v>
      </c>
      <c r="E823" s="76" t="s">
        <v>1174</v>
      </c>
      <c r="F823" s="76" t="s">
        <v>1175</v>
      </c>
      <c r="G823" s="77" t="s">
        <v>1176</v>
      </c>
      <c r="H823" s="78" t="s">
        <v>1177</v>
      </c>
      <c r="I823" s="76" t="s">
        <v>1147</v>
      </c>
      <c r="J823" s="76" t="s">
        <v>1178</v>
      </c>
      <c r="K823" s="76" t="s">
        <v>439</v>
      </c>
      <c r="L823" s="63" t="s">
        <v>1149</v>
      </c>
      <c r="M823" s="63" t="s">
        <v>58</v>
      </c>
      <c r="N823" s="63" t="s">
        <v>59</v>
      </c>
      <c r="O823" s="76" t="s">
        <v>1169</v>
      </c>
      <c r="P823" s="76" t="s">
        <v>2313</v>
      </c>
      <c r="Q823" s="79">
        <v>39062100</v>
      </c>
      <c r="R823" s="63">
        <v>1</v>
      </c>
      <c r="S823" s="80">
        <v>39062100</v>
      </c>
      <c r="T823" s="63"/>
      <c r="U823" s="63" t="s">
        <v>1171</v>
      </c>
      <c r="V823" s="81" t="s">
        <v>1164</v>
      </c>
      <c r="W823" s="82" t="s">
        <v>439</v>
      </c>
      <c r="X823" s="99" t="s">
        <v>2314</v>
      </c>
      <c r="Y823" s="81">
        <v>43173</v>
      </c>
      <c r="Z823" s="83">
        <f>39062100-39062100</f>
        <v>0</v>
      </c>
      <c r="AA823" s="84" t="s">
        <v>2024</v>
      </c>
      <c r="AB823" s="85" t="s">
        <v>2315</v>
      </c>
      <c r="AC823" s="81">
        <v>43175</v>
      </c>
      <c r="AD823" s="86">
        <v>0</v>
      </c>
      <c r="AE823" s="87">
        <f t="shared" si="82"/>
        <v>39062100</v>
      </c>
      <c r="AF823" s="85"/>
      <c r="AG823" s="81"/>
      <c r="AH823" s="86"/>
      <c r="AI823" s="63"/>
      <c r="AJ823" s="63"/>
      <c r="AK823" s="87">
        <f t="shared" si="84"/>
        <v>0</v>
      </c>
      <c r="AL823" s="86"/>
      <c r="AM823" s="86">
        <f t="shared" si="85"/>
        <v>0</v>
      </c>
      <c r="AN823" s="63" t="s">
        <v>1155</v>
      </c>
      <c r="AO823" s="86">
        <f t="shared" si="86"/>
        <v>39062100</v>
      </c>
      <c r="AP823" s="63"/>
      <c r="AQ823" s="81">
        <v>43172</v>
      </c>
      <c r="AR823" s="63" t="s">
        <v>2109</v>
      </c>
      <c r="AS823" s="81">
        <v>43173</v>
      </c>
      <c r="AT823" s="63"/>
      <c r="AU823" s="220"/>
      <c r="AV823" s="220"/>
      <c r="AW823" s="220"/>
    </row>
    <row r="824" spans="1:49" s="221" customFormat="1" ht="128.25" x14ac:dyDescent="0.25">
      <c r="A824" s="63">
        <v>410</v>
      </c>
      <c r="B824" s="63" t="str">
        <f t="shared" si="83"/>
        <v>3075-410</v>
      </c>
      <c r="C824" s="76" t="s">
        <v>1141</v>
      </c>
      <c r="D824" s="76" t="s">
        <v>1142</v>
      </c>
      <c r="E824" s="76" t="s">
        <v>1165</v>
      </c>
      <c r="F824" s="76" t="s">
        <v>1166</v>
      </c>
      <c r="G824" s="77" t="s">
        <v>1167</v>
      </c>
      <c r="H824" s="78" t="s">
        <v>1168</v>
      </c>
      <c r="I824" s="76" t="s">
        <v>1147</v>
      </c>
      <c r="J824" s="76" t="s">
        <v>1148</v>
      </c>
      <c r="K824" s="76" t="s">
        <v>439</v>
      </c>
      <c r="L824" s="63" t="s">
        <v>1149</v>
      </c>
      <c r="M824" s="63" t="s">
        <v>58</v>
      </c>
      <c r="N824" s="63" t="s">
        <v>59</v>
      </c>
      <c r="O824" s="76" t="s">
        <v>1169</v>
      </c>
      <c r="P824" s="63" t="s">
        <v>2228</v>
      </c>
      <c r="Q824" s="79">
        <v>119476956</v>
      </c>
      <c r="R824" s="63">
        <v>1</v>
      </c>
      <c r="S824" s="80">
        <f>119476956+33401186-152878142</f>
        <v>0</v>
      </c>
      <c r="T824" s="63"/>
      <c r="U824" s="63"/>
      <c r="V824" s="81"/>
      <c r="W824" s="82"/>
      <c r="X824" s="99" t="s">
        <v>2316</v>
      </c>
      <c r="Y824" s="81">
        <v>43215</v>
      </c>
      <c r="Z824" s="83">
        <f>152878142-152878142</f>
        <v>0</v>
      </c>
      <c r="AA824" s="84" t="s">
        <v>2317</v>
      </c>
      <c r="AB824" s="85"/>
      <c r="AC824" s="81">
        <v>43216</v>
      </c>
      <c r="AD824" s="86">
        <v>0</v>
      </c>
      <c r="AE824" s="87">
        <f t="shared" si="82"/>
        <v>0</v>
      </c>
      <c r="AF824" s="85"/>
      <c r="AG824" s="81"/>
      <c r="AH824" s="86"/>
      <c r="AI824" s="63"/>
      <c r="AJ824" s="63"/>
      <c r="AK824" s="87">
        <f t="shared" si="84"/>
        <v>0</v>
      </c>
      <c r="AL824" s="86"/>
      <c r="AM824" s="86">
        <f t="shared" si="85"/>
        <v>0</v>
      </c>
      <c r="AN824" s="63" t="s">
        <v>1155</v>
      </c>
      <c r="AO824" s="86">
        <f t="shared" si="86"/>
        <v>0</v>
      </c>
      <c r="AP824" s="63" t="s">
        <v>2318</v>
      </c>
      <c r="AQ824" s="81">
        <v>43215</v>
      </c>
      <c r="AR824" s="63" t="s">
        <v>1157</v>
      </c>
      <c r="AS824" s="81">
        <v>43215</v>
      </c>
      <c r="AT824" s="63" t="s">
        <v>2228</v>
      </c>
      <c r="AU824" s="220"/>
      <c r="AV824" s="220"/>
      <c r="AW824" s="220"/>
    </row>
    <row r="825" spans="1:49" s="221" customFormat="1" ht="156.75" x14ac:dyDescent="0.25">
      <c r="A825" s="63">
        <v>411</v>
      </c>
      <c r="B825" s="63" t="str">
        <f t="shared" si="83"/>
        <v>3075-411</v>
      </c>
      <c r="C825" s="76" t="s">
        <v>1141</v>
      </c>
      <c r="D825" s="76" t="s">
        <v>1142</v>
      </c>
      <c r="E825" s="76" t="s">
        <v>1174</v>
      </c>
      <c r="F825" s="76" t="s">
        <v>1175</v>
      </c>
      <c r="G825" s="77" t="s">
        <v>1176</v>
      </c>
      <c r="H825" s="78" t="s">
        <v>1177</v>
      </c>
      <c r="I825" s="76" t="s">
        <v>1147</v>
      </c>
      <c r="J825" s="76" t="s">
        <v>1148</v>
      </c>
      <c r="K825" s="76" t="s">
        <v>439</v>
      </c>
      <c r="L825" s="63" t="s">
        <v>1149</v>
      </c>
      <c r="M825" s="63" t="s">
        <v>58</v>
      </c>
      <c r="N825" s="63" t="s">
        <v>59</v>
      </c>
      <c r="O825" s="76" t="s">
        <v>1169</v>
      </c>
      <c r="P825" s="63" t="s">
        <v>2228</v>
      </c>
      <c r="Q825" s="79">
        <v>37295000</v>
      </c>
      <c r="R825" s="63">
        <v>1</v>
      </c>
      <c r="S825" s="80">
        <f>37295000-29475000-1000000-6820000</f>
        <v>0</v>
      </c>
      <c r="T825" s="63"/>
      <c r="U825" s="63"/>
      <c r="V825" s="81"/>
      <c r="W825" s="82"/>
      <c r="X825" s="99" t="s">
        <v>2319</v>
      </c>
      <c r="Y825" s="81">
        <v>43248</v>
      </c>
      <c r="Z825" s="83">
        <f>6820000-6820000</f>
        <v>0</v>
      </c>
      <c r="AA825" s="84" t="s">
        <v>1786</v>
      </c>
      <c r="AB825" s="85"/>
      <c r="AC825" s="81">
        <v>43248</v>
      </c>
      <c r="AD825" s="86">
        <v>0</v>
      </c>
      <c r="AE825" s="87">
        <f t="shared" si="82"/>
        <v>0</v>
      </c>
      <c r="AF825" s="85"/>
      <c r="AG825" s="81"/>
      <c r="AH825" s="86"/>
      <c r="AI825" s="63"/>
      <c r="AJ825" s="63"/>
      <c r="AK825" s="87">
        <f t="shared" si="84"/>
        <v>0</v>
      </c>
      <c r="AL825" s="86"/>
      <c r="AM825" s="86">
        <f t="shared" si="85"/>
        <v>0</v>
      </c>
      <c r="AN825" s="63" t="s">
        <v>1155</v>
      </c>
      <c r="AO825" s="86">
        <f t="shared" si="86"/>
        <v>0</v>
      </c>
      <c r="AP825" s="63" t="s">
        <v>2318</v>
      </c>
      <c r="AQ825" s="81">
        <v>43248</v>
      </c>
      <c r="AR825" s="63" t="s">
        <v>1157</v>
      </c>
      <c r="AS825" s="81">
        <v>43248</v>
      </c>
      <c r="AT825" s="63" t="s">
        <v>2228</v>
      </c>
      <c r="AU825" s="220"/>
      <c r="AV825" s="220"/>
      <c r="AW825" s="220"/>
    </row>
    <row r="826" spans="1:49" s="221" customFormat="1" ht="313.5" x14ac:dyDescent="0.25">
      <c r="A826" s="63">
        <v>412</v>
      </c>
      <c r="B826" s="63" t="str">
        <f t="shared" si="83"/>
        <v>3075-412</v>
      </c>
      <c r="C826" s="76" t="s">
        <v>1141</v>
      </c>
      <c r="D826" s="76" t="s">
        <v>1142</v>
      </c>
      <c r="E826" s="76" t="s">
        <v>1143</v>
      </c>
      <c r="F826" s="76" t="s">
        <v>1166</v>
      </c>
      <c r="G826" s="88" t="s">
        <v>2053</v>
      </c>
      <c r="H826" s="92" t="s">
        <v>2054</v>
      </c>
      <c r="I826" s="76" t="s">
        <v>1147</v>
      </c>
      <c r="J826" s="76" t="s">
        <v>1148</v>
      </c>
      <c r="K826" s="93" t="s">
        <v>439</v>
      </c>
      <c r="L826" s="63" t="s">
        <v>1149</v>
      </c>
      <c r="M826" s="63" t="s">
        <v>58</v>
      </c>
      <c r="N826" s="63" t="s">
        <v>59</v>
      </c>
      <c r="O826" s="76" t="s">
        <v>1199</v>
      </c>
      <c r="P826" s="76" t="s">
        <v>2320</v>
      </c>
      <c r="Q826" s="83">
        <v>122953</v>
      </c>
      <c r="R826" s="63">
        <v>1</v>
      </c>
      <c r="S826" s="80">
        <v>122953</v>
      </c>
      <c r="T826" s="63" t="s">
        <v>1171</v>
      </c>
      <c r="U826" s="63" t="s">
        <v>1171</v>
      </c>
      <c r="V826" s="81" t="s">
        <v>411</v>
      </c>
      <c r="W826" s="82" t="s">
        <v>439</v>
      </c>
      <c r="X826" s="63" t="s">
        <v>2321</v>
      </c>
      <c r="Y826" s="89">
        <v>43174</v>
      </c>
      <c r="Z826" s="83">
        <v>122953</v>
      </c>
      <c r="AA826" s="84" t="s">
        <v>2322</v>
      </c>
      <c r="AB826" s="85">
        <v>718</v>
      </c>
      <c r="AC826" s="81">
        <v>43174</v>
      </c>
      <c r="AD826" s="86">
        <v>122953</v>
      </c>
      <c r="AE826" s="87">
        <f t="shared" si="82"/>
        <v>0</v>
      </c>
      <c r="AF826" s="85">
        <v>1778</v>
      </c>
      <c r="AG826" s="81">
        <v>43202</v>
      </c>
      <c r="AH826" s="86">
        <v>122953</v>
      </c>
      <c r="AI826" s="63" t="s">
        <v>2058</v>
      </c>
      <c r="AJ826" s="63">
        <v>1758</v>
      </c>
      <c r="AK826" s="87">
        <f t="shared" si="84"/>
        <v>0</v>
      </c>
      <c r="AL826" s="86">
        <v>122953</v>
      </c>
      <c r="AM826" s="86">
        <f t="shared" si="85"/>
        <v>0</v>
      </c>
      <c r="AN826" s="63" t="s">
        <v>1155</v>
      </c>
      <c r="AO826" s="86">
        <f t="shared" si="86"/>
        <v>0</v>
      </c>
      <c r="AP826" s="63"/>
      <c r="AQ826" s="81">
        <v>43173</v>
      </c>
      <c r="AR826" s="63" t="s">
        <v>2109</v>
      </c>
      <c r="AS826" s="81">
        <v>43174</v>
      </c>
      <c r="AT826" s="63" t="s">
        <v>2323</v>
      </c>
      <c r="AU826" s="220"/>
      <c r="AV826" s="220"/>
      <c r="AW826" s="220"/>
    </row>
    <row r="827" spans="1:49" s="221" customFormat="1" ht="342" x14ac:dyDescent="0.25">
      <c r="A827" s="63">
        <v>413</v>
      </c>
      <c r="B827" s="63" t="str">
        <f t="shared" si="83"/>
        <v>3075-413</v>
      </c>
      <c r="C827" s="76" t="s">
        <v>1141</v>
      </c>
      <c r="D827" s="76" t="s">
        <v>1142</v>
      </c>
      <c r="E827" s="76" t="s">
        <v>1424</v>
      </c>
      <c r="F827" s="76" t="s">
        <v>1175</v>
      </c>
      <c r="G827" s="77" t="s">
        <v>1176</v>
      </c>
      <c r="H827" s="78" t="s">
        <v>1425</v>
      </c>
      <c r="I827" s="76" t="s">
        <v>1147</v>
      </c>
      <c r="J827" s="76" t="s">
        <v>1148</v>
      </c>
      <c r="K827" s="76" t="s">
        <v>439</v>
      </c>
      <c r="L827" s="63" t="s">
        <v>1149</v>
      </c>
      <c r="M827" s="63" t="s">
        <v>58</v>
      </c>
      <c r="N827" s="63" t="s">
        <v>59</v>
      </c>
      <c r="O827" s="76" t="s">
        <v>1213</v>
      </c>
      <c r="P827" s="63" t="s">
        <v>2324</v>
      </c>
      <c r="Q827" s="83">
        <v>54686940</v>
      </c>
      <c r="R827" s="98">
        <v>1</v>
      </c>
      <c r="S827" s="80">
        <v>54686940</v>
      </c>
      <c r="T827" s="63" t="s">
        <v>1171</v>
      </c>
      <c r="U827" s="63" t="s">
        <v>1171</v>
      </c>
      <c r="V827" s="81" t="s">
        <v>411</v>
      </c>
      <c r="W827" s="82" t="s">
        <v>439</v>
      </c>
      <c r="X827" s="99" t="s">
        <v>2325</v>
      </c>
      <c r="Y827" s="81">
        <v>43175</v>
      </c>
      <c r="Z827" s="83">
        <v>54686940</v>
      </c>
      <c r="AA827" s="84" t="s">
        <v>1742</v>
      </c>
      <c r="AB827" s="85">
        <v>750</v>
      </c>
      <c r="AC827" s="81">
        <v>43179</v>
      </c>
      <c r="AD827" s="86">
        <v>54686940</v>
      </c>
      <c r="AE827" s="87">
        <f t="shared" si="82"/>
        <v>0</v>
      </c>
      <c r="AF827" s="85">
        <v>1816</v>
      </c>
      <c r="AG827" s="81">
        <v>43209</v>
      </c>
      <c r="AH827" s="86">
        <v>54686940</v>
      </c>
      <c r="AI827" s="63" t="s">
        <v>2326</v>
      </c>
      <c r="AJ827" s="63">
        <v>1870</v>
      </c>
      <c r="AK827" s="87">
        <f t="shared" si="84"/>
        <v>0</v>
      </c>
      <c r="AL827" s="86">
        <v>54686940</v>
      </c>
      <c r="AM827" s="86">
        <f t="shared" si="85"/>
        <v>0</v>
      </c>
      <c r="AN827" s="63" t="s">
        <v>1155</v>
      </c>
      <c r="AO827" s="86">
        <f t="shared" si="86"/>
        <v>0</v>
      </c>
      <c r="AP827" s="63"/>
      <c r="AQ827" s="63" t="s">
        <v>2327</v>
      </c>
      <c r="AR827" s="63" t="s">
        <v>2109</v>
      </c>
      <c r="AS827" s="81">
        <v>43175</v>
      </c>
      <c r="AT827" s="63"/>
      <c r="AU827" s="220"/>
      <c r="AV827" s="220"/>
      <c r="AW827" s="220"/>
    </row>
    <row r="828" spans="1:49" s="221" customFormat="1" ht="342" x14ac:dyDescent="0.25">
      <c r="A828" s="63">
        <v>414</v>
      </c>
      <c r="B828" s="63" t="str">
        <f t="shared" si="83"/>
        <v>3075-414</v>
      </c>
      <c r="C828" s="76" t="s">
        <v>1141</v>
      </c>
      <c r="D828" s="76" t="s">
        <v>1142</v>
      </c>
      <c r="E828" s="76" t="s">
        <v>1424</v>
      </c>
      <c r="F828" s="76" t="s">
        <v>1175</v>
      </c>
      <c r="G828" s="77" t="s">
        <v>1176</v>
      </c>
      <c r="H828" s="78" t="s">
        <v>1425</v>
      </c>
      <c r="I828" s="76" t="s">
        <v>1147</v>
      </c>
      <c r="J828" s="76" t="s">
        <v>1148</v>
      </c>
      <c r="K828" s="76" t="s">
        <v>439</v>
      </c>
      <c r="L828" s="63" t="s">
        <v>1149</v>
      </c>
      <c r="M828" s="63" t="s">
        <v>58</v>
      </c>
      <c r="N828" s="63" t="s">
        <v>59</v>
      </c>
      <c r="O828" s="76" t="s">
        <v>1213</v>
      </c>
      <c r="P828" s="63" t="s">
        <v>2328</v>
      </c>
      <c r="Q828" s="83">
        <v>54686940</v>
      </c>
      <c r="R828" s="98">
        <v>1</v>
      </c>
      <c r="S828" s="80">
        <v>54686940</v>
      </c>
      <c r="T828" s="63" t="s">
        <v>1171</v>
      </c>
      <c r="U828" s="63" t="s">
        <v>1171</v>
      </c>
      <c r="V828" s="81" t="s">
        <v>411</v>
      </c>
      <c r="W828" s="82" t="s">
        <v>439</v>
      </c>
      <c r="X828" s="63" t="s">
        <v>2329</v>
      </c>
      <c r="Y828" s="81">
        <v>43175</v>
      </c>
      <c r="Z828" s="83">
        <v>54686940</v>
      </c>
      <c r="AA828" s="84" t="s">
        <v>1742</v>
      </c>
      <c r="AB828" s="85">
        <v>751</v>
      </c>
      <c r="AC828" s="81">
        <v>43179</v>
      </c>
      <c r="AD828" s="86">
        <v>54686940</v>
      </c>
      <c r="AE828" s="87">
        <f t="shared" si="82"/>
        <v>0</v>
      </c>
      <c r="AF828" s="85">
        <v>1826</v>
      </c>
      <c r="AG828" s="81">
        <v>43210</v>
      </c>
      <c r="AH828" s="86">
        <v>54686940</v>
      </c>
      <c r="AI828" s="63" t="s">
        <v>2330</v>
      </c>
      <c r="AJ828" s="63">
        <v>1876</v>
      </c>
      <c r="AK828" s="87">
        <f t="shared" si="84"/>
        <v>0</v>
      </c>
      <c r="AL828" s="86">
        <v>54686940</v>
      </c>
      <c r="AM828" s="86">
        <f t="shared" si="85"/>
        <v>0</v>
      </c>
      <c r="AN828" s="63" t="s">
        <v>1155</v>
      </c>
      <c r="AO828" s="86">
        <f t="shared" si="86"/>
        <v>0</v>
      </c>
      <c r="AP828" s="63"/>
      <c r="AQ828" s="63" t="s">
        <v>2327</v>
      </c>
      <c r="AR828" s="63" t="s">
        <v>2109</v>
      </c>
      <c r="AS828" s="81">
        <v>43175</v>
      </c>
      <c r="AT828" s="63"/>
      <c r="AU828" s="220"/>
      <c r="AV828" s="220"/>
      <c r="AW828" s="220"/>
    </row>
    <row r="829" spans="1:49" s="221" customFormat="1" ht="342" x14ac:dyDescent="0.25">
      <c r="A829" s="63">
        <v>415</v>
      </c>
      <c r="B829" s="63" t="str">
        <f t="shared" si="83"/>
        <v>3075-415</v>
      </c>
      <c r="C829" s="76" t="s">
        <v>1141</v>
      </c>
      <c r="D829" s="76" t="s">
        <v>1142</v>
      </c>
      <c r="E829" s="76" t="s">
        <v>1424</v>
      </c>
      <c r="F829" s="76" t="s">
        <v>1175</v>
      </c>
      <c r="G829" s="77" t="s">
        <v>1176</v>
      </c>
      <c r="H829" s="78" t="s">
        <v>1425</v>
      </c>
      <c r="I829" s="76" t="s">
        <v>1147</v>
      </c>
      <c r="J829" s="76" t="s">
        <v>1148</v>
      </c>
      <c r="K829" s="76" t="s">
        <v>439</v>
      </c>
      <c r="L829" s="63" t="s">
        <v>1149</v>
      </c>
      <c r="M829" s="63" t="s">
        <v>58</v>
      </c>
      <c r="N829" s="63" t="s">
        <v>59</v>
      </c>
      <c r="O829" s="76" t="s">
        <v>1213</v>
      </c>
      <c r="P829" s="63" t="s">
        <v>2331</v>
      </c>
      <c r="Q829" s="83">
        <v>54686940</v>
      </c>
      <c r="R829" s="98">
        <v>1</v>
      </c>
      <c r="S829" s="80">
        <v>54686940</v>
      </c>
      <c r="T829" s="63" t="s">
        <v>1171</v>
      </c>
      <c r="U829" s="63" t="s">
        <v>1171</v>
      </c>
      <c r="V829" s="81" t="s">
        <v>411</v>
      </c>
      <c r="W829" s="82" t="s">
        <v>439</v>
      </c>
      <c r="X829" s="99" t="s">
        <v>2332</v>
      </c>
      <c r="Y829" s="81">
        <v>43175</v>
      </c>
      <c r="Z829" s="83">
        <v>54686940</v>
      </c>
      <c r="AA829" s="84" t="s">
        <v>1742</v>
      </c>
      <c r="AB829" s="85">
        <v>752</v>
      </c>
      <c r="AC829" s="81">
        <v>43179</v>
      </c>
      <c r="AD829" s="86">
        <v>54686940</v>
      </c>
      <c r="AE829" s="87">
        <f t="shared" si="82"/>
        <v>0</v>
      </c>
      <c r="AF829" s="85">
        <v>1767</v>
      </c>
      <c r="AG829" s="81">
        <v>43201</v>
      </c>
      <c r="AH829" s="86">
        <v>54686940</v>
      </c>
      <c r="AI829" s="63" t="s">
        <v>2333</v>
      </c>
      <c r="AJ829" s="63">
        <v>1775</v>
      </c>
      <c r="AK829" s="87">
        <f t="shared" si="84"/>
        <v>0</v>
      </c>
      <c r="AL829" s="86">
        <v>54686940</v>
      </c>
      <c r="AM829" s="86">
        <f t="shared" si="85"/>
        <v>0</v>
      </c>
      <c r="AN829" s="63" t="s">
        <v>1155</v>
      </c>
      <c r="AO829" s="86">
        <f t="shared" si="86"/>
        <v>0</v>
      </c>
      <c r="AP829" s="63"/>
      <c r="AQ829" s="63" t="s">
        <v>2327</v>
      </c>
      <c r="AR829" s="63" t="s">
        <v>2109</v>
      </c>
      <c r="AS829" s="81">
        <v>43175</v>
      </c>
      <c r="AT829" s="63"/>
      <c r="AU829" s="220"/>
      <c r="AV829" s="220"/>
      <c r="AW829" s="220"/>
    </row>
    <row r="830" spans="1:49" s="221" customFormat="1" ht="342" x14ac:dyDescent="0.25">
      <c r="A830" s="63">
        <v>416</v>
      </c>
      <c r="B830" s="63" t="str">
        <f t="shared" si="83"/>
        <v>3075-416</v>
      </c>
      <c r="C830" s="76" t="s">
        <v>1141</v>
      </c>
      <c r="D830" s="76" t="s">
        <v>1142</v>
      </c>
      <c r="E830" s="76" t="s">
        <v>1424</v>
      </c>
      <c r="F830" s="76" t="s">
        <v>1175</v>
      </c>
      <c r="G830" s="77" t="s">
        <v>1176</v>
      </c>
      <c r="H830" s="78" t="s">
        <v>1425</v>
      </c>
      <c r="I830" s="76" t="s">
        <v>1147</v>
      </c>
      <c r="J830" s="76" t="s">
        <v>1148</v>
      </c>
      <c r="K830" s="76" t="s">
        <v>439</v>
      </c>
      <c r="L830" s="63" t="s">
        <v>1149</v>
      </c>
      <c r="M830" s="63" t="s">
        <v>58</v>
      </c>
      <c r="N830" s="63" t="s">
        <v>59</v>
      </c>
      <c r="O830" s="76" t="s">
        <v>1213</v>
      </c>
      <c r="P830" s="63" t="s">
        <v>2334</v>
      </c>
      <c r="Q830" s="83">
        <v>54686940</v>
      </c>
      <c r="R830" s="98">
        <v>1</v>
      </c>
      <c r="S830" s="80">
        <v>54686940</v>
      </c>
      <c r="T830" s="63" t="s">
        <v>1171</v>
      </c>
      <c r="U830" s="63" t="s">
        <v>1171</v>
      </c>
      <c r="V830" s="81" t="s">
        <v>411</v>
      </c>
      <c r="W830" s="82" t="s">
        <v>439</v>
      </c>
      <c r="X830" s="63" t="s">
        <v>2335</v>
      </c>
      <c r="Y830" s="81">
        <v>43180</v>
      </c>
      <c r="Z830" s="83">
        <v>54686940</v>
      </c>
      <c r="AA830" s="84" t="s">
        <v>1742</v>
      </c>
      <c r="AB830" s="85">
        <v>756</v>
      </c>
      <c r="AC830" s="81">
        <v>43182</v>
      </c>
      <c r="AD830" s="86">
        <v>54686940</v>
      </c>
      <c r="AE830" s="87">
        <f t="shared" si="82"/>
        <v>0</v>
      </c>
      <c r="AF830" s="85">
        <v>1780</v>
      </c>
      <c r="AG830" s="81">
        <v>43202</v>
      </c>
      <c r="AH830" s="86">
        <v>54686940</v>
      </c>
      <c r="AI830" s="63" t="s">
        <v>2336</v>
      </c>
      <c r="AJ830" s="63">
        <v>1844</v>
      </c>
      <c r="AK830" s="87">
        <f t="shared" si="84"/>
        <v>0</v>
      </c>
      <c r="AL830" s="86">
        <v>54686940</v>
      </c>
      <c r="AM830" s="86">
        <f t="shared" si="85"/>
        <v>0</v>
      </c>
      <c r="AN830" s="63" t="s">
        <v>1155</v>
      </c>
      <c r="AO830" s="86">
        <f t="shared" si="86"/>
        <v>0</v>
      </c>
      <c r="AP830" s="63"/>
      <c r="AQ830" s="81">
        <v>43180</v>
      </c>
      <c r="AR830" s="63" t="s">
        <v>2109</v>
      </c>
      <c r="AS830" s="81">
        <v>43180</v>
      </c>
      <c r="AT830" s="63"/>
      <c r="AU830" s="220"/>
      <c r="AV830" s="220"/>
      <c r="AW830" s="220"/>
    </row>
    <row r="831" spans="1:49" s="221" customFormat="1" ht="342" x14ac:dyDescent="0.25">
      <c r="A831" s="63">
        <v>417</v>
      </c>
      <c r="B831" s="63" t="str">
        <f t="shared" si="83"/>
        <v>3075-417</v>
      </c>
      <c r="C831" s="76" t="s">
        <v>1141</v>
      </c>
      <c r="D831" s="76" t="s">
        <v>1142</v>
      </c>
      <c r="E831" s="76" t="s">
        <v>1424</v>
      </c>
      <c r="F831" s="76" t="s">
        <v>1175</v>
      </c>
      <c r="G831" s="77" t="s">
        <v>1176</v>
      </c>
      <c r="H831" s="78" t="s">
        <v>1425</v>
      </c>
      <c r="I831" s="76" t="s">
        <v>1147</v>
      </c>
      <c r="J831" s="76" t="s">
        <v>1148</v>
      </c>
      <c r="K831" s="76" t="s">
        <v>439</v>
      </c>
      <c r="L831" s="63" t="s">
        <v>1149</v>
      </c>
      <c r="M831" s="63" t="s">
        <v>58</v>
      </c>
      <c r="N831" s="63" t="s">
        <v>59</v>
      </c>
      <c r="O831" s="76" t="s">
        <v>1213</v>
      </c>
      <c r="P831" s="63" t="s">
        <v>1426</v>
      </c>
      <c r="Q831" s="83">
        <v>54686940</v>
      </c>
      <c r="R831" s="98">
        <v>1</v>
      </c>
      <c r="S831" s="80">
        <v>54686940</v>
      </c>
      <c r="T831" s="63" t="s">
        <v>1171</v>
      </c>
      <c r="U831" s="63" t="s">
        <v>1171</v>
      </c>
      <c r="V831" s="81" t="s">
        <v>1023</v>
      </c>
      <c r="W831" s="82" t="s">
        <v>439</v>
      </c>
      <c r="X831" s="99" t="s">
        <v>2337</v>
      </c>
      <c r="Y831" s="102">
        <v>43186</v>
      </c>
      <c r="Z831" s="103">
        <v>54686940</v>
      </c>
      <c r="AA831" s="84" t="s">
        <v>1742</v>
      </c>
      <c r="AB831" s="85">
        <v>762</v>
      </c>
      <c r="AC831" s="81">
        <v>43192</v>
      </c>
      <c r="AD831" s="86">
        <v>54686940</v>
      </c>
      <c r="AE831" s="87">
        <f t="shared" si="82"/>
        <v>0</v>
      </c>
      <c r="AF831" s="85">
        <v>1850</v>
      </c>
      <c r="AG831" s="81">
        <v>43222</v>
      </c>
      <c r="AH831" s="86">
        <v>54686940</v>
      </c>
      <c r="AI831" s="63" t="s">
        <v>2338</v>
      </c>
      <c r="AJ831" s="63">
        <v>1962</v>
      </c>
      <c r="AK831" s="87">
        <f t="shared" si="84"/>
        <v>0</v>
      </c>
      <c r="AL831" s="86">
        <v>54686940</v>
      </c>
      <c r="AM831" s="86">
        <f t="shared" si="85"/>
        <v>0</v>
      </c>
      <c r="AN831" s="63" t="s">
        <v>1155</v>
      </c>
      <c r="AO831" s="86">
        <f t="shared" si="86"/>
        <v>0</v>
      </c>
      <c r="AP831" s="243"/>
      <c r="AQ831" s="243"/>
      <c r="AR831" s="243"/>
      <c r="AS831" s="243"/>
      <c r="AT831" s="243"/>
      <c r="AU831" s="220"/>
      <c r="AV831" s="220"/>
      <c r="AW831" s="220"/>
    </row>
    <row r="832" spans="1:49" s="221" customFormat="1" ht="342" x14ac:dyDescent="0.25">
      <c r="A832" s="63">
        <v>418</v>
      </c>
      <c r="B832" s="63" t="str">
        <f t="shared" si="83"/>
        <v>3075-418</v>
      </c>
      <c r="C832" s="76" t="s">
        <v>1141</v>
      </c>
      <c r="D832" s="76" t="s">
        <v>1142</v>
      </c>
      <c r="E832" s="76" t="s">
        <v>1424</v>
      </c>
      <c r="F832" s="76" t="s">
        <v>1175</v>
      </c>
      <c r="G832" s="77" t="s">
        <v>1176</v>
      </c>
      <c r="H832" s="78" t="s">
        <v>1425</v>
      </c>
      <c r="I832" s="76" t="s">
        <v>1147</v>
      </c>
      <c r="J832" s="76" t="s">
        <v>1148</v>
      </c>
      <c r="K832" s="76" t="s">
        <v>439</v>
      </c>
      <c r="L832" s="63" t="s">
        <v>1149</v>
      </c>
      <c r="M832" s="63" t="s">
        <v>58</v>
      </c>
      <c r="N832" s="63" t="s">
        <v>59</v>
      </c>
      <c r="O832" s="76" t="s">
        <v>1213</v>
      </c>
      <c r="P832" s="63" t="s">
        <v>1426</v>
      </c>
      <c r="Q832" s="83">
        <v>54686940</v>
      </c>
      <c r="R832" s="98">
        <v>1</v>
      </c>
      <c r="S832" s="80">
        <v>54686940</v>
      </c>
      <c r="T832" s="63" t="s">
        <v>1171</v>
      </c>
      <c r="U832" s="63" t="s">
        <v>1171</v>
      </c>
      <c r="V832" s="81" t="s">
        <v>1023</v>
      </c>
      <c r="W832" s="82" t="s">
        <v>439</v>
      </c>
      <c r="X832" s="63" t="s">
        <v>2339</v>
      </c>
      <c r="Y832" s="102">
        <v>43186</v>
      </c>
      <c r="Z832" s="103">
        <v>54686940</v>
      </c>
      <c r="AA832" s="84" t="s">
        <v>1742</v>
      </c>
      <c r="AB832" s="85">
        <v>763</v>
      </c>
      <c r="AC832" s="81">
        <v>43192</v>
      </c>
      <c r="AD832" s="86">
        <v>54686940</v>
      </c>
      <c r="AE832" s="243"/>
      <c r="AF832" s="85">
        <v>1854</v>
      </c>
      <c r="AG832" s="81">
        <v>43223</v>
      </c>
      <c r="AH832" s="86">
        <v>54686940</v>
      </c>
      <c r="AI832" s="63" t="s">
        <v>2340</v>
      </c>
      <c r="AJ832" s="63">
        <v>1964</v>
      </c>
      <c r="AK832" s="87">
        <f t="shared" si="84"/>
        <v>0</v>
      </c>
      <c r="AL832" s="86">
        <v>54686940</v>
      </c>
      <c r="AM832" s="86">
        <f t="shared" si="85"/>
        <v>0</v>
      </c>
      <c r="AN832" s="63" t="s">
        <v>1155</v>
      </c>
      <c r="AO832" s="86">
        <f t="shared" si="86"/>
        <v>0</v>
      </c>
      <c r="AP832" s="243"/>
      <c r="AQ832" s="243"/>
      <c r="AR832" s="243"/>
      <c r="AS832" s="243"/>
      <c r="AT832" s="243"/>
      <c r="AU832" s="220"/>
      <c r="AV832" s="220"/>
      <c r="AW832" s="220"/>
    </row>
    <row r="833" spans="1:49" s="221" customFormat="1" ht="342" x14ac:dyDescent="0.25">
      <c r="A833" s="63">
        <v>419</v>
      </c>
      <c r="B833" s="63" t="str">
        <f t="shared" si="83"/>
        <v>3075-419</v>
      </c>
      <c r="C833" s="76" t="s">
        <v>1141</v>
      </c>
      <c r="D833" s="76" t="s">
        <v>1142</v>
      </c>
      <c r="E833" s="76" t="s">
        <v>1424</v>
      </c>
      <c r="F833" s="76" t="s">
        <v>1175</v>
      </c>
      <c r="G833" s="77" t="s">
        <v>1176</v>
      </c>
      <c r="H833" s="78" t="s">
        <v>1425</v>
      </c>
      <c r="I833" s="76" t="s">
        <v>1147</v>
      </c>
      <c r="J833" s="76" t="s">
        <v>1148</v>
      </c>
      <c r="K833" s="76" t="s">
        <v>439</v>
      </c>
      <c r="L833" s="63" t="s">
        <v>1149</v>
      </c>
      <c r="M833" s="63" t="s">
        <v>58</v>
      </c>
      <c r="N833" s="63" t="s">
        <v>59</v>
      </c>
      <c r="O833" s="76" t="s">
        <v>1213</v>
      </c>
      <c r="P833" s="63" t="s">
        <v>2341</v>
      </c>
      <c r="Q833" s="83">
        <v>57510750</v>
      </c>
      <c r="R833" s="98">
        <v>0.95089944053937747</v>
      </c>
      <c r="S833" s="80">
        <v>54686940</v>
      </c>
      <c r="T833" s="63" t="s">
        <v>1171</v>
      </c>
      <c r="U833" s="63" t="s">
        <v>1171</v>
      </c>
      <c r="V833" s="81" t="s">
        <v>411</v>
      </c>
      <c r="W833" s="82" t="s">
        <v>439</v>
      </c>
      <c r="X833" s="63" t="s">
        <v>2342</v>
      </c>
      <c r="Y833" s="81">
        <v>43192</v>
      </c>
      <c r="Z833" s="104">
        <v>54686940</v>
      </c>
      <c r="AA833" s="84" t="s">
        <v>1742</v>
      </c>
      <c r="AB833" s="85">
        <v>766</v>
      </c>
      <c r="AC833" s="81">
        <v>43195</v>
      </c>
      <c r="AD833" s="86">
        <v>54686940</v>
      </c>
      <c r="AE833" s="87">
        <f t="shared" ref="AE833:AE896" si="87">S833-Z833</f>
        <v>0</v>
      </c>
      <c r="AF833" s="85">
        <v>1843</v>
      </c>
      <c r="AG833" s="81">
        <v>43215</v>
      </c>
      <c r="AH833" s="86">
        <v>54686940</v>
      </c>
      <c r="AI833" s="63" t="s">
        <v>2343</v>
      </c>
      <c r="AJ833" s="63">
        <v>1931</v>
      </c>
      <c r="AK833" s="87">
        <f t="shared" si="84"/>
        <v>0</v>
      </c>
      <c r="AL833" s="86">
        <v>54686940</v>
      </c>
      <c r="AM833" s="86">
        <f t="shared" si="85"/>
        <v>0</v>
      </c>
      <c r="AN833" s="63" t="s">
        <v>1155</v>
      </c>
      <c r="AO833" s="86">
        <f t="shared" si="86"/>
        <v>0</v>
      </c>
      <c r="AP833" s="63" t="s">
        <v>2344</v>
      </c>
      <c r="AQ833" s="63"/>
      <c r="AR833" s="63"/>
      <c r="AS833" s="63"/>
      <c r="AT833" s="63"/>
      <c r="AU833" s="220"/>
      <c r="AV833" s="220"/>
      <c r="AW833" s="220"/>
    </row>
    <row r="834" spans="1:49" s="221" customFormat="1" ht="342" x14ac:dyDescent="0.25">
      <c r="A834" s="63">
        <v>420</v>
      </c>
      <c r="B834" s="63" t="str">
        <f t="shared" si="83"/>
        <v>3075-420</v>
      </c>
      <c r="C834" s="76" t="s">
        <v>1141</v>
      </c>
      <c r="D834" s="76" t="s">
        <v>1142</v>
      </c>
      <c r="E834" s="76" t="s">
        <v>1424</v>
      </c>
      <c r="F834" s="76" t="s">
        <v>1175</v>
      </c>
      <c r="G834" s="77" t="s">
        <v>1176</v>
      </c>
      <c r="H834" s="78" t="s">
        <v>1425</v>
      </c>
      <c r="I834" s="76" t="s">
        <v>1147</v>
      </c>
      <c r="J834" s="76" t="s">
        <v>1148</v>
      </c>
      <c r="K834" s="76" t="s">
        <v>439</v>
      </c>
      <c r="L834" s="63" t="s">
        <v>1149</v>
      </c>
      <c r="M834" s="63" t="s">
        <v>58</v>
      </c>
      <c r="N834" s="63" t="s">
        <v>59</v>
      </c>
      <c r="O834" s="76" t="s">
        <v>1213</v>
      </c>
      <c r="P834" s="63" t="s">
        <v>2345</v>
      </c>
      <c r="Q834" s="83">
        <v>57510750</v>
      </c>
      <c r="R834" s="98">
        <v>0.95089944053937747</v>
      </c>
      <c r="S834" s="80">
        <v>54686940</v>
      </c>
      <c r="T834" s="63" t="s">
        <v>1171</v>
      </c>
      <c r="U834" s="63" t="s">
        <v>1171</v>
      </c>
      <c r="V834" s="81" t="s">
        <v>1023</v>
      </c>
      <c r="W834" s="82" t="s">
        <v>439</v>
      </c>
      <c r="X834" s="63" t="s">
        <v>2346</v>
      </c>
      <c r="Y834" s="81">
        <v>43192</v>
      </c>
      <c r="Z834" s="104">
        <v>54686940</v>
      </c>
      <c r="AA834" s="84" t="s">
        <v>1742</v>
      </c>
      <c r="AB834" s="85">
        <v>764</v>
      </c>
      <c r="AC834" s="81">
        <v>43195</v>
      </c>
      <c r="AD834" s="86">
        <v>54686940</v>
      </c>
      <c r="AE834" s="87">
        <f t="shared" si="87"/>
        <v>0</v>
      </c>
      <c r="AF834" s="85">
        <v>1858</v>
      </c>
      <c r="AG834" s="81">
        <v>43227</v>
      </c>
      <c r="AH834" s="86">
        <v>54686940</v>
      </c>
      <c r="AI834" s="63" t="s">
        <v>2347</v>
      </c>
      <c r="AJ834" s="63">
        <v>1963</v>
      </c>
      <c r="AK834" s="87">
        <f t="shared" si="84"/>
        <v>0</v>
      </c>
      <c r="AL834" s="86">
        <v>54686940</v>
      </c>
      <c r="AM834" s="86">
        <f t="shared" si="85"/>
        <v>0</v>
      </c>
      <c r="AN834" s="63" t="s">
        <v>1155</v>
      </c>
      <c r="AO834" s="86">
        <f t="shared" si="86"/>
        <v>0</v>
      </c>
      <c r="AP834" s="63" t="s">
        <v>2344</v>
      </c>
      <c r="AQ834" s="63"/>
      <c r="AR834" s="63"/>
      <c r="AS834" s="63"/>
      <c r="AT834" s="63"/>
      <c r="AU834" s="220"/>
      <c r="AV834" s="220"/>
      <c r="AW834" s="220"/>
    </row>
    <row r="835" spans="1:49" s="221" customFormat="1" ht="313.5" x14ac:dyDescent="0.25">
      <c r="A835" s="63">
        <v>421</v>
      </c>
      <c r="B835" s="63" t="str">
        <f t="shared" si="83"/>
        <v>3075-421</v>
      </c>
      <c r="C835" s="76" t="s">
        <v>1141</v>
      </c>
      <c r="D835" s="76" t="s">
        <v>1142</v>
      </c>
      <c r="E835" s="76" t="s">
        <v>1174</v>
      </c>
      <c r="F835" s="76" t="s">
        <v>1175</v>
      </c>
      <c r="G835" s="77" t="s">
        <v>1176</v>
      </c>
      <c r="H835" s="78" t="s">
        <v>1177</v>
      </c>
      <c r="I835" s="76" t="s">
        <v>1147</v>
      </c>
      <c r="J835" s="76" t="s">
        <v>1182</v>
      </c>
      <c r="K835" s="76" t="s">
        <v>439</v>
      </c>
      <c r="L835" s="63" t="s">
        <v>1149</v>
      </c>
      <c r="M835" s="63" t="s">
        <v>58</v>
      </c>
      <c r="N835" s="63" t="s">
        <v>59</v>
      </c>
      <c r="O835" s="76" t="s">
        <v>1169</v>
      </c>
      <c r="P835" s="76" t="s">
        <v>2348</v>
      </c>
      <c r="Q835" s="79">
        <v>138036400</v>
      </c>
      <c r="R835" s="63">
        <v>1</v>
      </c>
      <c r="S835" s="80">
        <f t="shared" ref="S835:S857" si="88">Q835*R835</f>
        <v>138036400</v>
      </c>
      <c r="T835" s="63" t="s">
        <v>1171</v>
      </c>
      <c r="U835" s="63" t="s">
        <v>1171</v>
      </c>
      <c r="V835" s="81" t="s">
        <v>1023</v>
      </c>
      <c r="W835" s="82" t="s">
        <v>439</v>
      </c>
      <c r="X835" s="63" t="s">
        <v>2349</v>
      </c>
      <c r="Y835" s="81">
        <v>43195</v>
      </c>
      <c r="Z835" s="83">
        <v>138036400</v>
      </c>
      <c r="AA835" s="84" t="s">
        <v>2140</v>
      </c>
      <c r="AB835" s="85">
        <v>768</v>
      </c>
      <c r="AC835" s="81">
        <v>43201</v>
      </c>
      <c r="AD835" s="86">
        <v>138036400</v>
      </c>
      <c r="AE835" s="87">
        <f t="shared" si="87"/>
        <v>0</v>
      </c>
      <c r="AF835" s="85">
        <v>1942</v>
      </c>
      <c r="AG835" s="81">
        <v>43243</v>
      </c>
      <c r="AH835" s="86">
        <v>138036400</v>
      </c>
      <c r="AI835" s="63" t="s">
        <v>2350</v>
      </c>
      <c r="AJ835" s="63">
        <v>2077</v>
      </c>
      <c r="AK835" s="87">
        <f t="shared" si="84"/>
        <v>0</v>
      </c>
      <c r="AL835" s="86">
        <v>0</v>
      </c>
      <c r="AM835" s="86">
        <f t="shared" si="85"/>
        <v>138036400</v>
      </c>
      <c r="AN835" s="63" t="s">
        <v>1155</v>
      </c>
      <c r="AO835" s="86">
        <f t="shared" si="86"/>
        <v>0</v>
      </c>
      <c r="AP835" s="63"/>
      <c r="AQ835" s="81">
        <v>43195</v>
      </c>
      <c r="AR835" s="63" t="s">
        <v>2109</v>
      </c>
      <c r="AS835" s="81">
        <v>43195</v>
      </c>
      <c r="AT835" s="63" t="s">
        <v>2348</v>
      </c>
      <c r="AU835" s="220"/>
      <c r="AV835" s="220"/>
      <c r="AW835" s="220"/>
    </row>
    <row r="836" spans="1:49" s="221" customFormat="1" ht="256.5" x14ac:dyDescent="0.25">
      <c r="A836" s="63">
        <v>422</v>
      </c>
      <c r="B836" s="63" t="str">
        <f t="shared" si="83"/>
        <v>3075-422</v>
      </c>
      <c r="C836" s="76" t="s">
        <v>1141</v>
      </c>
      <c r="D836" s="76" t="s">
        <v>1142</v>
      </c>
      <c r="E836" s="76" t="s">
        <v>1174</v>
      </c>
      <c r="F836" s="76" t="s">
        <v>1175</v>
      </c>
      <c r="G836" s="77" t="s">
        <v>1176</v>
      </c>
      <c r="H836" s="78" t="s">
        <v>1177</v>
      </c>
      <c r="I836" s="76" t="s">
        <v>1147</v>
      </c>
      <c r="J836" s="76" t="s">
        <v>1182</v>
      </c>
      <c r="K836" s="76" t="s">
        <v>439</v>
      </c>
      <c r="L836" s="63" t="s">
        <v>1149</v>
      </c>
      <c r="M836" s="63" t="s">
        <v>58</v>
      </c>
      <c r="N836" s="63" t="s">
        <v>59</v>
      </c>
      <c r="O836" s="76" t="s">
        <v>1169</v>
      </c>
      <c r="P836" s="76" t="s">
        <v>2351</v>
      </c>
      <c r="Q836" s="79">
        <v>39062100</v>
      </c>
      <c r="R836" s="63">
        <v>1</v>
      </c>
      <c r="S836" s="80">
        <f t="shared" si="88"/>
        <v>39062100</v>
      </c>
      <c r="T836" s="63" t="s">
        <v>1171</v>
      </c>
      <c r="U836" s="63" t="s">
        <v>1171</v>
      </c>
      <c r="V836" s="81" t="s">
        <v>1023</v>
      </c>
      <c r="W836" s="82" t="s">
        <v>439</v>
      </c>
      <c r="X836" s="63" t="s">
        <v>2352</v>
      </c>
      <c r="Y836" s="81">
        <v>43195</v>
      </c>
      <c r="Z836" s="83">
        <v>39062100</v>
      </c>
      <c r="AA836" s="84" t="s">
        <v>2140</v>
      </c>
      <c r="AB836" s="85">
        <v>769</v>
      </c>
      <c r="AC836" s="81">
        <v>43201</v>
      </c>
      <c r="AD836" s="86">
        <v>39062100</v>
      </c>
      <c r="AE836" s="87">
        <f t="shared" si="87"/>
        <v>0</v>
      </c>
      <c r="AF836" s="85">
        <v>1891</v>
      </c>
      <c r="AG836" s="81">
        <v>43230</v>
      </c>
      <c r="AH836" s="86">
        <v>39062100</v>
      </c>
      <c r="AI836" s="63" t="s">
        <v>2353</v>
      </c>
      <c r="AJ836" s="63">
        <v>1968</v>
      </c>
      <c r="AK836" s="87">
        <f t="shared" si="84"/>
        <v>0</v>
      </c>
      <c r="AL836" s="86">
        <v>0</v>
      </c>
      <c r="AM836" s="86">
        <f t="shared" si="85"/>
        <v>39062100</v>
      </c>
      <c r="AN836" s="63" t="s">
        <v>1155</v>
      </c>
      <c r="AO836" s="86">
        <f t="shared" si="86"/>
        <v>0</v>
      </c>
      <c r="AP836" s="63"/>
      <c r="AQ836" s="81">
        <v>43195</v>
      </c>
      <c r="AR836" s="63" t="s">
        <v>2109</v>
      </c>
      <c r="AS836" s="81">
        <v>43195</v>
      </c>
      <c r="AT836" s="63" t="s">
        <v>2351</v>
      </c>
      <c r="AU836" s="220"/>
      <c r="AV836" s="220"/>
      <c r="AW836" s="220"/>
    </row>
    <row r="837" spans="1:49" s="221" customFormat="1" ht="213.75" x14ac:dyDescent="0.25">
      <c r="A837" s="63">
        <v>423</v>
      </c>
      <c r="B837" s="63" t="str">
        <f t="shared" si="83"/>
        <v>3075-423</v>
      </c>
      <c r="C837" s="76" t="s">
        <v>1141</v>
      </c>
      <c r="D837" s="76" t="s">
        <v>1142</v>
      </c>
      <c r="E837" s="76" t="s">
        <v>1174</v>
      </c>
      <c r="F837" s="76" t="s">
        <v>1175</v>
      </c>
      <c r="G837" s="77" t="s">
        <v>1176</v>
      </c>
      <c r="H837" s="78" t="s">
        <v>1177</v>
      </c>
      <c r="I837" s="76" t="s">
        <v>1147</v>
      </c>
      <c r="J837" s="76" t="s">
        <v>1182</v>
      </c>
      <c r="K837" s="76" t="s">
        <v>439</v>
      </c>
      <c r="L837" s="63" t="s">
        <v>1149</v>
      </c>
      <c r="M837" s="63" t="s">
        <v>58</v>
      </c>
      <c r="N837" s="63" t="s">
        <v>59</v>
      </c>
      <c r="O837" s="76" t="s">
        <v>1169</v>
      </c>
      <c r="P837" s="76" t="s">
        <v>2354</v>
      </c>
      <c r="Q837" s="79">
        <v>35479385</v>
      </c>
      <c r="R837" s="63">
        <v>1</v>
      </c>
      <c r="S837" s="80">
        <f t="shared" si="88"/>
        <v>35479385</v>
      </c>
      <c r="T837" s="63" t="s">
        <v>1171</v>
      </c>
      <c r="U837" s="63" t="s">
        <v>1171</v>
      </c>
      <c r="V837" s="81" t="s">
        <v>1208</v>
      </c>
      <c r="W837" s="82" t="s">
        <v>439</v>
      </c>
      <c r="X837" s="63" t="s">
        <v>2355</v>
      </c>
      <c r="Y837" s="81">
        <v>43195</v>
      </c>
      <c r="Z837" s="83">
        <v>35479385</v>
      </c>
      <c r="AA837" s="84" t="s">
        <v>2140</v>
      </c>
      <c r="AB837" s="85">
        <v>770</v>
      </c>
      <c r="AC837" s="81">
        <v>43201</v>
      </c>
      <c r="AD837" s="86">
        <v>35479385</v>
      </c>
      <c r="AE837" s="87">
        <f t="shared" si="87"/>
        <v>0</v>
      </c>
      <c r="AF837" s="85">
        <v>2408</v>
      </c>
      <c r="AG837" s="81">
        <v>43280</v>
      </c>
      <c r="AH837" s="86">
        <v>35479385</v>
      </c>
      <c r="AI837" s="63" t="s">
        <v>2356</v>
      </c>
      <c r="AJ837" s="63">
        <v>2828</v>
      </c>
      <c r="AK837" s="87">
        <f t="shared" si="84"/>
        <v>0</v>
      </c>
      <c r="AL837" s="86">
        <v>35479385</v>
      </c>
      <c r="AM837" s="86">
        <f t="shared" si="85"/>
        <v>0</v>
      </c>
      <c r="AN837" s="63" t="s">
        <v>1155</v>
      </c>
      <c r="AO837" s="86">
        <f t="shared" si="86"/>
        <v>0</v>
      </c>
      <c r="AP837" s="63"/>
      <c r="AQ837" s="81">
        <v>43195</v>
      </c>
      <c r="AR837" s="63" t="s">
        <v>2109</v>
      </c>
      <c r="AS837" s="81">
        <v>43195</v>
      </c>
      <c r="AT837" s="63" t="s">
        <v>2354</v>
      </c>
      <c r="AU837" s="220"/>
      <c r="AV837" s="220"/>
      <c r="AW837" s="220"/>
    </row>
    <row r="838" spans="1:49" s="221" customFormat="1" ht="228" x14ac:dyDescent="0.25">
      <c r="A838" s="63">
        <v>424</v>
      </c>
      <c r="B838" s="63" t="str">
        <f t="shared" si="83"/>
        <v>3075-424</v>
      </c>
      <c r="C838" s="76" t="s">
        <v>1141</v>
      </c>
      <c r="D838" s="76" t="s">
        <v>1142</v>
      </c>
      <c r="E838" s="76" t="s">
        <v>1165</v>
      </c>
      <c r="F838" s="76" t="s">
        <v>1166</v>
      </c>
      <c r="G838" s="77" t="s">
        <v>1167</v>
      </c>
      <c r="H838" s="78" t="s">
        <v>1168</v>
      </c>
      <c r="I838" s="76" t="s">
        <v>1147</v>
      </c>
      <c r="J838" s="76" t="s">
        <v>1148</v>
      </c>
      <c r="K838" s="76" t="s">
        <v>439</v>
      </c>
      <c r="L838" s="63" t="s">
        <v>1149</v>
      </c>
      <c r="M838" s="63" t="s">
        <v>58</v>
      </c>
      <c r="N838" s="63" t="s">
        <v>59</v>
      </c>
      <c r="O838" s="76" t="s">
        <v>1169</v>
      </c>
      <c r="P838" s="63" t="s">
        <v>2357</v>
      </c>
      <c r="Q838" s="79">
        <v>65920800</v>
      </c>
      <c r="R838" s="63">
        <v>1</v>
      </c>
      <c r="S838" s="80">
        <f t="shared" si="88"/>
        <v>65920800</v>
      </c>
      <c r="T838" s="63" t="s">
        <v>1171</v>
      </c>
      <c r="U838" s="63" t="s">
        <v>1171</v>
      </c>
      <c r="V838" s="81" t="s">
        <v>1023</v>
      </c>
      <c r="W838" s="82" t="s">
        <v>439</v>
      </c>
      <c r="X838" s="63" t="s">
        <v>2358</v>
      </c>
      <c r="Y838" s="81">
        <v>43195</v>
      </c>
      <c r="Z838" s="83">
        <v>65920800</v>
      </c>
      <c r="AA838" s="84" t="s">
        <v>2359</v>
      </c>
      <c r="AB838" s="85">
        <v>774</v>
      </c>
      <c r="AC838" s="81">
        <v>43201</v>
      </c>
      <c r="AD838" s="86">
        <v>65920800</v>
      </c>
      <c r="AE838" s="87">
        <f t="shared" si="87"/>
        <v>0</v>
      </c>
      <c r="AF838" s="85">
        <v>1859</v>
      </c>
      <c r="AG838" s="81">
        <v>43227</v>
      </c>
      <c r="AH838" s="86">
        <v>65920800</v>
      </c>
      <c r="AI838" s="63" t="s">
        <v>1787</v>
      </c>
      <c r="AJ838" s="63">
        <v>2010</v>
      </c>
      <c r="AK838" s="87">
        <f t="shared" si="84"/>
        <v>0</v>
      </c>
      <c r="AL838" s="86">
        <v>0</v>
      </c>
      <c r="AM838" s="86">
        <f t="shared" si="85"/>
        <v>65920800</v>
      </c>
      <c r="AN838" s="63" t="s">
        <v>1155</v>
      </c>
      <c r="AO838" s="86">
        <f t="shared" si="86"/>
        <v>0</v>
      </c>
      <c r="AP838" s="63"/>
      <c r="AQ838" s="81">
        <v>43195</v>
      </c>
      <c r="AR838" s="63" t="s">
        <v>2109</v>
      </c>
      <c r="AS838" s="81">
        <v>43195</v>
      </c>
      <c r="AT838" s="63" t="s">
        <v>2357</v>
      </c>
      <c r="AU838" s="220"/>
      <c r="AV838" s="220"/>
      <c r="AW838" s="220"/>
    </row>
    <row r="839" spans="1:49" s="221" customFormat="1" ht="242.25" x14ac:dyDescent="0.25">
      <c r="A839" s="63">
        <v>425</v>
      </c>
      <c r="B839" s="63" t="str">
        <f t="shared" si="83"/>
        <v>3075-425</v>
      </c>
      <c r="C839" s="76" t="s">
        <v>1141</v>
      </c>
      <c r="D839" s="76" t="s">
        <v>1142</v>
      </c>
      <c r="E839" s="76" t="s">
        <v>1174</v>
      </c>
      <c r="F839" s="76" t="s">
        <v>1175</v>
      </c>
      <c r="G839" s="77" t="s">
        <v>1176</v>
      </c>
      <c r="H839" s="78" t="s">
        <v>1177</v>
      </c>
      <c r="I839" s="76" t="s">
        <v>1147</v>
      </c>
      <c r="J839" s="76" t="s">
        <v>1182</v>
      </c>
      <c r="K839" s="76" t="s">
        <v>439</v>
      </c>
      <c r="L839" s="63" t="s">
        <v>1149</v>
      </c>
      <c r="M839" s="63" t="s">
        <v>58</v>
      </c>
      <c r="N839" s="63" t="s">
        <v>59</v>
      </c>
      <c r="O839" s="76" t="s">
        <v>1169</v>
      </c>
      <c r="P839" s="76" t="s">
        <v>2360</v>
      </c>
      <c r="Q839" s="79">
        <v>39062100</v>
      </c>
      <c r="R839" s="63">
        <v>1</v>
      </c>
      <c r="S839" s="80">
        <f t="shared" si="88"/>
        <v>39062100</v>
      </c>
      <c r="T839" s="63" t="s">
        <v>1171</v>
      </c>
      <c r="U839" s="63" t="s">
        <v>1171</v>
      </c>
      <c r="V839" s="81" t="s">
        <v>1023</v>
      </c>
      <c r="W839" s="82" t="s">
        <v>439</v>
      </c>
      <c r="X839" s="63" t="s">
        <v>2361</v>
      </c>
      <c r="Y839" s="89">
        <v>43195</v>
      </c>
      <c r="Z839" s="83">
        <v>39062100</v>
      </c>
      <c r="AA839" s="84" t="s">
        <v>2140</v>
      </c>
      <c r="AB839" s="85">
        <v>772</v>
      </c>
      <c r="AC839" s="81">
        <v>43201</v>
      </c>
      <c r="AD839" s="86">
        <v>39062100</v>
      </c>
      <c r="AE839" s="87">
        <f t="shared" si="87"/>
        <v>0</v>
      </c>
      <c r="AF839" s="85">
        <v>1855</v>
      </c>
      <c r="AG839" s="81">
        <v>43224</v>
      </c>
      <c r="AH839" s="86">
        <v>39062100</v>
      </c>
      <c r="AI839" s="63" t="s">
        <v>2362</v>
      </c>
      <c r="AJ839" s="63">
        <v>1969</v>
      </c>
      <c r="AK839" s="87">
        <f t="shared" si="84"/>
        <v>0</v>
      </c>
      <c r="AL839" s="86">
        <v>0</v>
      </c>
      <c r="AM839" s="86">
        <f t="shared" si="85"/>
        <v>39062100</v>
      </c>
      <c r="AN839" s="63" t="s">
        <v>1155</v>
      </c>
      <c r="AO839" s="86">
        <f t="shared" si="86"/>
        <v>0</v>
      </c>
      <c r="AP839" s="63"/>
      <c r="AQ839" s="81">
        <v>43195</v>
      </c>
      <c r="AR839" s="63" t="s">
        <v>2109</v>
      </c>
      <c r="AS839" s="81">
        <v>43195</v>
      </c>
      <c r="AT839" s="63" t="s">
        <v>2360</v>
      </c>
      <c r="AU839" s="220"/>
      <c r="AV839" s="220"/>
      <c r="AW839" s="220"/>
    </row>
    <row r="840" spans="1:49" s="221" customFormat="1" ht="185.25" x14ac:dyDescent="0.25">
      <c r="A840" s="63">
        <v>426</v>
      </c>
      <c r="B840" s="63" t="str">
        <f t="shared" si="83"/>
        <v>3075-426</v>
      </c>
      <c r="C840" s="76" t="s">
        <v>1141</v>
      </c>
      <c r="D840" s="76" t="s">
        <v>1142</v>
      </c>
      <c r="E840" s="76" t="s">
        <v>1174</v>
      </c>
      <c r="F840" s="76" t="s">
        <v>1175</v>
      </c>
      <c r="G840" s="77" t="s">
        <v>1176</v>
      </c>
      <c r="H840" s="78" t="s">
        <v>1177</v>
      </c>
      <c r="I840" s="76" t="s">
        <v>1147</v>
      </c>
      <c r="J840" s="76" t="s">
        <v>1182</v>
      </c>
      <c r="K840" s="76" t="s">
        <v>439</v>
      </c>
      <c r="L840" s="63" t="s">
        <v>1149</v>
      </c>
      <c r="M840" s="63" t="s">
        <v>58</v>
      </c>
      <c r="N840" s="63" t="s">
        <v>59</v>
      </c>
      <c r="O840" s="76" t="s">
        <v>1169</v>
      </c>
      <c r="P840" s="76" t="s">
        <v>2363</v>
      </c>
      <c r="Q840" s="79">
        <v>39062100</v>
      </c>
      <c r="R840" s="63">
        <v>1</v>
      </c>
      <c r="S840" s="80">
        <f t="shared" si="88"/>
        <v>39062100</v>
      </c>
      <c r="T840" s="63" t="s">
        <v>1171</v>
      </c>
      <c r="U840" s="63" t="s">
        <v>1171</v>
      </c>
      <c r="V840" s="81" t="s">
        <v>1023</v>
      </c>
      <c r="W840" s="82" t="s">
        <v>439</v>
      </c>
      <c r="X840" s="63" t="s">
        <v>2364</v>
      </c>
      <c r="Y840" s="89">
        <v>43195</v>
      </c>
      <c r="Z840" s="83">
        <v>39062100</v>
      </c>
      <c r="AA840" s="84" t="s">
        <v>2140</v>
      </c>
      <c r="AB840" s="85">
        <v>771</v>
      </c>
      <c r="AC840" s="81">
        <v>43201</v>
      </c>
      <c r="AD840" s="86">
        <v>39062100</v>
      </c>
      <c r="AE840" s="87">
        <f t="shared" si="87"/>
        <v>0</v>
      </c>
      <c r="AF840" s="85">
        <v>1862</v>
      </c>
      <c r="AG840" s="81">
        <v>43227</v>
      </c>
      <c r="AH840" s="86">
        <v>39062100</v>
      </c>
      <c r="AI840" s="63" t="s">
        <v>2365</v>
      </c>
      <c r="AJ840" s="63">
        <v>2004</v>
      </c>
      <c r="AK840" s="87">
        <f t="shared" si="84"/>
        <v>0</v>
      </c>
      <c r="AL840" s="86">
        <v>0</v>
      </c>
      <c r="AM840" s="86">
        <f t="shared" si="85"/>
        <v>39062100</v>
      </c>
      <c r="AN840" s="63" t="s">
        <v>1155</v>
      </c>
      <c r="AO840" s="86">
        <f t="shared" si="86"/>
        <v>0</v>
      </c>
      <c r="AP840" s="63"/>
      <c r="AQ840" s="81">
        <v>43195</v>
      </c>
      <c r="AR840" s="63" t="s">
        <v>2109</v>
      </c>
      <c r="AS840" s="81">
        <v>43195</v>
      </c>
      <c r="AT840" s="63" t="s">
        <v>2363</v>
      </c>
      <c r="AU840" s="220"/>
      <c r="AV840" s="220"/>
      <c r="AW840" s="220"/>
    </row>
    <row r="841" spans="1:49" s="221" customFormat="1" ht="242.25" x14ac:dyDescent="0.25">
      <c r="A841" s="63">
        <v>427</v>
      </c>
      <c r="B841" s="63" t="str">
        <f t="shared" si="83"/>
        <v>3075-427</v>
      </c>
      <c r="C841" s="76" t="s">
        <v>1141</v>
      </c>
      <c r="D841" s="76" t="s">
        <v>1142</v>
      </c>
      <c r="E841" s="76" t="s">
        <v>1174</v>
      </c>
      <c r="F841" s="76" t="s">
        <v>1175</v>
      </c>
      <c r="G841" s="77" t="s">
        <v>1176</v>
      </c>
      <c r="H841" s="78" t="s">
        <v>1177</v>
      </c>
      <c r="I841" s="76" t="s">
        <v>1147</v>
      </c>
      <c r="J841" s="76" t="s">
        <v>1182</v>
      </c>
      <c r="K841" s="76" t="s">
        <v>439</v>
      </c>
      <c r="L841" s="63" t="s">
        <v>1149</v>
      </c>
      <c r="M841" s="63" t="s">
        <v>58</v>
      </c>
      <c r="N841" s="63" t="s">
        <v>59</v>
      </c>
      <c r="O841" s="76" t="s">
        <v>1169</v>
      </c>
      <c r="P841" s="76" t="s">
        <v>2366</v>
      </c>
      <c r="Q841" s="79">
        <v>69667715</v>
      </c>
      <c r="R841" s="63">
        <v>1</v>
      </c>
      <c r="S841" s="80">
        <f t="shared" si="88"/>
        <v>69667715</v>
      </c>
      <c r="T841" s="63" t="s">
        <v>1171</v>
      </c>
      <c r="U841" s="63" t="s">
        <v>1171</v>
      </c>
      <c r="V841" s="81" t="s">
        <v>844</v>
      </c>
      <c r="W841" s="82" t="s">
        <v>439</v>
      </c>
      <c r="X841" s="63" t="s">
        <v>2367</v>
      </c>
      <c r="Y841" s="89">
        <v>43202</v>
      </c>
      <c r="Z841" s="83">
        <v>69667715</v>
      </c>
      <c r="AA841" s="84" t="s">
        <v>1185</v>
      </c>
      <c r="AB841" s="85">
        <v>782</v>
      </c>
      <c r="AC841" s="81">
        <v>43203</v>
      </c>
      <c r="AD841" s="86">
        <v>69667715</v>
      </c>
      <c r="AE841" s="87">
        <f t="shared" si="87"/>
        <v>0</v>
      </c>
      <c r="AF841" s="85">
        <v>2438</v>
      </c>
      <c r="AG841" s="81">
        <v>43286</v>
      </c>
      <c r="AH841" s="86">
        <v>69667715</v>
      </c>
      <c r="AI841" s="63" t="s">
        <v>2368</v>
      </c>
      <c r="AJ841" s="63">
        <v>2833</v>
      </c>
      <c r="AK841" s="87">
        <f t="shared" si="84"/>
        <v>0</v>
      </c>
      <c r="AL841" s="86">
        <v>69667715</v>
      </c>
      <c r="AM841" s="86">
        <f t="shared" si="85"/>
        <v>0</v>
      </c>
      <c r="AN841" s="63" t="s">
        <v>1155</v>
      </c>
      <c r="AO841" s="86">
        <f t="shared" si="86"/>
        <v>0</v>
      </c>
      <c r="AP841" s="63"/>
      <c r="AQ841" s="81">
        <v>43201</v>
      </c>
      <c r="AR841" s="63" t="s">
        <v>2109</v>
      </c>
      <c r="AS841" s="81">
        <v>43202</v>
      </c>
      <c r="AT841" s="63" t="s">
        <v>2366</v>
      </c>
      <c r="AU841" s="220"/>
      <c r="AV841" s="220"/>
      <c r="AW841" s="220"/>
    </row>
    <row r="842" spans="1:49" s="221" customFormat="1" ht="228" x14ac:dyDescent="0.25">
      <c r="A842" s="63">
        <v>428</v>
      </c>
      <c r="B842" s="63" t="str">
        <f t="shared" si="83"/>
        <v>3075-428</v>
      </c>
      <c r="C842" s="76" t="s">
        <v>1141</v>
      </c>
      <c r="D842" s="76" t="s">
        <v>1142</v>
      </c>
      <c r="E842" s="76" t="s">
        <v>1165</v>
      </c>
      <c r="F842" s="76" t="s">
        <v>1166</v>
      </c>
      <c r="G842" s="77" t="s">
        <v>1167</v>
      </c>
      <c r="H842" s="78" t="s">
        <v>1168</v>
      </c>
      <c r="I842" s="76" t="s">
        <v>1147</v>
      </c>
      <c r="J842" s="76" t="s">
        <v>1148</v>
      </c>
      <c r="K842" s="76" t="s">
        <v>439</v>
      </c>
      <c r="L842" s="63" t="s">
        <v>1149</v>
      </c>
      <c r="M842" s="63" t="s">
        <v>58</v>
      </c>
      <c r="N842" s="63" t="s">
        <v>59</v>
      </c>
      <c r="O842" s="76" t="s">
        <v>1169</v>
      </c>
      <c r="P842" s="63" t="s">
        <v>2369</v>
      </c>
      <c r="Q842" s="79">
        <v>4536000</v>
      </c>
      <c r="R842" s="63">
        <v>1</v>
      </c>
      <c r="S842" s="80">
        <f t="shared" si="88"/>
        <v>4536000</v>
      </c>
      <c r="T842" s="63" t="s">
        <v>1171</v>
      </c>
      <c r="U842" s="63" t="s">
        <v>1171</v>
      </c>
      <c r="V842" s="81" t="s">
        <v>1023</v>
      </c>
      <c r="W842" s="82" t="s">
        <v>439</v>
      </c>
      <c r="X842" s="63" t="s">
        <v>2370</v>
      </c>
      <c r="Y842" s="89">
        <v>43202</v>
      </c>
      <c r="Z842" s="83">
        <v>4536000</v>
      </c>
      <c r="AA842" s="84" t="s">
        <v>1782</v>
      </c>
      <c r="AB842" s="85">
        <v>783</v>
      </c>
      <c r="AC842" s="81">
        <v>43203</v>
      </c>
      <c r="AD842" s="86">
        <v>4536000</v>
      </c>
      <c r="AE842" s="87">
        <f t="shared" si="87"/>
        <v>0</v>
      </c>
      <c r="AF842" s="85">
        <v>1861</v>
      </c>
      <c r="AG842" s="81">
        <v>43227</v>
      </c>
      <c r="AH842" s="86">
        <v>4536000</v>
      </c>
      <c r="AI842" s="63" t="s">
        <v>2371</v>
      </c>
      <c r="AJ842" s="63">
        <v>2009</v>
      </c>
      <c r="AK842" s="87">
        <f t="shared" si="84"/>
        <v>0</v>
      </c>
      <c r="AL842" s="86">
        <v>0</v>
      </c>
      <c r="AM842" s="86">
        <f t="shared" si="85"/>
        <v>4536000</v>
      </c>
      <c r="AN842" s="63" t="s">
        <v>1155</v>
      </c>
      <c r="AO842" s="86">
        <f t="shared" si="86"/>
        <v>0</v>
      </c>
      <c r="AP842" s="63"/>
      <c r="AQ842" s="81">
        <v>43201</v>
      </c>
      <c r="AR842" s="63" t="s">
        <v>2109</v>
      </c>
      <c r="AS842" s="81">
        <v>43202</v>
      </c>
      <c r="AT842" s="63" t="s">
        <v>2369</v>
      </c>
      <c r="AU842" s="220"/>
      <c r="AV842" s="220"/>
      <c r="AW842" s="220"/>
    </row>
    <row r="843" spans="1:49" s="221" customFormat="1" ht="213.75" x14ac:dyDescent="0.25">
      <c r="A843" s="63">
        <v>429</v>
      </c>
      <c r="B843" s="63" t="str">
        <f t="shared" si="83"/>
        <v>3075-429</v>
      </c>
      <c r="C843" s="76" t="s">
        <v>1141</v>
      </c>
      <c r="D843" s="76" t="s">
        <v>1142</v>
      </c>
      <c r="E843" s="76" t="s">
        <v>1165</v>
      </c>
      <c r="F843" s="76" t="s">
        <v>1166</v>
      </c>
      <c r="G843" s="77" t="s">
        <v>1167</v>
      </c>
      <c r="H843" s="78" t="s">
        <v>1168</v>
      </c>
      <c r="I843" s="76" t="s">
        <v>1147</v>
      </c>
      <c r="J843" s="76" t="s">
        <v>1148</v>
      </c>
      <c r="K843" s="76" t="s">
        <v>439</v>
      </c>
      <c r="L843" s="63" t="s">
        <v>1149</v>
      </c>
      <c r="M843" s="63" t="s">
        <v>58</v>
      </c>
      <c r="N843" s="63" t="s">
        <v>59</v>
      </c>
      <c r="O843" s="76" t="s">
        <v>1169</v>
      </c>
      <c r="P843" s="63" t="s">
        <v>2372</v>
      </c>
      <c r="Q843" s="79">
        <v>95276430</v>
      </c>
      <c r="R843" s="63">
        <v>1</v>
      </c>
      <c r="S843" s="80">
        <f t="shared" si="88"/>
        <v>95276430</v>
      </c>
      <c r="T843" s="63" t="s">
        <v>1171</v>
      </c>
      <c r="U843" s="63" t="s">
        <v>1171</v>
      </c>
      <c r="V843" s="81" t="s">
        <v>1023</v>
      </c>
      <c r="W843" s="82" t="s">
        <v>439</v>
      </c>
      <c r="X843" s="63" t="s">
        <v>2373</v>
      </c>
      <c r="Y843" s="89">
        <v>43202</v>
      </c>
      <c r="Z843" s="83">
        <v>95276430</v>
      </c>
      <c r="AA843" s="84" t="s">
        <v>1782</v>
      </c>
      <c r="AB843" s="85">
        <v>784</v>
      </c>
      <c r="AC843" s="81">
        <v>43203</v>
      </c>
      <c r="AD843" s="86">
        <v>95276430</v>
      </c>
      <c r="AE843" s="87">
        <f t="shared" si="87"/>
        <v>0</v>
      </c>
      <c r="AF843" s="85">
        <v>1860</v>
      </c>
      <c r="AG843" s="81">
        <v>43227</v>
      </c>
      <c r="AH843" s="86">
        <v>95276430</v>
      </c>
      <c r="AI843" s="63" t="s">
        <v>2374</v>
      </c>
      <c r="AJ843" s="63">
        <v>2005</v>
      </c>
      <c r="AK843" s="87">
        <f t="shared" si="84"/>
        <v>0</v>
      </c>
      <c r="AL843" s="86">
        <v>28582929</v>
      </c>
      <c r="AM843" s="86">
        <f t="shared" si="85"/>
        <v>66693501</v>
      </c>
      <c r="AN843" s="63" t="s">
        <v>1155</v>
      </c>
      <c r="AO843" s="86">
        <f t="shared" si="86"/>
        <v>0</v>
      </c>
      <c r="AP843" s="63"/>
      <c r="AQ843" s="81">
        <v>43201</v>
      </c>
      <c r="AR843" s="63" t="s">
        <v>2109</v>
      </c>
      <c r="AS843" s="81">
        <v>43202</v>
      </c>
      <c r="AT843" s="63" t="s">
        <v>2375</v>
      </c>
      <c r="AU843" s="220"/>
      <c r="AV843" s="220"/>
      <c r="AW843" s="220"/>
    </row>
    <row r="844" spans="1:49" s="221" customFormat="1" ht="228" x14ac:dyDescent="0.25">
      <c r="A844" s="63">
        <v>430</v>
      </c>
      <c r="B844" s="63" t="str">
        <f t="shared" si="83"/>
        <v>3075-430</v>
      </c>
      <c r="C844" s="76" t="s">
        <v>1141</v>
      </c>
      <c r="D844" s="76" t="s">
        <v>1142</v>
      </c>
      <c r="E844" s="76" t="s">
        <v>1165</v>
      </c>
      <c r="F844" s="76" t="s">
        <v>1166</v>
      </c>
      <c r="G844" s="77" t="s">
        <v>1167</v>
      </c>
      <c r="H844" s="78" t="s">
        <v>1168</v>
      </c>
      <c r="I844" s="76" t="s">
        <v>1147</v>
      </c>
      <c r="J844" s="76" t="s">
        <v>1148</v>
      </c>
      <c r="K844" s="76" t="s">
        <v>439</v>
      </c>
      <c r="L844" s="63" t="s">
        <v>1149</v>
      </c>
      <c r="M844" s="63" t="s">
        <v>58</v>
      </c>
      <c r="N844" s="63" t="s">
        <v>59</v>
      </c>
      <c r="O844" s="76" t="s">
        <v>1169</v>
      </c>
      <c r="P844" s="63" t="s">
        <v>2376</v>
      </c>
      <c r="Q844" s="79">
        <v>7733250</v>
      </c>
      <c r="R844" s="63">
        <v>1</v>
      </c>
      <c r="S844" s="80">
        <f t="shared" si="88"/>
        <v>7733250</v>
      </c>
      <c r="T844" s="63" t="s">
        <v>1171</v>
      </c>
      <c r="U844" s="63" t="s">
        <v>1171</v>
      </c>
      <c r="V844" s="81" t="s">
        <v>1023</v>
      </c>
      <c r="W844" s="82" t="s">
        <v>439</v>
      </c>
      <c r="X844" s="63" t="s">
        <v>2377</v>
      </c>
      <c r="Y844" s="89">
        <v>43202</v>
      </c>
      <c r="Z844" s="83">
        <v>7733250</v>
      </c>
      <c r="AA844" s="84" t="s">
        <v>1782</v>
      </c>
      <c r="AB844" s="85">
        <v>785</v>
      </c>
      <c r="AC844" s="81">
        <v>43203</v>
      </c>
      <c r="AD844" s="86">
        <v>7733250</v>
      </c>
      <c r="AE844" s="87">
        <f t="shared" si="87"/>
        <v>0</v>
      </c>
      <c r="AF844" s="85">
        <v>1937</v>
      </c>
      <c r="AG844" s="81">
        <v>43242</v>
      </c>
      <c r="AH844" s="86">
        <v>7733250</v>
      </c>
      <c r="AI844" s="63" t="s">
        <v>2378</v>
      </c>
      <c r="AJ844" s="63">
        <v>2080</v>
      </c>
      <c r="AK844" s="87">
        <f t="shared" si="84"/>
        <v>0</v>
      </c>
      <c r="AL844" s="86">
        <v>7733250</v>
      </c>
      <c r="AM844" s="86">
        <f t="shared" si="85"/>
        <v>0</v>
      </c>
      <c r="AN844" s="63" t="s">
        <v>1155</v>
      </c>
      <c r="AO844" s="86">
        <f t="shared" si="86"/>
        <v>0</v>
      </c>
      <c r="AP844" s="63"/>
      <c r="AQ844" s="81">
        <v>43201</v>
      </c>
      <c r="AR844" s="63" t="s">
        <v>2109</v>
      </c>
      <c r="AS844" s="81">
        <v>43202</v>
      </c>
      <c r="AT844" s="63" t="s">
        <v>2376</v>
      </c>
      <c r="AU844" s="220"/>
      <c r="AV844" s="220"/>
      <c r="AW844" s="220"/>
    </row>
    <row r="845" spans="1:49" s="221" customFormat="1" ht="199.5" x14ac:dyDescent="0.25">
      <c r="A845" s="63">
        <v>431</v>
      </c>
      <c r="B845" s="63" t="str">
        <f t="shared" si="83"/>
        <v>3075-431</v>
      </c>
      <c r="C845" s="76" t="s">
        <v>1141</v>
      </c>
      <c r="D845" s="76" t="s">
        <v>1142</v>
      </c>
      <c r="E845" s="76" t="s">
        <v>1174</v>
      </c>
      <c r="F845" s="76" t="s">
        <v>1175</v>
      </c>
      <c r="G845" s="77" t="s">
        <v>1176</v>
      </c>
      <c r="H845" s="78" t="s">
        <v>1177</v>
      </c>
      <c r="I845" s="76" t="s">
        <v>1147</v>
      </c>
      <c r="J845" s="76" t="s">
        <v>1182</v>
      </c>
      <c r="K845" s="76" t="s">
        <v>439</v>
      </c>
      <c r="L845" s="63" t="s">
        <v>1149</v>
      </c>
      <c r="M845" s="63" t="s">
        <v>58</v>
      </c>
      <c r="N845" s="63" t="s">
        <v>59</v>
      </c>
      <c r="O845" s="76" t="s">
        <v>1169</v>
      </c>
      <c r="P845" s="76" t="s">
        <v>2379</v>
      </c>
      <c r="Q845" s="79">
        <v>39062100</v>
      </c>
      <c r="R845" s="63">
        <v>1</v>
      </c>
      <c r="S845" s="80">
        <f t="shared" si="88"/>
        <v>39062100</v>
      </c>
      <c r="T845" s="63" t="s">
        <v>1171</v>
      </c>
      <c r="U845" s="63" t="s">
        <v>1171</v>
      </c>
      <c r="V845" s="81" t="s">
        <v>1023</v>
      </c>
      <c r="W845" s="82" t="s">
        <v>439</v>
      </c>
      <c r="X845" s="63" t="s">
        <v>2380</v>
      </c>
      <c r="Y845" s="89">
        <v>43202</v>
      </c>
      <c r="Z845" s="83">
        <v>39062100</v>
      </c>
      <c r="AA845" s="84" t="s">
        <v>1185</v>
      </c>
      <c r="AB845" s="85">
        <v>777</v>
      </c>
      <c r="AC845" s="81">
        <v>43203</v>
      </c>
      <c r="AD845" s="86">
        <v>39062100</v>
      </c>
      <c r="AE845" s="87">
        <f t="shared" si="87"/>
        <v>0</v>
      </c>
      <c r="AF845" s="85">
        <v>1915</v>
      </c>
      <c r="AG845" s="81">
        <v>43237</v>
      </c>
      <c r="AH845" s="86">
        <v>39062100</v>
      </c>
      <c r="AI845" s="63" t="s">
        <v>2381</v>
      </c>
      <c r="AJ845" s="63">
        <v>2069</v>
      </c>
      <c r="AK845" s="87">
        <f t="shared" si="84"/>
        <v>0</v>
      </c>
      <c r="AL845" s="86">
        <v>0</v>
      </c>
      <c r="AM845" s="86">
        <f t="shared" si="85"/>
        <v>39062100</v>
      </c>
      <c r="AN845" s="63" t="s">
        <v>1155</v>
      </c>
      <c r="AO845" s="86">
        <f t="shared" si="86"/>
        <v>0</v>
      </c>
      <c r="AP845" s="63"/>
      <c r="AQ845" s="81">
        <v>43201</v>
      </c>
      <c r="AR845" s="63" t="s">
        <v>2109</v>
      </c>
      <c r="AS845" s="81">
        <v>43202</v>
      </c>
      <c r="AT845" s="63" t="s">
        <v>2379</v>
      </c>
      <c r="AU845" s="220"/>
      <c r="AV845" s="220"/>
      <c r="AW845" s="220"/>
    </row>
    <row r="846" spans="1:49" s="221" customFormat="1" ht="256.5" x14ac:dyDescent="0.25">
      <c r="A846" s="63">
        <v>432</v>
      </c>
      <c r="B846" s="63" t="str">
        <f t="shared" si="83"/>
        <v>3075-432</v>
      </c>
      <c r="C846" s="76" t="s">
        <v>1141</v>
      </c>
      <c r="D846" s="76" t="s">
        <v>1142</v>
      </c>
      <c r="E846" s="76" t="s">
        <v>1165</v>
      </c>
      <c r="F846" s="76" t="s">
        <v>1166</v>
      </c>
      <c r="G846" s="77" t="s">
        <v>1167</v>
      </c>
      <c r="H846" s="78" t="s">
        <v>1168</v>
      </c>
      <c r="I846" s="76" t="s">
        <v>1147</v>
      </c>
      <c r="J846" s="76" t="s">
        <v>1148</v>
      </c>
      <c r="K846" s="76" t="s">
        <v>439</v>
      </c>
      <c r="L846" s="63" t="s">
        <v>1149</v>
      </c>
      <c r="M846" s="63" t="s">
        <v>58</v>
      </c>
      <c r="N846" s="63" t="s">
        <v>59</v>
      </c>
      <c r="O846" s="76" t="s">
        <v>1169</v>
      </c>
      <c r="P846" s="63" t="s">
        <v>2382</v>
      </c>
      <c r="Q846" s="79">
        <v>7392000</v>
      </c>
      <c r="R846" s="63">
        <v>1</v>
      </c>
      <c r="S846" s="80">
        <f t="shared" si="88"/>
        <v>7392000</v>
      </c>
      <c r="T846" s="63" t="s">
        <v>1171</v>
      </c>
      <c r="U846" s="63" t="s">
        <v>1171</v>
      </c>
      <c r="V846" s="81" t="s">
        <v>1023</v>
      </c>
      <c r="W846" s="82" t="s">
        <v>439</v>
      </c>
      <c r="X846" s="63" t="s">
        <v>2383</v>
      </c>
      <c r="Y846" s="89">
        <v>43202</v>
      </c>
      <c r="Z846" s="83">
        <v>7392000</v>
      </c>
      <c r="AA846" s="84" t="s">
        <v>1782</v>
      </c>
      <c r="AB846" s="85">
        <v>778</v>
      </c>
      <c r="AC846" s="81">
        <v>43203</v>
      </c>
      <c r="AD846" s="86">
        <v>7392000</v>
      </c>
      <c r="AE846" s="87">
        <f t="shared" si="87"/>
        <v>0</v>
      </c>
      <c r="AF846" s="85">
        <v>1857</v>
      </c>
      <c r="AG846" s="81">
        <v>43227</v>
      </c>
      <c r="AH846" s="86">
        <v>7392000</v>
      </c>
      <c r="AI846" s="63" t="s">
        <v>2384</v>
      </c>
      <c r="AJ846" s="63">
        <v>2008</v>
      </c>
      <c r="AK846" s="87">
        <f t="shared" si="84"/>
        <v>0</v>
      </c>
      <c r="AL846" s="86">
        <v>0</v>
      </c>
      <c r="AM846" s="86">
        <f t="shared" si="85"/>
        <v>7392000</v>
      </c>
      <c r="AN846" s="63" t="s">
        <v>1155</v>
      </c>
      <c r="AO846" s="86">
        <f t="shared" si="86"/>
        <v>0</v>
      </c>
      <c r="AP846" s="63"/>
      <c r="AQ846" s="81">
        <v>43201</v>
      </c>
      <c r="AR846" s="63" t="s">
        <v>2109</v>
      </c>
      <c r="AS846" s="81">
        <v>43202</v>
      </c>
      <c r="AT846" s="63" t="s">
        <v>2382</v>
      </c>
      <c r="AU846" s="220"/>
      <c r="AV846" s="220"/>
      <c r="AW846" s="220"/>
    </row>
    <row r="847" spans="1:49" s="221" customFormat="1" ht="228" x14ac:dyDescent="0.25">
      <c r="A847" s="63">
        <v>433</v>
      </c>
      <c r="B847" s="63" t="str">
        <f t="shared" si="83"/>
        <v>3075-433</v>
      </c>
      <c r="C847" s="76" t="s">
        <v>1141</v>
      </c>
      <c r="D847" s="76" t="s">
        <v>1142</v>
      </c>
      <c r="E847" s="76" t="s">
        <v>1174</v>
      </c>
      <c r="F847" s="76" t="s">
        <v>1175</v>
      </c>
      <c r="G847" s="77" t="s">
        <v>1176</v>
      </c>
      <c r="H847" s="78" t="s">
        <v>1177</v>
      </c>
      <c r="I847" s="76" t="s">
        <v>1147</v>
      </c>
      <c r="J847" s="76" t="s">
        <v>1182</v>
      </c>
      <c r="K847" s="76" t="s">
        <v>439</v>
      </c>
      <c r="L847" s="63" t="s">
        <v>1149</v>
      </c>
      <c r="M847" s="63" t="s">
        <v>58</v>
      </c>
      <c r="N847" s="63" t="s">
        <v>59</v>
      </c>
      <c r="O847" s="76" t="s">
        <v>1169</v>
      </c>
      <c r="P847" s="76" t="s">
        <v>2385</v>
      </c>
      <c r="Q847" s="79">
        <v>62779330</v>
      </c>
      <c r="R847" s="63">
        <v>1</v>
      </c>
      <c r="S847" s="80">
        <f t="shared" si="88"/>
        <v>62779330</v>
      </c>
      <c r="T847" s="63" t="s">
        <v>1171</v>
      </c>
      <c r="U847" s="63" t="s">
        <v>1171</v>
      </c>
      <c r="V847" s="81" t="s">
        <v>1023</v>
      </c>
      <c r="W847" s="82" t="s">
        <v>439</v>
      </c>
      <c r="X847" s="63" t="s">
        <v>2386</v>
      </c>
      <c r="Y847" s="89">
        <v>43202</v>
      </c>
      <c r="Z847" s="83">
        <v>62779330</v>
      </c>
      <c r="AA847" s="84" t="s">
        <v>1185</v>
      </c>
      <c r="AB847" s="85">
        <v>779</v>
      </c>
      <c r="AC847" s="81">
        <v>43203</v>
      </c>
      <c r="AD847" s="86">
        <v>62779330</v>
      </c>
      <c r="AE847" s="87">
        <f t="shared" si="87"/>
        <v>0</v>
      </c>
      <c r="AF847" s="85">
        <v>1935</v>
      </c>
      <c r="AG847" s="81">
        <v>43242</v>
      </c>
      <c r="AH847" s="86">
        <v>62779330</v>
      </c>
      <c r="AI847" s="63" t="s">
        <v>2387</v>
      </c>
      <c r="AJ847" s="63">
        <v>2083</v>
      </c>
      <c r="AK847" s="87">
        <f t="shared" si="84"/>
        <v>0</v>
      </c>
      <c r="AL847" s="86">
        <v>62779330</v>
      </c>
      <c r="AM847" s="86">
        <f t="shared" si="85"/>
        <v>0</v>
      </c>
      <c r="AN847" s="63" t="s">
        <v>1155</v>
      </c>
      <c r="AO847" s="86">
        <f t="shared" si="86"/>
        <v>0</v>
      </c>
      <c r="AP847" s="63"/>
      <c r="AQ847" s="81">
        <v>43201</v>
      </c>
      <c r="AR847" s="63" t="s">
        <v>2109</v>
      </c>
      <c r="AS847" s="81">
        <v>43202</v>
      </c>
      <c r="AT847" s="63" t="s">
        <v>2385</v>
      </c>
      <c r="AU847" s="220"/>
      <c r="AV847" s="220"/>
      <c r="AW847" s="220"/>
    </row>
    <row r="848" spans="1:49" s="221" customFormat="1" ht="228" x14ac:dyDescent="0.25">
      <c r="A848" s="63">
        <v>434</v>
      </c>
      <c r="B848" s="63" t="str">
        <f t="shared" si="83"/>
        <v>3075-434</v>
      </c>
      <c r="C848" s="76" t="s">
        <v>1141</v>
      </c>
      <c r="D848" s="76" t="s">
        <v>1142</v>
      </c>
      <c r="E848" s="76" t="s">
        <v>1174</v>
      </c>
      <c r="F848" s="76" t="s">
        <v>1175</v>
      </c>
      <c r="G848" s="77" t="s">
        <v>1176</v>
      </c>
      <c r="H848" s="78" t="s">
        <v>1177</v>
      </c>
      <c r="I848" s="76" t="s">
        <v>1147</v>
      </c>
      <c r="J848" s="76" t="s">
        <v>1182</v>
      </c>
      <c r="K848" s="76" t="s">
        <v>439</v>
      </c>
      <c r="L848" s="63" t="s">
        <v>1149</v>
      </c>
      <c r="M848" s="63" t="s">
        <v>58</v>
      </c>
      <c r="N848" s="63" t="s">
        <v>59</v>
      </c>
      <c r="O848" s="76" t="s">
        <v>1169</v>
      </c>
      <c r="P848" s="76" t="s">
        <v>2388</v>
      </c>
      <c r="Q848" s="79">
        <v>39062100</v>
      </c>
      <c r="R848" s="63">
        <v>1</v>
      </c>
      <c r="S848" s="80">
        <f t="shared" si="88"/>
        <v>39062100</v>
      </c>
      <c r="T848" s="63" t="s">
        <v>1171</v>
      </c>
      <c r="U848" s="63" t="s">
        <v>1171</v>
      </c>
      <c r="V848" s="81" t="s">
        <v>411</v>
      </c>
      <c r="W848" s="82" t="s">
        <v>439</v>
      </c>
      <c r="X848" s="63" t="s">
        <v>2389</v>
      </c>
      <c r="Y848" s="89">
        <v>43202</v>
      </c>
      <c r="Z848" s="83">
        <v>39062100</v>
      </c>
      <c r="AA848" s="84" t="s">
        <v>1185</v>
      </c>
      <c r="AB848" s="85">
        <v>786</v>
      </c>
      <c r="AC848" s="81">
        <v>43203</v>
      </c>
      <c r="AD848" s="86">
        <v>39062100</v>
      </c>
      <c r="AE848" s="87">
        <f t="shared" si="87"/>
        <v>0</v>
      </c>
      <c r="AF848" s="85">
        <v>1846</v>
      </c>
      <c r="AG848" s="81">
        <v>43216</v>
      </c>
      <c r="AH848" s="86">
        <v>39062100</v>
      </c>
      <c r="AI848" s="63" t="s">
        <v>2390</v>
      </c>
      <c r="AJ848" s="63">
        <v>1933</v>
      </c>
      <c r="AK848" s="87">
        <f t="shared" si="84"/>
        <v>0</v>
      </c>
      <c r="AL848" s="86">
        <v>0</v>
      </c>
      <c r="AM848" s="86">
        <f t="shared" si="85"/>
        <v>39062100</v>
      </c>
      <c r="AN848" s="63" t="s">
        <v>1155</v>
      </c>
      <c r="AO848" s="86">
        <f t="shared" si="86"/>
        <v>0</v>
      </c>
      <c r="AP848" s="63"/>
      <c r="AQ848" s="81">
        <v>43201</v>
      </c>
      <c r="AR848" s="63" t="s">
        <v>2109</v>
      </c>
      <c r="AS848" s="81">
        <v>43202</v>
      </c>
      <c r="AT848" s="63" t="s">
        <v>2388</v>
      </c>
      <c r="AU848" s="220"/>
      <c r="AV848" s="220"/>
      <c r="AW848" s="220"/>
    </row>
    <row r="849" spans="1:49" s="221" customFormat="1" ht="199.5" x14ac:dyDescent="0.25">
      <c r="A849" s="63">
        <v>435</v>
      </c>
      <c r="B849" s="63" t="str">
        <f t="shared" si="83"/>
        <v>3075-435</v>
      </c>
      <c r="C849" s="76" t="s">
        <v>1141</v>
      </c>
      <c r="D849" s="76" t="s">
        <v>1142</v>
      </c>
      <c r="E849" s="76" t="s">
        <v>1165</v>
      </c>
      <c r="F849" s="76" t="s">
        <v>1166</v>
      </c>
      <c r="G849" s="77" t="s">
        <v>1167</v>
      </c>
      <c r="H849" s="78" t="s">
        <v>1168</v>
      </c>
      <c r="I849" s="76" t="s">
        <v>1147</v>
      </c>
      <c r="J849" s="76" t="s">
        <v>1148</v>
      </c>
      <c r="K849" s="76" t="s">
        <v>439</v>
      </c>
      <c r="L849" s="63" t="s">
        <v>1149</v>
      </c>
      <c r="M849" s="63" t="s">
        <v>58</v>
      </c>
      <c r="N849" s="63" t="s">
        <v>59</v>
      </c>
      <c r="O849" s="76" t="s">
        <v>1169</v>
      </c>
      <c r="P849" s="63" t="s">
        <v>2391</v>
      </c>
      <c r="Q849" s="79">
        <v>52944200</v>
      </c>
      <c r="R849" s="63">
        <v>1</v>
      </c>
      <c r="S849" s="80">
        <f t="shared" si="88"/>
        <v>52944200</v>
      </c>
      <c r="T849" s="63" t="s">
        <v>1171</v>
      </c>
      <c r="U849" s="63" t="s">
        <v>1171</v>
      </c>
      <c r="V849" s="81" t="s">
        <v>1208</v>
      </c>
      <c r="W849" s="82" t="s">
        <v>439</v>
      </c>
      <c r="X849" s="63" t="s">
        <v>2392</v>
      </c>
      <c r="Y849" s="89">
        <v>43202</v>
      </c>
      <c r="Z849" s="83">
        <v>52944200</v>
      </c>
      <c r="AA849" s="84" t="s">
        <v>2359</v>
      </c>
      <c r="AB849" s="85">
        <v>787</v>
      </c>
      <c r="AC849" s="81">
        <v>43203</v>
      </c>
      <c r="AD849" s="86">
        <v>52944200</v>
      </c>
      <c r="AE849" s="87">
        <f t="shared" si="87"/>
        <v>0</v>
      </c>
      <c r="AF849" s="85">
        <v>2024</v>
      </c>
      <c r="AG849" s="81">
        <v>43266</v>
      </c>
      <c r="AH849" s="86">
        <v>52944200</v>
      </c>
      <c r="AI849" s="63" t="s">
        <v>2393</v>
      </c>
      <c r="AJ849" s="63">
        <v>2220</v>
      </c>
      <c r="AK849" s="87">
        <f t="shared" si="84"/>
        <v>0</v>
      </c>
      <c r="AL849" s="86">
        <v>0</v>
      </c>
      <c r="AM849" s="86">
        <f t="shared" si="85"/>
        <v>52944200</v>
      </c>
      <c r="AN849" s="63" t="s">
        <v>1155</v>
      </c>
      <c r="AO849" s="86">
        <f t="shared" si="86"/>
        <v>0</v>
      </c>
      <c r="AP849" s="63"/>
      <c r="AQ849" s="81">
        <v>43201</v>
      </c>
      <c r="AR849" s="63" t="s">
        <v>2109</v>
      </c>
      <c r="AS849" s="81">
        <v>43202</v>
      </c>
      <c r="AT849" s="63" t="s">
        <v>2391</v>
      </c>
      <c r="AU849" s="220"/>
      <c r="AV849" s="220"/>
      <c r="AW849" s="220"/>
    </row>
    <row r="850" spans="1:49" s="221" customFormat="1" ht="213.75" x14ac:dyDescent="0.25">
      <c r="A850" s="63">
        <v>436</v>
      </c>
      <c r="B850" s="63" t="str">
        <f t="shared" si="83"/>
        <v>3075-436</v>
      </c>
      <c r="C850" s="76" t="s">
        <v>1141</v>
      </c>
      <c r="D850" s="76" t="s">
        <v>1142</v>
      </c>
      <c r="E850" s="76" t="s">
        <v>1174</v>
      </c>
      <c r="F850" s="76" t="s">
        <v>1175</v>
      </c>
      <c r="G850" s="77" t="s">
        <v>1176</v>
      </c>
      <c r="H850" s="78" t="s">
        <v>1177</v>
      </c>
      <c r="I850" s="76" t="s">
        <v>1147</v>
      </c>
      <c r="J850" s="76" t="s">
        <v>1178</v>
      </c>
      <c r="K850" s="76" t="s">
        <v>439</v>
      </c>
      <c r="L850" s="63" t="s">
        <v>1149</v>
      </c>
      <c r="M850" s="63" t="s">
        <v>58</v>
      </c>
      <c r="N850" s="63" t="s">
        <v>59</v>
      </c>
      <c r="O850" s="76" t="s">
        <v>1169</v>
      </c>
      <c r="P850" s="76" t="s">
        <v>2394</v>
      </c>
      <c r="Q850" s="79">
        <v>8741700</v>
      </c>
      <c r="R850" s="63">
        <v>1</v>
      </c>
      <c r="S850" s="80">
        <f t="shared" si="88"/>
        <v>8741700</v>
      </c>
      <c r="T850" s="63" t="s">
        <v>1171</v>
      </c>
      <c r="U850" s="63" t="s">
        <v>1171</v>
      </c>
      <c r="V850" s="81" t="s">
        <v>1023</v>
      </c>
      <c r="W850" s="82" t="s">
        <v>439</v>
      </c>
      <c r="X850" s="63" t="s">
        <v>2395</v>
      </c>
      <c r="Y850" s="89">
        <v>43202</v>
      </c>
      <c r="Z850" s="83">
        <v>8741700</v>
      </c>
      <c r="AA850" s="84" t="s">
        <v>2024</v>
      </c>
      <c r="AB850" s="85">
        <v>780</v>
      </c>
      <c r="AC850" s="81">
        <v>43203</v>
      </c>
      <c r="AD850" s="86">
        <v>8741700</v>
      </c>
      <c r="AE850" s="87">
        <f t="shared" si="87"/>
        <v>0</v>
      </c>
      <c r="AF850" s="85">
        <v>1913</v>
      </c>
      <c r="AG850" s="81">
        <v>43237</v>
      </c>
      <c r="AH850" s="86">
        <v>8741700</v>
      </c>
      <c r="AI850" s="63" t="s">
        <v>2396</v>
      </c>
      <c r="AJ850" s="63">
        <v>2072</v>
      </c>
      <c r="AK850" s="87">
        <f t="shared" si="84"/>
        <v>0</v>
      </c>
      <c r="AL850" s="86">
        <v>0</v>
      </c>
      <c r="AM850" s="86">
        <f t="shared" si="85"/>
        <v>8741700</v>
      </c>
      <c r="AN850" s="63" t="s">
        <v>1155</v>
      </c>
      <c r="AO850" s="86">
        <f t="shared" si="86"/>
        <v>0</v>
      </c>
      <c r="AP850" s="63"/>
      <c r="AQ850" s="81">
        <v>43201</v>
      </c>
      <c r="AR850" s="63" t="s">
        <v>2109</v>
      </c>
      <c r="AS850" s="81">
        <v>43202</v>
      </c>
      <c r="AT850" s="63" t="s">
        <v>2394</v>
      </c>
      <c r="AU850" s="220"/>
      <c r="AV850" s="220"/>
      <c r="AW850" s="220"/>
    </row>
    <row r="851" spans="1:49" s="221" customFormat="1" ht="242.25" x14ac:dyDescent="0.25">
      <c r="A851" s="63">
        <v>437</v>
      </c>
      <c r="B851" s="63" t="str">
        <f t="shared" si="83"/>
        <v>3075-437</v>
      </c>
      <c r="C851" s="76" t="s">
        <v>1141</v>
      </c>
      <c r="D851" s="76" t="s">
        <v>1142</v>
      </c>
      <c r="E851" s="76" t="s">
        <v>1174</v>
      </c>
      <c r="F851" s="76" t="s">
        <v>1175</v>
      </c>
      <c r="G851" s="77" t="s">
        <v>1176</v>
      </c>
      <c r="H851" s="78" t="s">
        <v>1177</v>
      </c>
      <c r="I851" s="76" t="s">
        <v>1147</v>
      </c>
      <c r="J851" s="76" t="s">
        <v>1178</v>
      </c>
      <c r="K851" s="76" t="s">
        <v>439</v>
      </c>
      <c r="L851" s="63" t="s">
        <v>1149</v>
      </c>
      <c r="M851" s="63" t="s">
        <v>58</v>
      </c>
      <c r="N851" s="63" t="s">
        <v>59</v>
      </c>
      <c r="O851" s="76" t="s">
        <v>1169</v>
      </c>
      <c r="P851" s="76" t="s">
        <v>2397</v>
      </c>
      <c r="Q851" s="79">
        <v>480610</v>
      </c>
      <c r="R851" s="63">
        <v>1</v>
      </c>
      <c r="S851" s="80">
        <f t="shared" si="88"/>
        <v>480610</v>
      </c>
      <c r="T851" s="63" t="s">
        <v>1171</v>
      </c>
      <c r="U851" s="63" t="s">
        <v>1171</v>
      </c>
      <c r="V851" s="81" t="s">
        <v>1023</v>
      </c>
      <c r="W851" s="82" t="s">
        <v>439</v>
      </c>
      <c r="X851" s="63" t="s">
        <v>2398</v>
      </c>
      <c r="Y851" s="89">
        <v>43202</v>
      </c>
      <c r="Z851" s="83">
        <v>480610</v>
      </c>
      <c r="AA851" s="84" t="s">
        <v>2024</v>
      </c>
      <c r="AB851" s="85">
        <v>781</v>
      </c>
      <c r="AC851" s="81">
        <v>43203</v>
      </c>
      <c r="AD851" s="86">
        <v>480610</v>
      </c>
      <c r="AE851" s="87">
        <f t="shared" si="87"/>
        <v>0</v>
      </c>
      <c r="AF851" s="85">
        <v>1933</v>
      </c>
      <c r="AG851" s="81">
        <v>43242</v>
      </c>
      <c r="AH851" s="86">
        <v>480610</v>
      </c>
      <c r="AI851" s="63" t="s">
        <v>2399</v>
      </c>
      <c r="AJ851" s="63">
        <v>2082</v>
      </c>
      <c r="AK851" s="87">
        <f t="shared" si="84"/>
        <v>0</v>
      </c>
      <c r="AL851" s="86">
        <v>480610</v>
      </c>
      <c r="AM851" s="86">
        <f t="shared" si="85"/>
        <v>0</v>
      </c>
      <c r="AN851" s="63" t="s">
        <v>1155</v>
      </c>
      <c r="AO851" s="86">
        <f t="shared" si="86"/>
        <v>0</v>
      </c>
      <c r="AP851" s="63"/>
      <c r="AQ851" s="81">
        <v>43201</v>
      </c>
      <c r="AR851" s="63" t="s">
        <v>2109</v>
      </c>
      <c r="AS851" s="81">
        <v>43202</v>
      </c>
      <c r="AT851" s="63" t="s">
        <v>2397</v>
      </c>
      <c r="AU851" s="220"/>
      <c r="AV851" s="220"/>
      <c r="AW851" s="220"/>
    </row>
    <row r="852" spans="1:49" s="221" customFormat="1" ht="370.5" x14ac:dyDescent="0.25">
      <c r="A852" s="63">
        <v>438</v>
      </c>
      <c r="B852" s="63" t="str">
        <f t="shared" si="83"/>
        <v>3075-438</v>
      </c>
      <c r="C852" s="76" t="s">
        <v>1141</v>
      </c>
      <c r="D852" s="76" t="s">
        <v>1142</v>
      </c>
      <c r="E852" s="76" t="s">
        <v>1143</v>
      </c>
      <c r="F852" s="76" t="s">
        <v>1166</v>
      </c>
      <c r="G852" s="88" t="s">
        <v>2053</v>
      </c>
      <c r="H852" s="92" t="s">
        <v>2054</v>
      </c>
      <c r="I852" s="76" t="s">
        <v>1147</v>
      </c>
      <c r="J852" s="76" t="s">
        <v>1148</v>
      </c>
      <c r="K852" s="76" t="s">
        <v>439</v>
      </c>
      <c r="L852" s="63" t="s">
        <v>1149</v>
      </c>
      <c r="M852" s="63" t="s">
        <v>58</v>
      </c>
      <c r="N852" s="63" t="s">
        <v>59</v>
      </c>
      <c r="O852" s="76" t="s">
        <v>1199</v>
      </c>
      <c r="P852" s="76" t="s">
        <v>2400</v>
      </c>
      <c r="Q852" s="79">
        <v>406560</v>
      </c>
      <c r="R852" s="63">
        <v>1</v>
      </c>
      <c r="S852" s="80">
        <f t="shared" si="88"/>
        <v>406560</v>
      </c>
      <c r="T852" s="63" t="s">
        <v>1171</v>
      </c>
      <c r="U852" s="63" t="s">
        <v>1171</v>
      </c>
      <c r="V852" s="81" t="s">
        <v>411</v>
      </c>
      <c r="W852" s="82" t="s">
        <v>439</v>
      </c>
      <c r="X852" s="91" t="s">
        <v>2401</v>
      </c>
      <c r="Y852" s="81">
        <v>43208</v>
      </c>
      <c r="Z852" s="83">
        <v>406560</v>
      </c>
      <c r="AA852" s="84" t="s">
        <v>2402</v>
      </c>
      <c r="AB852" s="85">
        <v>798</v>
      </c>
      <c r="AC852" s="81">
        <v>43208</v>
      </c>
      <c r="AD852" s="86">
        <v>406560</v>
      </c>
      <c r="AE852" s="87">
        <f t="shared" si="87"/>
        <v>0</v>
      </c>
      <c r="AF852" s="85">
        <v>1814</v>
      </c>
      <c r="AG852" s="81">
        <v>43209</v>
      </c>
      <c r="AH852" s="86">
        <v>406560</v>
      </c>
      <c r="AI852" s="63" t="s">
        <v>2403</v>
      </c>
      <c r="AJ852" s="63">
        <v>1894</v>
      </c>
      <c r="AK852" s="87">
        <f t="shared" si="84"/>
        <v>0</v>
      </c>
      <c r="AL852" s="86">
        <v>406560</v>
      </c>
      <c r="AM852" s="86">
        <f t="shared" si="85"/>
        <v>0</v>
      </c>
      <c r="AN852" s="63" t="s">
        <v>1155</v>
      </c>
      <c r="AO852" s="86">
        <f t="shared" si="86"/>
        <v>0</v>
      </c>
      <c r="AP852" s="63"/>
      <c r="AQ852" s="81">
        <v>43208</v>
      </c>
      <c r="AR852" s="63" t="s">
        <v>2109</v>
      </c>
      <c r="AS852" s="81">
        <v>43208</v>
      </c>
      <c r="AT852" s="63" t="s">
        <v>2404</v>
      </c>
      <c r="AU852" s="220"/>
      <c r="AV852" s="220"/>
      <c r="AW852" s="220"/>
    </row>
    <row r="853" spans="1:49" s="221" customFormat="1" ht="185.25" x14ac:dyDescent="0.25">
      <c r="A853" s="63">
        <v>439</v>
      </c>
      <c r="B853" s="63" t="str">
        <f t="shared" si="83"/>
        <v>3075-439</v>
      </c>
      <c r="C853" s="76" t="s">
        <v>1141</v>
      </c>
      <c r="D853" s="76" t="s">
        <v>1142</v>
      </c>
      <c r="E853" s="76" t="s">
        <v>1165</v>
      </c>
      <c r="F853" s="76" t="s">
        <v>1166</v>
      </c>
      <c r="G853" s="77" t="s">
        <v>1167</v>
      </c>
      <c r="H853" s="78" t="s">
        <v>1168</v>
      </c>
      <c r="I853" s="76" t="s">
        <v>1147</v>
      </c>
      <c r="J853" s="76" t="s">
        <v>1148</v>
      </c>
      <c r="K853" s="76" t="s">
        <v>439</v>
      </c>
      <c r="L853" s="63" t="s">
        <v>1149</v>
      </c>
      <c r="M853" s="63" t="s">
        <v>58</v>
      </c>
      <c r="N853" s="63" t="s">
        <v>59</v>
      </c>
      <c r="O853" s="76" t="s">
        <v>1169</v>
      </c>
      <c r="P853" s="63" t="s">
        <v>2405</v>
      </c>
      <c r="Q853" s="79">
        <v>22194000</v>
      </c>
      <c r="R853" s="63">
        <v>1</v>
      </c>
      <c r="S853" s="80">
        <f t="shared" si="88"/>
        <v>22194000</v>
      </c>
      <c r="T853" s="63" t="s">
        <v>1171</v>
      </c>
      <c r="U853" s="63" t="s">
        <v>1171</v>
      </c>
      <c r="V853" s="81" t="s">
        <v>1023</v>
      </c>
      <c r="W853" s="82" t="s">
        <v>439</v>
      </c>
      <c r="X853" s="63" t="s">
        <v>2406</v>
      </c>
      <c r="Y853" s="89">
        <v>43208</v>
      </c>
      <c r="Z853" s="83">
        <v>22194000</v>
      </c>
      <c r="AA853" s="84" t="s">
        <v>1782</v>
      </c>
      <c r="AB853" s="85">
        <v>801</v>
      </c>
      <c r="AC853" s="81">
        <v>43210</v>
      </c>
      <c r="AD853" s="86">
        <v>22194000</v>
      </c>
      <c r="AE853" s="87">
        <f t="shared" si="87"/>
        <v>0</v>
      </c>
      <c r="AF853" s="85">
        <v>1932</v>
      </c>
      <c r="AG853" s="81">
        <v>43242</v>
      </c>
      <c r="AH853" s="86">
        <v>22194000</v>
      </c>
      <c r="AI853" s="63" t="s">
        <v>2407</v>
      </c>
      <c r="AJ853" s="63">
        <v>2079</v>
      </c>
      <c r="AK853" s="87">
        <f t="shared" si="84"/>
        <v>0</v>
      </c>
      <c r="AL853" s="86">
        <v>0</v>
      </c>
      <c r="AM853" s="86">
        <f t="shared" si="85"/>
        <v>22194000</v>
      </c>
      <c r="AN853" s="63" t="s">
        <v>1155</v>
      </c>
      <c r="AO853" s="86">
        <f t="shared" si="86"/>
        <v>0</v>
      </c>
      <c r="AP853" s="63"/>
      <c r="AQ853" s="81">
        <v>43207</v>
      </c>
      <c r="AR853" s="63" t="s">
        <v>2109</v>
      </c>
      <c r="AS853" s="81">
        <v>43208</v>
      </c>
      <c r="AT853" s="63" t="s">
        <v>2405</v>
      </c>
      <c r="AU853" s="220"/>
      <c r="AV853" s="220"/>
      <c r="AW853" s="220"/>
    </row>
    <row r="854" spans="1:49" s="221" customFormat="1" ht="228" x14ac:dyDescent="0.25">
      <c r="A854" s="63">
        <v>440</v>
      </c>
      <c r="B854" s="63" t="str">
        <f t="shared" si="83"/>
        <v>3075-440</v>
      </c>
      <c r="C854" s="76" t="s">
        <v>1141</v>
      </c>
      <c r="D854" s="76" t="s">
        <v>1142</v>
      </c>
      <c r="E854" s="76" t="s">
        <v>1174</v>
      </c>
      <c r="F854" s="76" t="s">
        <v>1175</v>
      </c>
      <c r="G854" s="77" t="s">
        <v>1176</v>
      </c>
      <c r="H854" s="78" t="s">
        <v>1177</v>
      </c>
      <c r="I854" s="76" t="s">
        <v>1147</v>
      </c>
      <c r="J854" s="76" t="s">
        <v>1178</v>
      </c>
      <c r="K854" s="76" t="s">
        <v>439</v>
      </c>
      <c r="L854" s="63" t="s">
        <v>1149</v>
      </c>
      <c r="M854" s="63" t="s">
        <v>58</v>
      </c>
      <c r="N854" s="63" t="s">
        <v>59</v>
      </c>
      <c r="O854" s="76" t="s">
        <v>1169</v>
      </c>
      <c r="P854" s="76" t="s">
        <v>2408</v>
      </c>
      <c r="Q854" s="79">
        <v>4151008</v>
      </c>
      <c r="R854" s="63">
        <v>1</v>
      </c>
      <c r="S854" s="80">
        <f t="shared" si="88"/>
        <v>4151008</v>
      </c>
      <c r="T854" s="63" t="s">
        <v>1171</v>
      </c>
      <c r="U854" s="63" t="s">
        <v>1171</v>
      </c>
      <c r="V854" s="81" t="s">
        <v>1208</v>
      </c>
      <c r="W854" s="82" t="s">
        <v>439</v>
      </c>
      <c r="X854" s="90" t="s">
        <v>2409</v>
      </c>
      <c r="Y854" s="89">
        <v>43215</v>
      </c>
      <c r="Z854" s="83">
        <v>4151008</v>
      </c>
      <c r="AA854" s="84" t="s">
        <v>2024</v>
      </c>
      <c r="AB854" s="85">
        <v>813</v>
      </c>
      <c r="AC854" s="81">
        <v>43220</v>
      </c>
      <c r="AD854" s="86">
        <v>4151008</v>
      </c>
      <c r="AE854" s="87">
        <f t="shared" si="87"/>
        <v>0</v>
      </c>
      <c r="AF854" s="85">
        <v>2011</v>
      </c>
      <c r="AG854" s="81">
        <v>43263</v>
      </c>
      <c r="AH854" s="86">
        <v>4151008</v>
      </c>
      <c r="AI854" s="63" t="s">
        <v>2410</v>
      </c>
      <c r="AJ854" s="63">
        <v>2204</v>
      </c>
      <c r="AK854" s="87">
        <f t="shared" si="84"/>
        <v>0</v>
      </c>
      <c r="AL854" s="86">
        <v>0</v>
      </c>
      <c r="AM854" s="86">
        <f t="shared" si="85"/>
        <v>4151008</v>
      </c>
      <c r="AN854" s="63" t="s">
        <v>1155</v>
      </c>
      <c r="AO854" s="86">
        <f t="shared" si="86"/>
        <v>0</v>
      </c>
      <c r="AP854" s="63"/>
      <c r="AQ854" s="81">
        <v>43215</v>
      </c>
      <c r="AR854" s="63" t="s">
        <v>2109</v>
      </c>
      <c r="AS854" s="81">
        <v>43215</v>
      </c>
      <c r="AT854" s="63" t="s">
        <v>2408</v>
      </c>
      <c r="AU854" s="220"/>
      <c r="AV854" s="220"/>
      <c r="AW854" s="220"/>
    </row>
    <row r="855" spans="1:49" s="221" customFormat="1" ht="156.75" x14ac:dyDescent="0.25">
      <c r="A855" s="63">
        <v>441</v>
      </c>
      <c r="B855" s="63" t="str">
        <f t="shared" si="83"/>
        <v>3075-441</v>
      </c>
      <c r="C855" s="76" t="s">
        <v>1141</v>
      </c>
      <c r="D855" s="76" t="s">
        <v>1142</v>
      </c>
      <c r="E855" s="76" t="s">
        <v>1174</v>
      </c>
      <c r="F855" s="76" t="s">
        <v>1175</v>
      </c>
      <c r="G855" s="77" t="s">
        <v>1176</v>
      </c>
      <c r="H855" s="78" t="s">
        <v>1177</v>
      </c>
      <c r="I855" s="76" t="s">
        <v>1147</v>
      </c>
      <c r="J855" s="76" t="s">
        <v>1182</v>
      </c>
      <c r="K855" s="76" t="s">
        <v>439</v>
      </c>
      <c r="L855" s="63" t="s">
        <v>1149</v>
      </c>
      <c r="M855" s="63" t="s">
        <v>58</v>
      </c>
      <c r="N855" s="63" t="s">
        <v>59</v>
      </c>
      <c r="O855" s="76" t="s">
        <v>1169</v>
      </c>
      <c r="P855" s="76" t="s">
        <v>2408</v>
      </c>
      <c r="Q855" s="79">
        <v>34911092</v>
      </c>
      <c r="R855" s="63">
        <v>1</v>
      </c>
      <c r="S855" s="80">
        <f t="shared" si="88"/>
        <v>34911092</v>
      </c>
      <c r="T855" s="63" t="s">
        <v>1171</v>
      </c>
      <c r="U855" s="63" t="s">
        <v>1171</v>
      </c>
      <c r="V855" s="81" t="s">
        <v>1208</v>
      </c>
      <c r="W855" s="82" t="s">
        <v>439</v>
      </c>
      <c r="X855" s="90" t="s">
        <v>2411</v>
      </c>
      <c r="Y855" s="89">
        <v>43215</v>
      </c>
      <c r="Z855" s="83">
        <v>34911092</v>
      </c>
      <c r="AA855" s="84" t="s">
        <v>1185</v>
      </c>
      <c r="AB855" s="85">
        <v>812</v>
      </c>
      <c r="AC855" s="81">
        <v>43220</v>
      </c>
      <c r="AD855" s="86">
        <v>34911092</v>
      </c>
      <c r="AE855" s="87">
        <f t="shared" si="87"/>
        <v>0</v>
      </c>
      <c r="AF855" s="85">
        <v>2010</v>
      </c>
      <c r="AG855" s="81">
        <v>43263</v>
      </c>
      <c r="AH855" s="86">
        <v>34911092</v>
      </c>
      <c r="AI855" s="63" t="s">
        <v>2410</v>
      </c>
      <c r="AJ855" s="63">
        <v>2204</v>
      </c>
      <c r="AK855" s="87">
        <f t="shared" si="84"/>
        <v>0</v>
      </c>
      <c r="AL855" s="86">
        <v>0</v>
      </c>
      <c r="AM855" s="86">
        <f t="shared" si="85"/>
        <v>34911092</v>
      </c>
      <c r="AN855" s="63" t="s">
        <v>1155</v>
      </c>
      <c r="AO855" s="86">
        <f t="shared" si="86"/>
        <v>0</v>
      </c>
      <c r="AP855" s="63"/>
      <c r="AQ855" s="81">
        <v>43215</v>
      </c>
      <c r="AR855" s="63" t="s">
        <v>2109</v>
      </c>
      <c r="AS855" s="81">
        <v>43215</v>
      </c>
      <c r="AT855" s="63" t="s">
        <v>2137</v>
      </c>
      <c r="AU855" s="220"/>
      <c r="AV855" s="220"/>
      <c r="AW855" s="220"/>
    </row>
    <row r="856" spans="1:49" s="221" customFormat="1" ht="342" x14ac:dyDescent="0.25">
      <c r="A856" s="63">
        <v>442</v>
      </c>
      <c r="B856" s="63" t="str">
        <f t="shared" si="83"/>
        <v>3075-442</v>
      </c>
      <c r="C856" s="76" t="s">
        <v>1141</v>
      </c>
      <c r="D856" s="76" t="s">
        <v>1142</v>
      </c>
      <c r="E856" s="76" t="s">
        <v>1174</v>
      </c>
      <c r="F856" s="76" t="s">
        <v>1175</v>
      </c>
      <c r="G856" s="77" t="s">
        <v>1176</v>
      </c>
      <c r="H856" s="78" t="s">
        <v>2412</v>
      </c>
      <c r="I856" s="76" t="s">
        <v>1147</v>
      </c>
      <c r="J856" s="76" t="s">
        <v>1148</v>
      </c>
      <c r="K856" s="76" t="s">
        <v>439</v>
      </c>
      <c r="L856" s="63" t="s">
        <v>1149</v>
      </c>
      <c r="M856" s="63" t="s">
        <v>58</v>
      </c>
      <c r="N856" s="63" t="s">
        <v>59</v>
      </c>
      <c r="O856" s="76" t="s">
        <v>1169</v>
      </c>
      <c r="P856" s="76" t="s">
        <v>2413</v>
      </c>
      <c r="Q856" s="79">
        <v>54686940</v>
      </c>
      <c r="R856" s="63">
        <v>1</v>
      </c>
      <c r="S856" s="80">
        <f t="shared" si="88"/>
        <v>54686940</v>
      </c>
      <c r="T856" s="63" t="s">
        <v>1171</v>
      </c>
      <c r="U856" s="63" t="s">
        <v>1171</v>
      </c>
      <c r="V856" s="81" t="s">
        <v>1208</v>
      </c>
      <c r="W856" s="82" t="s">
        <v>439</v>
      </c>
      <c r="X856" s="63" t="s">
        <v>2414</v>
      </c>
      <c r="Y856" s="89">
        <v>43215</v>
      </c>
      <c r="Z856" s="86">
        <v>54686940</v>
      </c>
      <c r="AA856" s="84" t="s">
        <v>2415</v>
      </c>
      <c r="AB856" s="85">
        <v>809</v>
      </c>
      <c r="AC856" s="81">
        <v>43220</v>
      </c>
      <c r="AD856" s="86">
        <v>54686940</v>
      </c>
      <c r="AE856" s="87">
        <f t="shared" si="87"/>
        <v>0</v>
      </c>
      <c r="AF856" s="85">
        <v>2013</v>
      </c>
      <c r="AG856" s="81">
        <v>43263</v>
      </c>
      <c r="AH856" s="86">
        <v>54686940</v>
      </c>
      <c r="AI856" s="63" t="s">
        <v>2416</v>
      </c>
      <c r="AJ856" s="63">
        <v>2223</v>
      </c>
      <c r="AK856" s="87">
        <f t="shared" si="84"/>
        <v>0</v>
      </c>
      <c r="AL856" s="86">
        <v>54686940</v>
      </c>
      <c r="AM856" s="86">
        <f t="shared" si="85"/>
        <v>0</v>
      </c>
      <c r="AN856" s="63" t="s">
        <v>1155</v>
      </c>
      <c r="AO856" s="86">
        <f t="shared" si="86"/>
        <v>0</v>
      </c>
      <c r="AP856" s="63"/>
      <c r="AQ856" s="81">
        <v>43215</v>
      </c>
      <c r="AR856" s="63" t="s">
        <v>2109</v>
      </c>
      <c r="AS856" s="81">
        <v>43215</v>
      </c>
      <c r="AT856" s="63" t="s">
        <v>2413</v>
      </c>
      <c r="AU856" s="220"/>
      <c r="AV856" s="220"/>
      <c r="AW856" s="220"/>
    </row>
    <row r="857" spans="1:49" s="221" customFormat="1" ht="342" x14ac:dyDescent="0.25">
      <c r="A857" s="63">
        <v>443</v>
      </c>
      <c r="B857" s="63" t="str">
        <f t="shared" si="83"/>
        <v>3075-443</v>
      </c>
      <c r="C857" s="76" t="s">
        <v>1141</v>
      </c>
      <c r="D857" s="76" t="s">
        <v>1142</v>
      </c>
      <c r="E857" s="76" t="s">
        <v>1174</v>
      </c>
      <c r="F857" s="76" t="s">
        <v>1175</v>
      </c>
      <c r="G857" s="77" t="s">
        <v>1176</v>
      </c>
      <c r="H857" s="78" t="s">
        <v>2412</v>
      </c>
      <c r="I857" s="76" t="s">
        <v>1147</v>
      </c>
      <c r="J857" s="76" t="s">
        <v>1148</v>
      </c>
      <c r="K857" s="76" t="s">
        <v>439</v>
      </c>
      <c r="L857" s="63" t="s">
        <v>1149</v>
      </c>
      <c r="M857" s="63" t="s">
        <v>58</v>
      </c>
      <c r="N857" s="63" t="s">
        <v>59</v>
      </c>
      <c r="O857" s="76" t="s">
        <v>1169</v>
      </c>
      <c r="P857" s="76" t="s">
        <v>2417</v>
      </c>
      <c r="Q857" s="79">
        <v>54686940</v>
      </c>
      <c r="R857" s="63">
        <v>1</v>
      </c>
      <c r="S857" s="80">
        <f t="shared" si="88"/>
        <v>54686940</v>
      </c>
      <c r="T857" s="63" t="s">
        <v>1171</v>
      </c>
      <c r="U857" s="63" t="s">
        <v>1171</v>
      </c>
      <c r="V857" s="81" t="s">
        <v>1208</v>
      </c>
      <c r="W857" s="82" t="s">
        <v>439</v>
      </c>
      <c r="X857" s="63" t="s">
        <v>2418</v>
      </c>
      <c r="Y857" s="89">
        <v>43215</v>
      </c>
      <c r="Z857" s="86">
        <v>54686940</v>
      </c>
      <c r="AA857" s="84" t="s">
        <v>2415</v>
      </c>
      <c r="AB857" s="85">
        <v>810</v>
      </c>
      <c r="AC857" s="81">
        <v>43220</v>
      </c>
      <c r="AD857" s="86">
        <v>54686940</v>
      </c>
      <c r="AE857" s="87">
        <f t="shared" si="87"/>
        <v>0</v>
      </c>
      <c r="AF857" s="85">
        <v>2012</v>
      </c>
      <c r="AG857" s="81">
        <v>43263</v>
      </c>
      <c r="AH857" s="86">
        <v>54686940</v>
      </c>
      <c r="AI857" s="63" t="s">
        <v>2419</v>
      </c>
      <c r="AJ857" s="63">
        <v>2222</v>
      </c>
      <c r="AK857" s="87">
        <f t="shared" si="84"/>
        <v>0</v>
      </c>
      <c r="AL857" s="86">
        <v>54686940</v>
      </c>
      <c r="AM857" s="86">
        <f t="shared" si="85"/>
        <v>0</v>
      </c>
      <c r="AN857" s="63" t="s">
        <v>1155</v>
      </c>
      <c r="AO857" s="86">
        <f t="shared" si="86"/>
        <v>0</v>
      </c>
      <c r="AP857" s="63"/>
      <c r="AQ857" s="81">
        <v>43215</v>
      </c>
      <c r="AR857" s="63" t="s">
        <v>2109</v>
      </c>
      <c r="AS857" s="81">
        <v>43215</v>
      </c>
      <c r="AT857" s="63" t="s">
        <v>2417</v>
      </c>
      <c r="AU857" s="220"/>
      <c r="AV857" s="220"/>
      <c r="AW857" s="220"/>
    </row>
    <row r="858" spans="1:49" s="221" customFormat="1" ht="156.75" x14ac:dyDescent="0.25">
      <c r="A858" s="63">
        <v>444</v>
      </c>
      <c r="B858" s="63" t="str">
        <f t="shared" si="83"/>
        <v>3075-444</v>
      </c>
      <c r="C858" s="76" t="s">
        <v>1141</v>
      </c>
      <c r="D858" s="76" t="s">
        <v>1142</v>
      </c>
      <c r="E858" s="76" t="s">
        <v>1174</v>
      </c>
      <c r="F858" s="76" t="s">
        <v>1175</v>
      </c>
      <c r="G858" s="77" t="s">
        <v>1176</v>
      </c>
      <c r="H858" s="78" t="s">
        <v>1177</v>
      </c>
      <c r="I858" s="76" t="s">
        <v>1191</v>
      </c>
      <c r="J858" s="76" t="s">
        <v>1192</v>
      </c>
      <c r="K858" s="76" t="s">
        <v>439</v>
      </c>
      <c r="L858" s="63" t="s">
        <v>1149</v>
      </c>
      <c r="M858" s="63" t="s">
        <v>58</v>
      </c>
      <c r="N858" s="63" t="s">
        <v>59</v>
      </c>
      <c r="O858" s="76" t="s">
        <v>1169</v>
      </c>
      <c r="P858" s="76" t="s">
        <v>2420</v>
      </c>
      <c r="Q858" s="79">
        <v>4150000000</v>
      </c>
      <c r="R858" s="63">
        <v>1</v>
      </c>
      <c r="S858" s="80">
        <f>Q858*R858-4150000000</f>
        <v>0</v>
      </c>
      <c r="T858" s="63"/>
      <c r="U858" s="63"/>
      <c r="V858" s="81"/>
      <c r="W858" s="82"/>
      <c r="X858" s="90" t="s">
        <v>2421</v>
      </c>
      <c r="Y858" s="81">
        <v>43223</v>
      </c>
      <c r="Z858" s="83">
        <f>4150000000-4150000000</f>
        <v>0</v>
      </c>
      <c r="AA858" s="84" t="s">
        <v>2422</v>
      </c>
      <c r="AB858" s="85"/>
      <c r="AC858" s="81">
        <v>43223</v>
      </c>
      <c r="AD858" s="86">
        <v>0</v>
      </c>
      <c r="AE858" s="87">
        <f t="shared" si="87"/>
        <v>0</v>
      </c>
      <c r="AF858" s="85"/>
      <c r="AG858" s="81"/>
      <c r="AH858" s="86"/>
      <c r="AI858" s="63"/>
      <c r="AJ858" s="63"/>
      <c r="AK858" s="87">
        <f t="shared" si="84"/>
        <v>0</v>
      </c>
      <c r="AL858" s="86"/>
      <c r="AM858" s="86">
        <f t="shared" si="85"/>
        <v>0</v>
      </c>
      <c r="AN858" s="63" t="s">
        <v>1155</v>
      </c>
      <c r="AO858" s="86">
        <f t="shared" si="86"/>
        <v>0</v>
      </c>
      <c r="AP858" s="63" t="s">
        <v>2423</v>
      </c>
      <c r="AQ858" s="81">
        <v>43223</v>
      </c>
      <c r="AR858" s="63" t="s">
        <v>1157</v>
      </c>
      <c r="AS858" s="81">
        <v>43223</v>
      </c>
      <c r="AT858" s="63" t="s">
        <v>2424</v>
      </c>
      <c r="AU858" s="220"/>
      <c r="AV858" s="220"/>
      <c r="AW858" s="220"/>
    </row>
    <row r="859" spans="1:49" s="221" customFormat="1" ht="342" x14ac:dyDescent="0.25">
      <c r="A859" s="63">
        <v>445</v>
      </c>
      <c r="B859" s="63" t="str">
        <f t="shared" si="83"/>
        <v>3075-445</v>
      </c>
      <c r="C859" s="76" t="s">
        <v>1141</v>
      </c>
      <c r="D859" s="76" t="s">
        <v>1142</v>
      </c>
      <c r="E859" s="76" t="s">
        <v>1174</v>
      </c>
      <c r="F859" s="76" t="s">
        <v>1175</v>
      </c>
      <c r="G859" s="77" t="s">
        <v>1176</v>
      </c>
      <c r="H859" s="78" t="s">
        <v>2412</v>
      </c>
      <c r="I859" s="76" t="s">
        <v>1147</v>
      </c>
      <c r="J859" s="76" t="s">
        <v>1148</v>
      </c>
      <c r="K859" s="76" t="s">
        <v>439</v>
      </c>
      <c r="L859" s="63" t="s">
        <v>1149</v>
      </c>
      <c r="M859" s="63" t="s">
        <v>58</v>
      </c>
      <c r="N859" s="63" t="s">
        <v>59</v>
      </c>
      <c r="O859" s="76" t="s">
        <v>1169</v>
      </c>
      <c r="P859" s="76" t="s">
        <v>2425</v>
      </c>
      <c r="Q859" s="86">
        <v>54686940</v>
      </c>
      <c r="R859" s="63">
        <v>1</v>
      </c>
      <c r="S859" s="80">
        <f t="shared" ref="S859:S869" si="89">Q859*R859</f>
        <v>54686940</v>
      </c>
      <c r="T859" s="63" t="s">
        <v>1171</v>
      </c>
      <c r="U859" s="63" t="s">
        <v>1171</v>
      </c>
      <c r="V859" s="81" t="s">
        <v>1208</v>
      </c>
      <c r="W859" s="82" t="s">
        <v>439</v>
      </c>
      <c r="X859" s="90" t="s">
        <v>2426</v>
      </c>
      <c r="Y859" s="81">
        <v>43224</v>
      </c>
      <c r="Z859" s="83">
        <v>54686940</v>
      </c>
      <c r="AA859" s="84" t="s">
        <v>2427</v>
      </c>
      <c r="AB859" s="85">
        <v>817</v>
      </c>
      <c r="AC859" s="81">
        <v>43227</v>
      </c>
      <c r="AD859" s="86">
        <v>54686940</v>
      </c>
      <c r="AE859" s="87">
        <f t="shared" si="87"/>
        <v>0</v>
      </c>
      <c r="AF859" s="85">
        <v>2009</v>
      </c>
      <c r="AG859" s="81">
        <v>43263</v>
      </c>
      <c r="AH859" s="86">
        <v>54686940</v>
      </c>
      <c r="AI859" s="63" t="s">
        <v>2428</v>
      </c>
      <c r="AJ859" s="63">
        <v>2221</v>
      </c>
      <c r="AK859" s="87">
        <f t="shared" si="84"/>
        <v>0</v>
      </c>
      <c r="AL859" s="86">
        <v>54686940</v>
      </c>
      <c r="AM859" s="86">
        <f t="shared" si="85"/>
        <v>0</v>
      </c>
      <c r="AN859" s="63" t="s">
        <v>1155</v>
      </c>
      <c r="AO859" s="86">
        <f t="shared" si="86"/>
        <v>0</v>
      </c>
      <c r="AP859" s="63"/>
      <c r="AQ859" s="81">
        <v>43224</v>
      </c>
      <c r="AR859" s="63" t="s">
        <v>2109</v>
      </c>
      <c r="AS859" s="81">
        <v>43224</v>
      </c>
      <c r="AT859" s="63" t="s">
        <v>2425</v>
      </c>
      <c r="AU859" s="220"/>
      <c r="AV859" s="220"/>
      <c r="AW859" s="220"/>
    </row>
    <row r="860" spans="1:49" s="221" customFormat="1" ht="384.75" x14ac:dyDescent="0.25">
      <c r="A860" s="63">
        <v>446</v>
      </c>
      <c r="B860" s="63" t="str">
        <f t="shared" si="83"/>
        <v>3075-446</v>
      </c>
      <c r="C860" s="76" t="s">
        <v>1141</v>
      </c>
      <c r="D860" s="76" t="s">
        <v>1142</v>
      </c>
      <c r="E860" s="76" t="s">
        <v>1174</v>
      </c>
      <c r="F860" s="76" t="s">
        <v>1175</v>
      </c>
      <c r="G860" s="77" t="s">
        <v>1176</v>
      </c>
      <c r="H860" s="78" t="s">
        <v>1177</v>
      </c>
      <c r="I860" s="76" t="s">
        <v>1147</v>
      </c>
      <c r="J860" s="76" t="s">
        <v>1182</v>
      </c>
      <c r="K860" s="76" t="s">
        <v>439</v>
      </c>
      <c r="L860" s="63" t="s">
        <v>1149</v>
      </c>
      <c r="M860" s="63" t="s">
        <v>58</v>
      </c>
      <c r="N860" s="63" t="s">
        <v>59</v>
      </c>
      <c r="O860" s="76" t="s">
        <v>1169</v>
      </c>
      <c r="P860" s="76" t="s">
        <v>2429</v>
      </c>
      <c r="Q860" s="86">
        <v>39062100</v>
      </c>
      <c r="R860" s="63">
        <v>1</v>
      </c>
      <c r="S860" s="80">
        <f t="shared" si="89"/>
        <v>39062100</v>
      </c>
      <c r="T860" s="63" t="s">
        <v>1171</v>
      </c>
      <c r="U860" s="63" t="s">
        <v>1171</v>
      </c>
      <c r="V860" s="81" t="s">
        <v>1208</v>
      </c>
      <c r="W860" s="82" t="s">
        <v>439</v>
      </c>
      <c r="X860" s="90" t="s">
        <v>2430</v>
      </c>
      <c r="Y860" s="81">
        <v>43224</v>
      </c>
      <c r="Z860" s="83">
        <v>39062100</v>
      </c>
      <c r="AA860" s="84" t="s">
        <v>2431</v>
      </c>
      <c r="AB860" s="85">
        <v>816</v>
      </c>
      <c r="AC860" s="81">
        <v>43227</v>
      </c>
      <c r="AD860" s="86">
        <v>39062100</v>
      </c>
      <c r="AE860" s="87">
        <f t="shared" si="87"/>
        <v>0</v>
      </c>
      <c r="AF860" s="85">
        <v>2221</v>
      </c>
      <c r="AG860" s="81">
        <v>43277</v>
      </c>
      <c r="AH860" s="86">
        <v>39062100</v>
      </c>
      <c r="AI860" s="63" t="s">
        <v>2432</v>
      </c>
      <c r="AJ860" s="63">
        <v>2425</v>
      </c>
      <c r="AK860" s="87">
        <f t="shared" si="84"/>
        <v>0</v>
      </c>
      <c r="AL860" s="86">
        <v>0</v>
      </c>
      <c r="AM860" s="86">
        <f t="shared" si="85"/>
        <v>39062100</v>
      </c>
      <c r="AN860" s="63" t="s">
        <v>1155</v>
      </c>
      <c r="AO860" s="86">
        <f t="shared" si="86"/>
        <v>0</v>
      </c>
      <c r="AP860" s="63"/>
      <c r="AQ860" s="81">
        <v>43224</v>
      </c>
      <c r="AR860" s="63" t="s">
        <v>2109</v>
      </c>
      <c r="AS860" s="81">
        <v>43224</v>
      </c>
      <c r="AT860" s="63" t="s">
        <v>2429</v>
      </c>
      <c r="AU860" s="220"/>
      <c r="AV860" s="220"/>
      <c r="AW860" s="220"/>
    </row>
    <row r="861" spans="1:49" s="221" customFormat="1" ht="342" x14ac:dyDescent="0.25">
      <c r="A861" s="63">
        <v>447</v>
      </c>
      <c r="B861" s="63" t="str">
        <f t="shared" si="83"/>
        <v>3075-447</v>
      </c>
      <c r="C861" s="76" t="s">
        <v>1141</v>
      </c>
      <c r="D861" s="76" t="s">
        <v>1142</v>
      </c>
      <c r="E861" s="76" t="s">
        <v>1424</v>
      </c>
      <c r="F861" s="76" t="s">
        <v>1175</v>
      </c>
      <c r="G861" s="77" t="s">
        <v>1176</v>
      </c>
      <c r="H861" s="78" t="s">
        <v>1425</v>
      </c>
      <c r="I861" s="76" t="s">
        <v>1147</v>
      </c>
      <c r="J861" s="76" t="s">
        <v>1148</v>
      </c>
      <c r="K861" s="76"/>
      <c r="L861" s="63" t="s">
        <v>1149</v>
      </c>
      <c r="M861" s="63" t="s">
        <v>58</v>
      </c>
      <c r="N861" s="63" t="s">
        <v>59</v>
      </c>
      <c r="O861" s="76" t="s">
        <v>1213</v>
      </c>
      <c r="P861" s="63" t="s">
        <v>2433</v>
      </c>
      <c r="Q861" s="83">
        <v>54686940</v>
      </c>
      <c r="R861" s="98">
        <v>1</v>
      </c>
      <c r="S861" s="80">
        <f t="shared" si="89"/>
        <v>54686940</v>
      </c>
      <c r="T861" s="63" t="s">
        <v>1171</v>
      </c>
      <c r="U861" s="63" t="s">
        <v>1163</v>
      </c>
      <c r="V861" s="81" t="s">
        <v>1208</v>
      </c>
      <c r="W861" s="82">
        <v>4.2501720000000001</v>
      </c>
      <c r="X861" s="99" t="s">
        <v>2434</v>
      </c>
      <c r="Y861" s="81">
        <v>43237</v>
      </c>
      <c r="Z861" s="83">
        <v>54686940</v>
      </c>
      <c r="AA861" s="84" t="s">
        <v>2435</v>
      </c>
      <c r="AB861" s="85">
        <v>835</v>
      </c>
      <c r="AC861" s="81">
        <v>43238</v>
      </c>
      <c r="AD861" s="86">
        <v>54686940</v>
      </c>
      <c r="AE861" s="87">
        <f t="shared" si="87"/>
        <v>0</v>
      </c>
      <c r="AF861" s="85">
        <v>1992</v>
      </c>
      <c r="AG861" s="81">
        <v>43256</v>
      </c>
      <c r="AH861" s="86">
        <v>54686940</v>
      </c>
      <c r="AI861" s="63" t="s">
        <v>2436</v>
      </c>
      <c r="AJ861" s="63">
        <v>2196</v>
      </c>
      <c r="AK861" s="87">
        <f t="shared" si="84"/>
        <v>0</v>
      </c>
      <c r="AL861" s="86">
        <v>54686940</v>
      </c>
      <c r="AM861" s="86">
        <f t="shared" si="85"/>
        <v>0</v>
      </c>
      <c r="AN861" s="63" t="s">
        <v>1155</v>
      </c>
      <c r="AO861" s="86">
        <f t="shared" si="86"/>
        <v>0</v>
      </c>
      <c r="AP861" s="63"/>
      <c r="AQ861" s="81">
        <v>43236</v>
      </c>
      <c r="AR861" s="63" t="s">
        <v>2109</v>
      </c>
      <c r="AS861" s="81">
        <v>43237</v>
      </c>
      <c r="AT861" s="63"/>
      <c r="AU861" s="220"/>
      <c r="AV861" s="220"/>
      <c r="AW861" s="220"/>
    </row>
    <row r="862" spans="1:49" s="221" customFormat="1" ht="342" x14ac:dyDescent="0.25">
      <c r="A862" s="63">
        <v>448</v>
      </c>
      <c r="B862" s="63" t="str">
        <f t="shared" si="83"/>
        <v>3075-448</v>
      </c>
      <c r="C862" s="76" t="s">
        <v>1141</v>
      </c>
      <c r="D862" s="76" t="s">
        <v>1142</v>
      </c>
      <c r="E862" s="76" t="s">
        <v>1424</v>
      </c>
      <c r="F862" s="76" t="s">
        <v>1175</v>
      </c>
      <c r="G862" s="77" t="s">
        <v>1176</v>
      </c>
      <c r="H862" s="78" t="s">
        <v>1425</v>
      </c>
      <c r="I862" s="76" t="s">
        <v>1147</v>
      </c>
      <c r="J862" s="76" t="s">
        <v>1148</v>
      </c>
      <c r="K862" s="76"/>
      <c r="L862" s="63" t="s">
        <v>1149</v>
      </c>
      <c r="M862" s="63" t="s">
        <v>58</v>
      </c>
      <c r="N862" s="63" t="s">
        <v>59</v>
      </c>
      <c r="O862" s="76" t="s">
        <v>1213</v>
      </c>
      <c r="P862" s="63" t="s">
        <v>2437</v>
      </c>
      <c r="Q862" s="83">
        <v>54686940</v>
      </c>
      <c r="R862" s="98">
        <v>1</v>
      </c>
      <c r="S862" s="80">
        <f t="shared" si="89"/>
        <v>54686940</v>
      </c>
      <c r="T862" s="63" t="s">
        <v>1171</v>
      </c>
      <c r="U862" s="63" t="s">
        <v>1163</v>
      </c>
      <c r="V862" s="81" t="s">
        <v>1208</v>
      </c>
      <c r="W862" s="82">
        <v>4</v>
      </c>
      <c r="X862" s="79" t="s">
        <v>2438</v>
      </c>
      <c r="Y862" s="81">
        <v>43237</v>
      </c>
      <c r="Z862" s="83">
        <v>54686940</v>
      </c>
      <c r="AA862" s="84" t="s">
        <v>1429</v>
      </c>
      <c r="AB862" s="85">
        <v>836</v>
      </c>
      <c r="AC862" s="81">
        <v>43238</v>
      </c>
      <c r="AD862" s="86">
        <v>54686940</v>
      </c>
      <c r="AE862" s="87">
        <f t="shared" si="87"/>
        <v>0</v>
      </c>
      <c r="AF862" s="85">
        <v>2036</v>
      </c>
      <c r="AG862" s="81">
        <v>43270</v>
      </c>
      <c r="AH862" s="86">
        <v>54686940</v>
      </c>
      <c r="AI862" s="63" t="s">
        <v>2439</v>
      </c>
      <c r="AJ862" s="63">
        <v>2299</v>
      </c>
      <c r="AK862" s="87">
        <f t="shared" si="84"/>
        <v>0</v>
      </c>
      <c r="AL862" s="86">
        <v>54686940</v>
      </c>
      <c r="AM862" s="86">
        <f t="shared" si="85"/>
        <v>0</v>
      </c>
      <c r="AN862" s="63" t="s">
        <v>1155</v>
      </c>
      <c r="AO862" s="86">
        <f t="shared" si="86"/>
        <v>0</v>
      </c>
      <c r="AP862" s="63"/>
      <c r="AQ862" s="81">
        <v>43236</v>
      </c>
      <c r="AR862" s="63" t="s">
        <v>2109</v>
      </c>
      <c r="AS862" s="81">
        <v>43237</v>
      </c>
      <c r="AT862" s="63"/>
      <c r="AU862" s="220"/>
      <c r="AV862" s="220"/>
      <c r="AW862" s="220"/>
    </row>
    <row r="863" spans="1:49" s="221" customFormat="1" ht="384.75" x14ac:dyDescent="0.25">
      <c r="A863" s="63">
        <v>449</v>
      </c>
      <c r="B863" s="63" t="str">
        <f t="shared" ref="B863:B926" si="90">CONCATENATE("3075","-",A863)</f>
        <v>3075-449</v>
      </c>
      <c r="C863" s="76" t="s">
        <v>1141</v>
      </c>
      <c r="D863" s="76" t="s">
        <v>1142</v>
      </c>
      <c r="E863" s="76" t="s">
        <v>1174</v>
      </c>
      <c r="F863" s="76" t="s">
        <v>1175</v>
      </c>
      <c r="G863" s="77" t="s">
        <v>1176</v>
      </c>
      <c r="H863" s="78" t="s">
        <v>1177</v>
      </c>
      <c r="I863" s="76" t="s">
        <v>1147</v>
      </c>
      <c r="J863" s="76" t="s">
        <v>1182</v>
      </c>
      <c r="K863" s="76" t="s">
        <v>439</v>
      </c>
      <c r="L863" s="63" t="s">
        <v>1149</v>
      </c>
      <c r="M863" s="63" t="s">
        <v>58</v>
      </c>
      <c r="N863" s="63" t="s">
        <v>59</v>
      </c>
      <c r="O863" s="76" t="s">
        <v>1169</v>
      </c>
      <c r="P863" s="76" t="s">
        <v>2440</v>
      </c>
      <c r="Q863" s="86">
        <v>39062100</v>
      </c>
      <c r="R863" s="63">
        <v>1</v>
      </c>
      <c r="S863" s="80">
        <f t="shared" si="89"/>
        <v>39062100</v>
      </c>
      <c r="T863" s="63" t="s">
        <v>1171</v>
      </c>
      <c r="U863" s="63" t="s">
        <v>1171</v>
      </c>
      <c r="V863" s="81" t="s">
        <v>1208</v>
      </c>
      <c r="W863" s="82" t="s">
        <v>439</v>
      </c>
      <c r="X863" s="63" t="s">
        <v>2441</v>
      </c>
      <c r="Y863" s="89">
        <v>43237</v>
      </c>
      <c r="Z863" s="83">
        <v>39062100</v>
      </c>
      <c r="AA863" s="84" t="s">
        <v>2442</v>
      </c>
      <c r="AB863" s="85">
        <v>838</v>
      </c>
      <c r="AC863" s="81">
        <v>43238</v>
      </c>
      <c r="AD863" s="86">
        <v>39062100</v>
      </c>
      <c r="AE863" s="87">
        <f t="shared" si="87"/>
        <v>0</v>
      </c>
      <c r="AF863" s="85">
        <v>2400</v>
      </c>
      <c r="AG863" s="81">
        <v>43280</v>
      </c>
      <c r="AH863" s="86">
        <v>39062100</v>
      </c>
      <c r="AI863" s="63" t="s">
        <v>2443</v>
      </c>
      <c r="AJ863" s="63">
        <v>2772</v>
      </c>
      <c r="AK863" s="87">
        <f t="shared" ref="AK863:AK926" si="91">AD863-AH863</f>
        <v>0</v>
      </c>
      <c r="AL863" s="86">
        <v>0</v>
      </c>
      <c r="AM863" s="86">
        <f t="shared" ref="AM863:AM926" si="92">AH863-AL863</f>
        <v>39062100</v>
      </c>
      <c r="AN863" s="63" t="s">
        <v>1155</v>
      </c>
      <c r="AO863" s="86">
        <f t="shared" ref="AO863:AO926" si="93">S863-AH863</f>
        <v>0</v>
      </c>
      <c r="AP863" s="63"/>
      <c r="AQ863" s="81">
        <v>43237</v>
      </c>
      <c r="AR863" s="63" t="s">
        <v>2109</v>
      </c>
      <c r="AS863" s="81">
        <v>43237</v>
      </c>
      <c r="AT863" s="63" t="s">
        <v>2440</v>
      </c>
      <c r="AU863" s="220"/>
      <c r="AV863" s="220"/>
      <c r="AW863" s="220"/>
    </row>
    <row r="864" spans="1:49" s="221" customFormat="1" ht="285" x14ac:dyDescent="0.25">
      <c r="A864" s="63">
        <v>450</v>
      </c>
      <c r="B864" s="63" t="str">
        <f t="shared" si="90"/>
        <v>3075-450</v>
      </c>
      <c r="C864" s="76" t="s">
        <v>1141</v>
      </c>
      <c r="D864" s="76" t="s">
        <v>1142</v>
      </c>
      <c r="E864" s="76" t="s">
        <v>1174</v>
      </c>
      <c r="F864" s="76" t="s">
        <v>1175</v>
      </c>
      <c r="G864" s="77" t="s">
        <v>1176</v>
      </c>
      <c r="H864" s="78" t="s">
        <v>1177</v>
      </c>
      <c r="I864" s="76" t="s">
        <v>1147</v>
      </c>
      <c r="J864" s="76" t="s">
        <v>1182</v>
      </c>
      <c r="K864" s="76" t="s">
        <v>439</v>
      </c>
      <c r="L864" s="63" t="s">
        <v>1149</v>
      </c>
      <c r="M864" s="63" t="s">
        <v>58</v>
      </c>
      <c r="N864" s="63" t="s">
        <v>59</v>
      </c>
      <c r="O864" s="76" t="s">
        <v>1169</v>
      </c>
      <c r="P864" s="76" t="s">
        <v>2444</v>
      </c>
      <c r="Q864" s="86">
        <v>39062100</v>
      </c>
      <c r="R864" s="63">
        <v>1</v>
      </c>
      <c r="S864" s="80">
        <f t="shared" si="89"/>
        <v>39062100</v>
      </c>
      <c r="T864" s="63"/>
      <c r="U864" s="63" t="s">
        <v>1171</v>
      </c>
      <c r="V864" s="81" t="s">
        <v>1164</v>
      </c>
      <c r="W864" s="82" t="s">
        <v>439</v>
      </c>
      <c r="X864" s="63" t="s">
        <v>2445</v>
      </c>
      <c r="Y864" s="89">
        <v>43237</v>
      </c>
      <c r="Z864" s="83">
        <f>39062100-39062100</f>
        <v>0</v>
      </c>
      <c r="AA864" s="84" t="s">
        <v>2442</v>
      </c>
      <c r="AB864" s="85" t="s">
        <v>2446</v>
      </c>
      <c r="AC864" s="81">
        <v>43238</v>
      </c>
      <c r="AD864" s="86">
        <v>0</v>
      </c>
      <c r="AE864" s="87">
        <f t="shared" si="87"/>
        <v>39062100</v>
      </c>
      <c r="AF864" s="85"/>
      <c r="AG864" s="81"/>
      <c r="AH864" s="86"/>
      <c r="AI864" s="63"/>
      <c r="AJ864" s="63"/>
      <c r="AK864" s="87">
        <f t="shared" si="91"/>
        <v>0</v>
      </c>
      <c r="AL864" s="86"/>
      <c r="AM864" s="86">
        <f t="shared" si="92"/>
        <v>0</v>
      </c>
      <c r="AN864" s="63" t="s">
        <v>1155</v>
      </c>
      <c r="AO864" s="86">
        <f t="shared" si="93"/>
        <v>39062100</v>
      </c>
      <c r="AP864" s="63"/>
      <c r="AQ864" s="81">
        <v>43237</v>
      </c>
      <c r="AR864" s="63" t="s">
        <v>2109</v>
      </c>
      <c r="AS864" s="81">
        <v>43237</v>
      </c>
      <c r="AT864" s="63"/>
      <c r="AU864" s="220"/>
      <c r="AV864" s="220"/>
      <c r="AW864" s="220"/>
    </row>
    <row r="865" spans="1:49" s="221" customFormat="1" ht="384.75" x14ac:dyDescent="0.25">
      <c r="A865" s="63">
        <v>451</v>
      </c>
      <c r="B865" s="63" t="str">
        <f t="shared" si="90"/>
        <v>3075-451</v>
      </c>
      <c r="C865" s="76" t="s">
        <v>1141</v>
      </c>
      <c r="D865" s="76" t="s">
        <v>1142</v>
      </c>
      <c r="E865" s="76" t="s">
        <v>1174</v>
      </c>
      <c r="F865" s="76" t="s">
        <v>1175</v>
      </c>
      <c r="G865" s="77" t="s">
        <v>1176</v>
      </c>
      <c r="H865" s="78" t="s">
        <v>1177</v>
      </c>
      <c r="I865" s="76" t="s">
        <v>1147</v>
      </c>
      <c r="J865" s="76" t="s">
        <v>1182</v>
      </c>
      <c r="K865" s="76" t="s">
        <v>439</v>
      </c>
      <c r="L865" s="63" t="s">
        <v>1149</v>
      </c>
      <c r="M865" s="63" t="s">
        <v>58</v>
      </c>
      <c r="N865" s="63" t="s">
        <v>59</v>
      </c>
      <c r="O865" s="76" t="s">
        <v>1169</v>
      </c>
      <c r="P865" s="76" t="s">
        <v>2447</v>
      </c>
      <c r="Q865" s="86">
        <v>39062100</v>
      </c>
      <c r="R865" s="63">
        <v>1</v>
      </c>
      <c r="S865" s="80">
        <f t="shared" si="89"/>
        <v>39062100</v>
      </c>
      <c r="T865" s="63" t="s">
        <v>1171</v>
      </c>
      <c r="U865" s="63" t="s">
        <v>1171</v>
      </c>
      <c r="V865" s="81" t="s">
        <v>1208</v>
      </c>
      <c r="W865" s="82" t="s">
        <v>439</v>
      </c>
      <c r="X865" s="63" t="s">
        <v>2448</v>
      </c>
      <c r="Y865" s="89">
        <v>43237</v>
      </c>
      <c r="Z865" s="83">
        <v>39062100</v>
      </c>
      <c r="AA865" s="84" t="s">
        <v>2449</v>
      </c>
      <c r="AB865" s="85">
        <v>841</v>
      </c>
      <c r="AC865" s="81">
        <v>43238</v>
      </c>
      <c r="AD865" s="86">
        <v>39062100</v>
      </c>
      <c r="AE865" s="87">
        <f t="shared" si="87"/>
        <v>0</v>
      </c>
      <c r="AF865" s="85">
        <v>2402</v>
      </c>
      <c r="AG865" s="81">
        <v>43280</v>
      </c>
      <c r="AH865" s="86">
        <v>39062100</v>
      </c>
      <c r="AI865" s="63" t="s">
        <v>2450</v>
      </c>
      <c r="AJ865" s="63">
        <v>2773</v>
      </c>
      <c r="AK865" s="87">
        <f t="shared" si="91"/>
        <v>0</v>
      </c>
      <c r="AL865" s="86">
        <v>0</v>
      </c>
      <c r="AM865" s="86">
        <f t="shared" si="92"/>
        <v>39062100</v>
      </c>
      <c r="AN865" s="63" t="s">
        <v>1155</v>
      </c>
      <c r="AO865" s="86">
        <f t="shared" si="93"/>
        <v>0</v>
      </c>
      <c r="AP865" s="63"/>
      <c r="AQ865" s="81">
        <v>43237</v>
      </c>
      <c r="AR865" s="63" t="s">
        <v>2109</v>
      </c>
      <c r="AS865" s="81">
        <v>43237</v>
      </c>
      <c r="AT865" s="63" t="s">
        <v>2447</v>
      </c>
      <c r="AU865" s="220"/>
      <c r="AV865" s="220"/>
      <c r="AW865" s="220"/>
    </row>
    <row r="866" spans="1:49" s="221" customFormat="1" ht="384.75" x14ac:dyDescent="0.25">
      <c r="A866" s="63">
        <v>452</v>
      </c>
      <c r="B866" s="63" t="str">
        <f t="shared" si="90"/>
        <v>3075-452</v>
      </c>
      <c r="C866" s="76" t="s">
        <v>1141</v>
      </c>
      <c r="D866" s="76" t="s">
        <v>1142</v>
      </c>
      <c r="E866" s="76" t="s">
        <v>1174</v>
      </c>
      <c r="F866" s="76" t="s">
        <v>1175</v>
      </c>
      <c r="G866" s="77" t="s">
        <v>1176</v>
      </c>
      <c r="H866" s="78" t="s">
        <v>1177</v>
      </c>
      <c r="I866" s="76" t="s">
        <v>1147</v>
      </c>
      <c r="J866" s="76" t="s">
        <v>1182</v>
      </c>
      <c r="K866" s="76" t="s">
        <v>439</v>
      </c>
      <c r="L866" s="63" t="s">
        <v>1149</v>
      </c>
      <c r="M866" s="63" t="s">
        <v>58</v>
      </c>
      <c r="N866" s="63" t="s">
        <v>59</v>
      </c>
      <c r="O866" s="76" t="s">
        <v>1169</v>
      </c>
      <c r="P866" s="76" t="s">
        <v>2451</v>
      </c>
      <c r="Q866" s="79">
        <v>39062100</v>
      </c>
      <c r="R866" s="63">
        <v>1</v>
      </c>
      <c r="S866" s="80">
        <f t="shared" si="89"/>
        <v>39062100</v>
      </c>
      <c r="T866" s="63" t="s">
        <v>1171</v>
      </c>
      <c r="U866" s="63" t="s">
        <v>1171</v>
      </c>
      <c r="V866" s="81" t="s">
        <v>1208</v>
      </c>
      <c r="W866" s="82" t="s">
        <v>439</v>
      </c>
      <c r="X866" s="63" t="s">
        <v>2452</v>
      </c>
      <c r="Y866" s="89">
        <v>43237</v>
      </c>
      <c r="Z866" s="83">
        <v>39062100</v>
      </c>
      <c r="AA866" s="84" t="s">
        <v>2453</v>
      </c>
      <c r="AB866" s="85">
        <v>842</v>
      </c>
      <c r="AC866" s="81">
        <v>43238</v>
      </c>
      <c r="AD866" s="86">
        <v>39062100</v>
      </c>
      <c r="AE866" s="87">
        <f t="shared" si="87"/>
        <v>0</v>
      </c>
      <c r="AF866" s="85">
        <v>2047</v>
      </c>
      <c r="AG866" s="81">
        <v>43271</v>
      </c>
      <c r="AH866" s="86">
        <v>39062100</v>
      </c>
      <c r="AI866" s="63" t="s">
        <v>2454</v>
      </c>
      <c r="AJ866" s="63">
        <v>2236</v>
      </c>
      <c r="AK866" s="87">
        <f t="shared" si="91"/>
        <v>0</v>
      </c>
      <c r="AL866" s="86">
        <v>0</v>
      </c>
      <c r="AM866" s="86">
        <f t="shared" si="92"/>
        <v>39062100</v>
      </c>
      <c r="AN866" s="63" t="s">
        <v>1155</v>
      </c>
      <c r="AO866" s="86">
        <f t="shared" si="93"/>
        <v>0</v>
      </c>
      <c r="AP866" s="63"/>
      <c r="AQ866" s="81">
        <v>43237</v>
      </c>
      <c r="AR866" s="63" t="s">
        <v>2109</v>
      </c>
      <c r="AS866" s="81">
        <v>43237</v>
      </c>
      <c r="AT866" s="63" t="s">
        <v>2451</v>
      </c>
      <c r="AU866" s="220"/>
      <c r="AV866" s="220"/>
      <c r="AW866" s="220"/>
    </row>
    <row r="867" spans="1:49" s="221" customFormat="1" ht="384.75" x14ac:dyDescent="0.25">
      <c r="A867" s="63">
        <v>453</v>
      </c>
      <c r="B867" s="63" t="str">
        <f t="shared" si="90"/>
        <v>3075-453</v>
      </c>
      <c r="C867" s="76" t="s">
        <v>1141</v>
      </c>
      <c r="D867" s="76" t="s">
        <v>1142</v>
      </c>
      <c r="E867" s="76" t="s">
        <v>1174</v>
      </c>
      <c r="F867" s="76" t="s">
        <v>1175</v>
      </c>
      <c r="G867" s="77" t="s">
        <v>1176</v>
      </c>
      <c r="H867" s="78" t="s">
        <v>1177</v>
      </c>
      <c r="I867" s="76" t="s">
        <v>1147</v>
      </c>
      <c r="J867" s="76" t="s">
        <v>1182</v>
      </c>
      <c r="K867" s="76" t="s">
        <v>439</v>
      </c>
      <c r="L867" s="63" t="s">
        <v>1149</v>
      </c>
      <c r="M867" s="63" t="s">
        <v>58</v>
      </c>
      <c r="N867" s="63" t="s">
        <v>59</v>
      </c>
      <c r="O867" s="76" t="s">
        <v>1169</v>
      </c>
      <c r="P867" s="76" t="s">
        <v>2455</v>
      </c>
      <c r="Q867" s="79">
        <v>39062100</v>
      </c>
      <c r="R867" s="63">
        <v>1</v>
      </c>
      <c r="S867" s="80">
        <f t="shared" si="89"/>
        <v>39062100</v>
      </c>
      <c r="T867" s="63" t="s">
        <v>1171</v>
      </c>
      <c r="U867" s="63" t="s">
        <v>1171</v>
      </c>
      <c r="V867" s="81" t="s">
        <v>1208</v>
      </c>
      <c r="W867" s="82" t="s">
        <v>439</v>
      </c>
      <c r="X867" s="63" t="s">
        <v>2456</v>
      </c>
      <c r="Y867" s="89">
        <v>43237</v>
      </c>
      <c r="Z867" s="83">
        <v>39062100</v>
      </c>
      <c r="AA867" s="84" t="s">
        <v>2453</v>
      </c>
      <c r="AB867" s="85">
        <v>843</v>
      </c>
      <c r="AC867" s="81">
        <v>43238</v>
      </c>
      <c r="AD867" s="86">
        <v>39062100</v>
      </c>
      <c r="AE867" s="87">
        <f t="shared" si="87"/>
        <v>0</v>
      </c>
      <c r="AF867" s="85">
        <v>2148</v>
      </c>
      <c r="AG867" s="81">
        <v>43277</v>
      </c>
      <c r="AH867" s="86">
        <v>39062100</v>
      </c>
      <c r="AI867" s="63" t="s">
        <v>2457</v>
      </c>
      <c r="AJ867" s="63">
        <v>2426</v>
      </c>
      <c r="AK867" s="87">
        <f t="shared" si="91"/>
        <v>0</v>
      </c>
      <c r="AL867" s="86">
        <v>0</v>
      </c>
      <c r="AM867" s="86">
        <f t="shared" si="92"/>
        <v>39062100</v>
      </c>
      <c r="AN867" s="63" t="s">
        <v>1155</v>
      </c>
      <c r="AO867" s="86">
        <f t="shared" si="93"/>
        <v>0</v>
      </c>
      <c r="AP867" s="63"/>
      <c r="AQ867" s="81">
        <v>43237</v>
      </c>
      <c r="AR867" s="63" t="s">
        <v>2109</v>
      </c>
      <c r="AS867" s="81">
        <v>43237</v>
      </c>
      <c r="AT867" s="63" t="s">
        <v>2455</v>
      </c>
      <c r="AU867" s="220"/>
      <c r="AV867" s="220"/>
      <c r="AW867" s="220"/>
    </row>
    <row r="868" spans="1:49" s="221" customFormat="1" ht="228" x14ac:dyDescent="0.25">
      <c r="A868" s="63">
        <v>454</v>
      </c>
      <c r="B868" s="63" t="str">
        <f t="shared" si="90"/>
        <v>3075-454</v>
      </c>
      <c r="C868" s="76" t="s">
        <v>1141</v>
      </c>
      <c r="D868" s="76" t="s">
        <v>1142</v>
      </c>
      <c r="E868" s="76" t="s">
        <v>1174</v>
      </c>
      <c r="F868" s="76" t="s">
        <v>1175</v>
      </c>
      <c r="G868" s="77" t="s">
        <v>1176</v>
      </c>
      <c r="H868" s="78" t="s">
        <v>1177</v>
      </c>
      <c r="I868" s="76" t="s">
        <v>1147</v>
      </c>
      <c r="J868" s="76" t="s">
        <v>1182</v>
      </c>
      <c r="K868" s="76" t="s">
        <v>439</v>
      </c>
      <c r="L868" s="63" t="s">
        <v>1149</v>
      </c>
      <c r="M868" s="63" t="s">
        <v>58</v>
      </c>
      <c r="N868" s="63" t="s">
        <v>59</v>
      </c>
      <c r="O868" s="76" t="s">
        <v>1169</v>
      </c>
      <c r="P868" s="76" t="s">
        <v>2458</v>
      </c>
      <c r="Q868" s="79">
        <v>39062100</v>
      </c>
      <c r="R868" s="63">
        <v>1</v>
      </c>
      <c r="S868" s="80">
        <f t="shared" si="89"/>
        <v>39062100</v>
      </c>
      <c r="T868" s="63" t="s">
        <v>1171</v>
      </c>
      <c r="U868" s="63" t="s">
        <v>1171</v>
      </c>
      <c r="V868" s="81" t="s">
        <v>844</v>
      </c>
      <c r="W868" s="82" t="s">
        <v>439</v>
      </c>
      <c r="X868" s="63" t="s">
        <v>2459</v>
      </c>
      <c r="Y868" s="89">
        <v>43237</v>
      </c>
      <c r="Z868" s="83">
        <v>39062100</v>
      </c>
      <c r="AA868" s="84" t="s">
        <v>2453</v>
      </c>
      <c r="AB868" s="85">
        <v>844</v>
      </c>
      <c r="AC868" s="81">
        <v>43238</v>
      </c>
      <c r="AD868" s="86">
        <v>39062100</v>
      </c>
      <c r="AE868" s="87">
        <f t="shared" si="87"/>
        <v>0</v>
      </c>
      <c r="AF868" s="85">
        <v>2454</v>
      </c>
      <c r="AG868" s="81">
        <v>43287</v>
      </c>
      <c r="AH868" s="86">
        <v>39062100</v>
      </c>
      <c r="AI868" s="63" t="s">
        <v>2460</v>
      </c>
      <c r="AJ868" s="63">
        <v>2831</v>
      </c>
      <c r="AK868" s="87">
        <f t="shared" si="91"/>
        <v>0</v>
      </c>
      <c r="AL868" s="86">
        <v>0</v>
      </c>
      <c r="AM868" s="86">
        <f t="shared" si="92"/>
        <v>39062100</v>
      </c>
      <c r="AN868" s="63" t="s">
        <v>1155</v>
      </c>
      <c r="AO868" s="86">
        <f t="shared" si="93"/>
        <v>0</v>
      </c>
      <c r="AP868" s="63"/>
      <c r="AQ868" s="81">
        <v>43237</v>
      </c>
      <c r="AR868" s="63" t="s">
        <v>2109</v>
      </c>
      <c r="AS868" s="81">
        <v>43237</v>
      </c>
      <c r="AT868" s="63" t="s">
        <v>2458</v>
      </c>
      <c r="AU868" s="220"/>
      <c r="AV868" s="220"/>
      <c r="AW868" s="220"/>
    </row>
    <row r="869" spans="1:49" s="221" customFormat="1" ht="213.75" x14ac:dyDescent="0.25">
      <c r="A869" s="63">
        <v>455</v>
      </c>
      <c r="B869" s="63" t="str">
        <f t="shared" si="90"/>
        <v>3075-455</v>
      </c>
      <c r="C869" s="76" t="s">
        <v>1141</v>
      </c>
      <c r="D869" s="76" t="s">
        <v>1142</v>
      </c>
      <c r="E869" s="76" t="s">
        <v>1174</v>
      </c>
      <c r="F869" s="76" t="s">
        <v>1175</v>
      </c>
      <c r="G869" s="77" t="s">
        <v>1176</v>
      </c>
      <c r="H869" s="78" t="s">
        <v>1177</v>
      </c>
      <c r="I869" s="76" t="s">
        <v>1147</v>
      </c>
      <c r="J869" s="76" t="s">
        <v>1182</v>
      </c>
      <c r="K869" s="76" t="s">
        <v>439</v>
      </c>
      <c r="L869" s="63" t="s">
        <v>1149</v>
      </c>
      <c r="M869" s="63" t="s">
        <v>58</v>
      </c>
      <c r="N869" s="63" t="s">
        <v>59</v>
      </c>
      <c r="O869" s="76" t="s">
        <v>1169</v>
      </c>
      <c r="P869" s="76" t="s">
        <v>2461</v>
      </c>
      <c r="Q869" s="79">
        <v>39062100</v>
      </c>
      <c r="R869" s="63">
        <v>1</v>
      </c>
      <c r="S869" s="80">
        <f t="shared" si="89"/>
        <v>39062100</v>
      </c>
      <c r="T869" s="63" t="s">
        <v>1171</v>
      </c>
      <c r="U869" s="63" t="s">
        <v>1171</v>
      </c>
      <c r="V869" s="81" t="s">
        <v>844</v>
      </c>
      <c r="W869" s="82" t="s">
        <v>439</v>
      </c>
      <c r="X869" s="63" t="s">
        <v>2462</v>
      </c>
      <c r="Y869" s="89">
        <v>43237</v>
      </c>
      <c r="Z869" s="83">
        <v>39062100</v>
      </c>
      <c r="AA869" s="84" t="s">
        <v>2453</v>
      </c>
      <c r="AB869" s="85">
        <v>845</v>
      </c>
      <c r="AC869" s="81">
        <v>43238</v>
      </c>
      <c r="AD869" s="86">
        <v>39062100</v>
      </c>
      <c r="AE869" s="87">
        <f t="shared" si="87"/>
        <v>0</v>
      </c>
      <c r="AF869" s="85">
        <v>2455</v>
      </c>
      <c r="AG869" s="81">
        <v>43287</v>
      </c>
      <c r="AH869" s="86">
        <v>39062100</v>
      </c>
      <c r="AI869" s="63" t="s">
        <v>2463</v>
      </c>
      <c r="AJ869" s="63">
        <v>2832</v>
      </c>
      <c r="AK869" s="87">
        <f t="shared" si="91"/>
        <v>0</v>
      </c>
      <c r="AL869" s="86">
        <v>39062100</v>
      </c>
      <c r="AM869" s="86">
        <f t="shared" si="92"/>
        <v>0</v>
      </c>
      <c r="AN869" s="63" t="s">
        <v>1155</v>
      </c>
      <c r="AO869" s="86">
        <f t="shared" si="93"/>
        <v>0</v>
      </c>
      <c r="AP869" s="63"/>
      <c r="AQ869" s="81">
        <v>43237</v>
      </c>
      <c r="AR869" s="63" t="s">
        <v>2109</v>
      </c>
      <c r="AS869" s="81">
        <v>43237</v>
      </c>
      <c r="AT869" s="63" t="s">
        <v>2461</v>
      </c>
      <c r="AU869" s="220"/>
      <c r="AV869" s="220"/>
      <c r="AW869" s="220"/>
    </row>
    <row r="870" spans="1:49" s="221" customFormat="1" ht="156.75" x14ac:dyDescent="0.25">
      <c r="A870" s="63">
        <v>456</v>
      </c>
      <c r="B870" s="63" t="str">
        <f t="shared" si="90"/>
        <v>3075-456</v>
      </c>
      <c r="C870" s="76" t="s">
        <v>1141</v>
      </c>
      <c r="D870" s="76" t="s">
        <v>1142</v>
      </c>
      <c r="E870" s="76" t="s">
        <v>1174</v>
      </c>
      <c r="F870" s="76" t="s">
        <v>1175</v>
      </c>
      <c r="G870" s="77" t="s">
        <v>1176</v>
      </c>
      <c r="H870" s="78" t="s">
        <v>1177</v>
      </c>
      <c r="I870" s="76" t="s">
        <v>1147</v>
      </c>
      <c r="J870" s="76" t="s">
        <v>1148</v>
      </c>
      <c r="K870" s="76" t="s">
        <v>439</v>
      </c>
      <c r="L870" s="63" t="s">
        <v>1149</v>
      </c>
      <c r="M870" s="63" t="s">
        <v>58</v>
      </c>
      <c r="N870" s="63" t="s">
        <v>59</v>
      </c>
      <c r="O870" s="76" t="s">
        <v>1169</v>
      </c>
      <c r="P870" s="63" t="s">
        <v>2228</v>
      </c>
      <c r="Q870" s="79">
        <v>1000000</v>
      </c>
      <c r="R870" s="63">
        <v>1</v>
      </c>
      <c r="S870" s="80">
        <f>Q870*R870-1000000</f>
        <v>0</v>
      </c>
      <c r="T870" s="63"/>
      <c r="U870" s="63"/>
      <c r="V870" s="81"/>
      <c r="W870" s="82"/>
      <c r="X870" s="99" t="s">
        <v>2464</v>
      </c>
      <c r="Y870" s="81">
        <v>43248</v>
      </c>
      <c r="Z870" s="83">
        <f>1000000-1000000</f>
        <v>0</v>
      </c>
      <c r="AA870" s="84" t="s">
        <v>2465</v>
      </c>
      <c r="AB870" s="85"/>
      <c r="AC870" s="81">
        <v>43248</v>
      </c>
      <c r="AD870" s="86">
        <v>0</v>
      </c>
      <c r="AE870" s="87">
        <f t="shared" si="87"/>
        <v>0</v>
      </c>
      <c r="AF870" s="85"/>
      <c r="AG870" s="81"/>
      <c r="AH870" s="86"/>
      <c r="AI870" s="63"/>
      <c r="AJ870" s="63"/>
      <c r="AK870" s="87">
        <f t="shared" si="91"/>
        <v>0</v>
      </c>
      <c r="AL870" s="86"/>
      <c r="AM870" s="86">
        <f t="shared" si="92"/>
        <v>0</v>
      </c>
      <c r="AN870" s="63" t="s">
        <v>1155</v>
      </c>
      <c r="AO870" s="86">
        <f t="shared" si="93"/>
        <v>0</v>
      </c>
      <c r="AP870" s="63" t="s">
        <v>2318</v>
      </c>
      <c r="AQ870" s="81">
        <v>43248</v>
      </c>
      <c r="AR870" s="63" t="s">
        <v>1157</v>
      </c>
      <c r="AS870" s="81">
        <v>43248</v>
      </c>
      <c r="AT870" s="63" t="s">
        <v>2228</v>
      </c>
      <c r="AU870" s="220"/>
      <c r="AV870" s="220"/>
      <c r="AW870" s="220"/>
    </row>
    <row r="871" spans="1:49" s="221" customFormat="1" ht="213.75" x14ac:dyDescent="0.25">
      <c r="A871" s="63">
        <v>457</v>
      </c>
      <c r="B871" s="63" t="str">
        <f t="shared" si="90"/>
        <v>3075-457</v>
      </c>
      <c r="C871" s="76" t="s">
        <v>1141</v>
      </c>
      <c r="D871" s="76" t="s">
        <v>1142</v>
      </c>
      <c r="E871" s="76" t="s">
        <v>1174</v>
      </c>
      <c r="F871" s="76" t="s">
        <v>1175</v>
      </c>
      <c r="G871" s="77" t="s">
        <v>1176</v>
      </c>
      <c r="H871" s="78" t="s">
        <v>1177</v>
      </c>
      <c r="I871" s="76" t="s">
        <v>1191</v>
      </c>
      <c r="J871" s="76" t="s">
        <v>1192</v>
      </c>
      <c r="K871" s="76" t="s">
        <v>439</v>
      </c>
      <c r="L871" s="63" t="s">
        <v>1149</v>
      </c>
      <c r="M871" s="63" t="s">
        <v>58</v>
      </c>
      <c r="N871" s="63" t="s">
        <v>59</v>
      </c>
      <c r="O871" s="76" t="s">
        <v>1169</v>
      </c>
      <c r="P871" s="76" t="s">
        <v>2466</v>
      </c>
      <c r="Q871" s="79">
        <v>39062100</v>
      </c>
      <c r="R871" s="63">
        <v>1</v>
      </c>
      <c r="S871" s="80">
        <f t="shared" ref="S871:S891" si="94">Q871*R871</f>
        <v>39062100</v>
      </c>
      <c r="T871" s="63" t="s">
        <v>1171</v>
      </c>
      <c r="U871" s="63" t="s">
        <v>1171</v>
      </c>
      <c r="V871" s="81" t="s">
        <v>844</v>
      </c>
      <c r="W871" s="82" t="s">
        <v>439</v>
      </c>
      <c r="X871" s="90" t="s">
        <v>2467</v>
      </c>
      <c r="Y871" s="81">
        <v>43264</v>
      </c>
      <c r="Z871" s="83">
        <v>39062100</v>
      </c>
      <c r="AA871" s="84" t="s">
        <v>2164</v>
      </c>
      <c r="AB871" s="85">
        <v>892</v>
      </c>
      <c r="AC871" s="81">
        <v>43266</v>
      </c>
      <c r="AD871" s="86">
        <v>39062100</v>
      </c>
      <c r="AE871" s="87">
        <f t="shared" si="87"/>
        <v>0</v>
      </c>
      <c r="AF871" s="85">
        <v>2414</v>
      </c>
      <c r="AG871" s="81">
        <v>43284</v>
      </c>
      <c r="AH871" s="86">
        <v>39062100</v>
      </c>
      <c r="AI871" s="63" t="s">
        <v>2468</v>
      </c>
      <c r="AJ871" s="63">
        <v>2818</v>
      </c>
      <c r="AK871" s="87">
        <f t="shared" si="91"/>
        <v>0</v>
      </c>
      <c r="AL871" s="86">
        <v>0</v>
      </c>
      <c r="AM871" s="86">
        <f t="shared" si="92"/>
        <v>39062100</v>
      </c>
      <c r="AN871" s="63" t="s">
        <v>1155</v>
      </c>
      <c r="AO871" s="86">
        <f t="shared" si="93"/>
        <v>0</v>
      </c>
      <c r="AP871" s="63"/>
      <c r="AQ871" s="81">
        <v>43259</v>
      </c>
      <c r="AR871" s="63" t="s">
        <v>2109</v>
      </c>
      <c r="AS871" s="81">
        <v>43264</v>
      </c>
      <c r="AT871" s="76" t="s">
        <v>2466</v>
      </c>
      <c r="AU871" s="220"/>
      <c r="AV871" s="220"/>
      <c r="AW871" s="220"/>
    </row>
    <row r="872" spans="1:49" s="221" customFormat="1" ht="213.75" x14ac:dyDescent="0.25">
      <c r="A872" s="63">
        <v>458</v>
      </c>
      <c r="B872" s="63" t="str">
        <f t="shared" si="90"/>
        <v>3075-458</v>
      </c>
      <c r="C872" s="76" t="s">
        <v>1141</v>
      </c>
      <c r="D872" s="76" t="s">
        <v>1142</v>
      </c>
      <c r="E872" s="76" t="s">
        <v>1174</v>
      </c>
      <c r="F872" s="76" t="s">
        <v>1175</v>
      </c>
      <c r="G872" s="77" t="s">
        <v>1176</v>
      </c>
      <c r="H872" s="78" t="s">
        <v>1177</v>
      </c>
      <c r="I872" s="76" t="s">
        <v>1191</v>
      </c>
      <c r="J872" s="76" t="s">
        <v>1192</v>
      </c>
      <c r="K872" s="76" t="s">
        <v>439</v>
      </c>
      <c r="L872" s="63" t="s">
        <v>1149</v>
      </c>
      <c r="M872" s="63" t="s">
        <v>58</v>
      </c>
      <c r="N872" s="63" t="s">
        <v>59</v>
      </c>
      <c r="O872" s="76" t="s">
        <v>1169</v>
      </c>
      <c r="P872" s="76" t="s">
        <v>2469</v>
      </c>
      <c r="Q872" s="79">
        <v>39062100</v>
      </c>
      <c r="R872" s="63">
        <v>1</v>
      </c>
      <c r="S872" s="80">
        <f t="shared" si="94"/>
        <v>39062100</v>
      </c>
      <c r="T872" s="63" t="s">
        <v>1171</v>
      </c>
      <c r="U872" s="63" t="s">
        <v>1171</v>
      </c>
      <c r="V872" s="81" t="s">
        <v>844</v>
      </c>
      <c r="W872" s="82" t="s">
        <v>439</v>
      </c>
      <c r="X872" s="90" t="s">
        <v>2470</v>
      </c>
      <c r="Y872" s="81">
        <v>43264</v>
      </c>
      <c r="Z872" s="83">
        <v>39062100</v>
      </c>
      <c r="AA872" s="84" t="s">
        <v>2164</v>
      </c>
      <c r="AB872" s="85">
        <v>903</v>
      </c>
      <c r="AC872" s="81">
        <v>43270</v>
      </c>
      <c r="AD872" s="86">
        <v>39062100</v>
      </c>
      <c r="AE872" s="87">
        <f t="shared" si="87"/>
        <v>0</v>
      </c>
      <c r="AF872" s="85">
        <v>2476</v>
      </c>
      <c r="AG872" s="81">
        <v>43292</v>
      </c>
      <c r="AH872" s="86">
        <v>39062100</v>
      </c>
      <c r="AI872" s="63" t="s">
        <v>2471</v>
      </c>
      <c r="AJ872" s="63">
        <v>2840</v>
      </c>
      <c r="AK872" s="87">
        <f t="shared" si="91"/>
        <v>0</v>
      </c>
      <c r="AL872" s="86">
        <v>0</v>
      </c>
      <c r="AM872" s="86">
        <f t="shared" si="92"/>
        <v>39062100</v>
      </c>
      <c r="AN872" s="63" t="s">
        <v>1155</v>
      </c>
      <c r="AO872" s="86">
        <f t="shared" si="93"/>
        <v>0</v>
      </c>
      <c r="AP872" s="63"/>
      <c r="AQ872" s="81">
        <v>43259</v>
      </c>
      <c r="AR872" s="63" t="s">
        <v>2109</v>
      </c>
      <c r="AS872" s="81">
        <v>43264</v>
      </c>
      <c r="AT872" s="63" t="s">
        <v>2469</v>
      </c>
      <c r="AU872" s="220"/>
      <c r="AV872" s="220"/>
      <c r="AW872" s="220"/>
    </row>
    <row r="873" spans="1:49" s="221" customFormat="1" ht="185.25" x14ac:dyDescent="0.25">
      <c r="A873" s="63">
        <v>459</v>
      </c>
      <c r="B873" s="63" t="str">
        <f t="shared" si="90"/>
        <v>3075-459</v>
      </c>
      <c r="C873" s="76" t="s">
        <v>1141</v>
      </c>
      <c r="D873" s="76" t="s">
        <v>1142</v>
      </c>
      <c r="E873" s="76" t="s">
        <v>1165</v>
      </c>
      <c r="F873" s="76" t="s">
        <v>1166</v>
      </c>
      <c r="G873" s="77" t="s">
        <v>1167</v>
      </c>
      <c r="H873" s="78" t="s">
        <v>1168</v>
      </c>
      <c r="I873" s="76" t="s">
        <v>1147</v>
      </c>
      <c r="J873" s="76" t="s">
        <v>1148</v>
      </c>
      <c r="K873" s="76" t="s">
        <v>439</v>
      </c>
      <c r="L873" s="63" t="s">
        <v>1149</v>
      </c>
      <c r="M873" s="63" t="s">
        <v>58</v>
      </c>
      <c r="N873" s="63" t="s">
        <v>59</v>
      </c>
      <c r="O873" s="76" t="s">
        <v>1169</v>
      </c>
      <c r="P873" s="63" t="s">
        <v>2472</v>
      </c>
      <c r="Q873" s="79">
        <v>20501658</v>
      </c>
      <c r="R873" s="63">
        <v>1</v>
      </c>
      <c r="S873" s="80">
        <f t="shared" si="94"/>
        <v>20501658</v>
      </c>
      <c r="T873" s="63" t="s">
        <v>1171</v>
      </c>
      <c r="U873" s="63" t="s">
        <v>1171</v>
      </c>
      <c r="V873" s="81" t="s">
        <v>844</v>
      </c>
      <c r="W873" s="82" t="s">
        <v>439</v>
      </c>
      <c r="X873" s="90" t="s">
        <v>2473</v>
      </c>
      <c r="Y873" s="89">
        <v>43264</v>
      </c>
      <c r="Z873" s="83">
        <v>20501658</v>
      </c>
      <c r="AA873" s="84" t="s">
        <v>2474</v>
      </c>
      <c r="AB873" s="85">
        <v>893</v>
      </c>
      <c r="AC873" s="81">
        <v>43266</v>
      </c>
      <c r="AD873" s="86">
        <v>20501658</v>
      </c>
      <c r="AE873" s="87">
        <f t="shared" si="87"/>
        <v>0</v>
      </c>
      <c r="AF873" s="85">
        <v>2468</v>
      </c>
      <c r="AG873" s="81">
        <v>43292</v>
      </c>
      <c r="AH873" s="86">
        <v>20501658</v>
      </c>
      <c r="AI873" s="63" t="s">
        <v>2475</v>
      </c>
      <c r="AJ873" s="63">
        <v>2866</v>
      </c>
      <c r="AK873" s="87">
        <f t="shared" si="91"/>
        <v>0</v>
      </c>
      <c r="AL873" s="86">
        <v>0</v>
      </c>
      <c r="AM873" s="86">
        <f t="shared" si="92"/>
        <v>20501658</v>
      </c>
      <c r="AN873" s="63" t="s">
        <v>1155</v>
      </c>
      <c r="AO873" s="86">
        <f t="shared" si="93"/>
        <v>0</v>
      </c>
      <c r="AP873" s="63"/>
      <c r="AQ873" s="81">
        <v>43264</v>
      </c>
      <c r="AR873" s="63" t="s">
        <v>2109</v>
      </c>
      <c r="AS873" s="81">
        <v>43264</v>
      </c>
      <c r="AT873" s="63" t="s">
        <v>2472</v>
      </c>
      <c r="AU873" s="220"/>
      <c r="AV873" s="220"/>
      <c r="AW873" s="220"/>
    </row>
    <row r="874" spans="1:49" s="221" customFormat="1" ht="199.5" x14ac:dyDescent="0.25">
      <c r="A874" s="63">
        <v>460</v>
      </c>
      <c r="B874" s="63" t="str">
        <f t="shared" si="90"/>
        <v>3075-460</v>
      </c>
      <c r="C874" s="76" t="s">
        <v>1141</v>
      </c>
      <c r="D874" s="76" t="s">
        <v>1142</v>
      </c>
      <c r="E874" s="76" t="s">
        <v>1165</v>
      </c>
      <c r="F874" s="76" t="s">
        <v>1166</v>
      </c>
      <c r="G874" s="77" t="s">
        <v>1167</v>
      </c>
      <c r="H874" s="78" t="s">
        <v>1168</v>
      </c>
      <c r="I874" s="76" t="s">
        <v>1147</v>
      </c>
      <c r="J874" s="76" t="s">
        <v>1148</v>
      </c>
      <c r="K874" s="76" t="s">
        <v>439</v>
      </c>
      <c r="L874" s="63" t="s">
        <v>1149</v>
      </c>
      <c r="M874" s="63" t="s">
        <v>58</v>
      </c>
      <c r="N874" s="63" t="s">
        <v>59</v>
      </c>
      <c r="O874" s="76" t="s">
        <v>1169</v>
      </c>
      <c r="P874" s="63" t="s">
        <v>2476</v>
      </c>
      <c r="Q874" s="79">
        <v>38051600</v>
      </c>
      <c r="R874" s="63">
        <v>1</v>
      </c>
      <c r="S874" s="80">
        <f t="shared" si="94"/>
        <v>38051600</v>
      </c>
      <c r="T874" s="63" t="s">
        <v>1171</v>
      </c>
      <c r="U874" s="63" t="s">
        <v>1171</v>
      </c>
      <c r="V874" s="81" t="s">
        <v>431</v>
      </c>
      <c r="W874" s="82" t="s">
        <v>439</v>
      </c>
      <c r="X874" s="90" t="s">
        <v>2477</v>
      </c>
      <c r="Y874" s="89">
        <v>43264</v>
      </c>
      <c r="Z874" s="83">
        <v>38051600</v>
      </c>
      <c r="AA874" s="84" t="s">
        <v>2474</v>
      </c>
      <c r="AB874" s="85">
        <v>894</v>
      </c>
      <c r="AC874" s="81">
        <v>43266</v>
      </c>
      <c r="AD874" s="86">
        <v>38051600</v>
      </c>
      <c r="AE874" s="87">
        <f t="shared" si="87"/>
        <v>0</v>
      </c>
      <c r="AF874" s="85">
        <v>2584</v>
      </c>
      <c r="AG874" s="81">
        <v>43314</v>
      </c>
      <c r="AH874" s="86">
        <v>38051600</v>
      </c>
      <c r="AI874" s="63" t="s">
        <v>2478</v>
      </c>
      <c r="AJ874" s="63">
        <v>3034</v>
      </c>
      <c r="AK874" s="87">
        <f t="shared" si="91"/>
        <v>0</v>
      </c>
      <c r="AL874" s="86">
        <v>0</v>
      </c>
      <c r="AM874" s="86">
        <f t="shared" si="92"/>
        <v>38051600</v>
      </c>
      <c r="AN874" s="63" t="s">
        <v>1155</v>
      </c>
      <c r="AO874" s="86">
        <f t="shared" si="93"/>
        <v>0</v>
      </c>
      <c r="AP874" s="63"/>
      <c r="AQ874" s="81">
        <v>43264</v>
      </c>
      <c r="AR874" s="63" t="s">
        <v>2109</v>
      </c>
      <c r="AS874" s="81">
        <v>43264</v>
      </c>
      <c r="AT874" s="63" t="s">
        <v>2476</v>
      </c>
      <c r="AU874" s="220"/>
      <c r="AV874" s="220"/>
      <c r="AW874" s="220"/>
    </row>
    <row r="875" spans="1:49" s="221" customFormat="1" ht="185.25" x14ac:dyDescent="0.25">
      <c r="A875" s="63">
        <v>461</v>
      </c>
      <c r="B875" s="63" t="str">
        <f t="shared" si="90"/>
        <v>3075-461</v>
      </c>
      <c r="C875" s="76" t="s">
        <v>1141</v>
      </c>
      <c r="D875" s="76" t="s">
        <v>1142</v>
      </c>
      <c r="E875" s="76" t="s">
        <v>1165</v>
      </c>
      <c r="F875" s="76" t="s">
        <v>1166</v>
      </c>
      <c r="G875" s="77" t="s">
        <v>1167</v>
      </c>
      <c r="H875" s="78" t="s">
        <v>1168</v>
      </c>
      <c r="I875" s="76" t="s">
        <v>1147</v>
      </c>
      <c r="J875" s="76" t="s">
        <v>1148</v>
      </c>
      <c r="K875" s="76" t="s">
        <v>439</v>
      </c>
      <c r="L875" s="63" t="s">
        <v>1149</v>
      </c>
      <c r="M875" s="63" t="s">
        <v>58</v>
      </c>
      <c r="N875" s="63" t="s">
        <v>59</v>
      </c>
      <c r="O875" s="76" t="s">
        <v>1169</v>
      </c>
      <c r="P875" s="63" t="s">
        <v>2479</v>
      </c>
      <c r="Q875" s="79">
        <v>20351100</v>
      </c>
      <c r="R875" s="63">
        <v>1</v>
      </c>
      <c r="S875" s="80">
        <f t="shared" si="94"/>
        <v>20351100</v>
      </c>
      <c r="T875" s="63" t="s">
        <v>1171</v>
      </c>
      <c r="U875" s="63" t="s">
        <v>1171</v>
      </c>
      <c r="V875" s="81" t="s">
        <v>431</v>
      </c>
      <c r="W875" s="82" t="s">
        <v>439</v>
      </c>
      <c r="X875" s="90" t="s">
        <v>2480</v>
      </c>
      <c r="Y875" s="89">
        <v>43264</v>
      </c>
      <c r="Z875" s="83">
        <v>20351100</v>
      </c>
      <c r="AA875" s="84" t="s">
        <v>2474</v>
      </c>
      <c r="AB875" s="85">
        <v>895</v>
      </c>
      <c r="AC875" s="81">
        <v>43266</v>
      </c>
      <c r="AD875" s="86">
        <v>20351100</v>
      </c>
      <c r="AE875" s="87">
        <f t="shared" si="87"/>
        <v>0</v>
      </c>
      <c r="AF875" s="85">
        <v>2583</v>
      </c>
      <c r="AG875" s="81">
        <v>43314</v>
      </c>
      <c r="AH875" s="86">
        <v>20351100</v>
      </c>
      <c r="AI875" s="63" t="s">
        <v>2481</v>
      </c>
      <c r="AJ875" s="63">
        <v>3031</v>
      </c>
      <c r="AK875" s="87">
        <f t="shared" si="91"/>
        <v>0</v>
      </c>
      <c r="AL875" s="86">
        <v>0</v>
      </c>
      <c r="AM875" s="86">
        <f t="shared" si="92"/>
        <v>20351100</v>
      </c>
      <c r="AN875" s="63" t="s">
        <v>1155</v>
      </c>
      <c r="AO875" s="86">
        <f t="shared" si="93"/>
        <v>0</v>
      </c>
      <c r="AP875" s="63"/>
      <c r="AQ875" s="81">
        <v>43264</v>
      </c>
      <c r="AR875" s="63" t="s">
        <v>2109</v>
      </c>
      <c r="AS875" s="81">
        <v>43264</v>
      </c>
      <c r="AT875" s="63" t="s">
        <v>2479</v>
      </c>
      <c r="AU875" s="220"/>
      <c r="AV875" s="220"/>
      <c r="AW875" s="220"/>
    </row>
    <row r="876" spans="1:49" s="221" customFormat="1" ht="185.25" x14ac:dyDescent="0.25">
      <c r="A876" s="63">
        <v>462</v>
      </c>
      <c r="B876" s="63" t="str">
        <f t="shared" si="90"/>
        <v>3075-462</v>
      </c>
      <c r="C876" s="76" t="s">
        <v>1141</v>
      </c>
      <c r="D876" s="76" t="s">
        <v>1142</v>
      </c>
      <c r="E876" s="76" t="s">
        <v>1165</v>
      </c>
      <c r="F876" s="76" t="s">
        <v>1166</v>
      </c>
      <c r="G876" s="77" t="s">
        <v>1167</v>
      </c>
      <c r="H876" s="78" t="s">
        <v>1168</v>
      </c>
      <c r="I876" s="76" t="s">
        <v>1147</v>
      </c>
      <c r="J876" s="76" t="s">
        <v>1148</v>
      </c>
      <c r="K876" s="76" t="s">
        <v>439</v>
      </c>
      <c r="L876" s="63" t="s">
        <v>1149</v>
      </c>
      <c r="M876" s="63" t="s">
        <v>58</v>
      </c>
      <c r="N876" s="63" t="s">
        <v>59</v>
      </c>
      <c r="O876" s="76" t="s">
        <v>1169</v>
      </c>
      <c r="P876" s="63" t="s">
        <v>2482</v>
      </c>
      <c r="Q876" s="79">
        <v>42139350</v>
      </c>
      <c r="R876" s="63">
        <v>1</v>
      </c>
      <c r="S876" s="80">
        <f t="shared" si="94"/>
        <v>42139350</v>
      </c>
      <c r="T876" s="63" t="s">
        <v>1171</v>
      </c>
      <c r="U876" s="63" t="s">
        <v>1171</v>
      </c>
      <c r="V876" s="81" t="s">
        <v>431</v>
      </c>
      <c r="W876" s="82" t="s">
        <v>439</v>
      </c>
      <c r="X876" s="90" t="s">
        <v>2483</v>
      </c>
      <c r="Y876" s="89">
        <v>43265</v>
      </c>
      <c r="Z876" s="83">
        <v>42139350</v>
      </c>
      <c r="AA876" s="84" t="s">
        <v>2474</v>
      </c>
      <c r="AB876" s="85">
        <v>896</v>
      </c>
      <c r="AC876" s="81">
        <v>43269</v>
      </c>
      <c r="AD876" s="86">
        <v>42139350</v>
      </c>
      <c r="AE876" s="87">
        <f t="shared" si="87"/>
        <v>0</v>
      </c>
      <c r="AF876" s="85">
        <v>2571</v>
      </c>
      <c r="AG876" s="81">
        <v>43314</v>
      </c>
      <c r="AH876" s="86">
        <v>42139350</v>
      </c>
      <c r="AI876" s="63" t="s">
        <v>2484</v>
      </c>
      <c r="AJ876" s="63">
        <v>3002</v>
      </c>
      <c r="AK876" s="87">
        <f t="shared" si="91"/>
        <v>0</v>
      </c>
      <c r="AL876" s="86">
        <v>0</v>
      </c>
      <c r="AM876" s="86">
        <f t="shared" si="92"/>
        <v>42139350</v>
      </c>
      <c r="AN876" s="63" t="s">
        <v>1155</v>
      </c>
      <c r="AO876" s="86">
        <f t="shared" si="93"/>
        <v>0</v>
      </c>
      <c r="AP876" s="63"/>
      <c r="AQ876" s="81">
        <v>43264</v>
      </c>
      <c r="AR876" s="63" t="s">
        <v>2109</v>
      </c>
      <c r="AS876" s="81">
        <v>43265</v>
      </c>
      <c r="AT876" s="63" t="s">
        <v>2482</v>
      </c>
      <c r="AU876" s="220"/>
      <c r="AV876" s="220"/>
      <c r="AW876" s="220"/>
    </row>
    <row r="877" spans="1:49" s="221" customFormat="1" ht="228" x14ac:dyDescent="0.25">
      <c r="A877" s="63">
        <v>463</v>
      </c>
      <c r="B877" s="63" t="str">
        <f t="shared" si="90"/>
        <v>3075-463</v>
      </c>
      <c r="C877" s="76" t="s">
        <v>1141</v>
      </c>
      <c r="D877" s="76" t="s">
        <v>1142</v>
      </c>
      <c r="E877" s="76" t="s">
        <v>1174</v>
      </c>
      <c r="F877" s="76" t="s">
        <v>1175</v>
      </c>
      <c r="G877" s="77" t="s">
        <v>1176</v>
      </c>
      <c r="H877" s="78" t="s">
        <v>1177</v>
      </c>
      <c r="I877" s="76" t="s">
        <v>1191</v>
      </c>
      <c r="J877" s="76" t="s">
        <v>1192</v>
      </c>
      <c r="K877" s="76" t="s">
        <v>439</v>
      </c>
      <c r="L877" s="63" t="s">
        <v>1149</v>
      </c>
      <c r="M877" s="63" t="s">
        <v>58</v>
      </c>
      <c r="N877" s="63" t="s">
        <v>59</v>
      </c>
      <c r="O877" s="76" t="s">
        <v>1169</v>
      </c>
      <c r="P877" s="76" t="s">
        <v>2485</v>
      </c>
      <c r="Q877" s="79">
        <v>39062100</v>
      </c>
      <c r="R877" s="63">
        <v>1</v>
      </c>
      <c r="S877" s="80">
        <f t="shared" si="94"/>
        <v>39062100</v>
      </c>
      <c r="T877" s="63" t="s">
        <v>1171</v>
      </c>
      <c r="U877" s="63" t="s">
        <v>1171</v>
      </c>
      <c r="V877" s="81" t="s">
        <v>1208</v>
      </c>
      <c r="W877" s="82" t="s">
        <v>439</v>
      </c>
      <c r="X877" s="90" t="s">
        <v>2486</v>
      </c>
      <c r="Y877" s="89">
        <v>43265</v>
      </c>
      <c r="Z877" s="83">
        <v>39062100</v>
      </c>
      <c r="AA877" s="84" t="s">
        <v>2164</v>
      </c>
      <c r="AB877" s="85">
        <v>897</v>
      </c>
      <c r="AC877" s="81">
        <v>43269</v>
      </c>
      <c r="AD877" s="86">
        <v>39062100</v>
      </c>
      <c r="AE877" s="87">
        <f t="shared" si="87"/>
        <v>0</v>
      </c>
      <c r="AF877" s="85">
        <v>2411</v>
      </c>
      <c r="AG877" s="81">
        <v>43280</v>
      </c>
      <c r="AH877" s="86">
        <v>39062100</v>
      </c>
      <c r="AI877" s="63" t="s">
        <v>2487</v>
      </c>
      <c r="AJ877" s="63">
        <v>2829</v>
      </c>
      <c r="AK877" s="87">
        <f t="shared" si="91"/>
        <v>0</v>
      </c>
      <c r="AL877" s="86">
        <v>39062100</v>
      </c>
      <c r="AM877" s="86">
        <f t="shared" si="92"/>
        <v>0</v>
      </c>
      <c r="AN877" s="63" t="s">
        <v>1155</v>
      </c>
      <c r="AO877" s="86">
        <f t="shared" si="93"/>
        <v>0</v>
      </c>
      <c r="AP877" s="63"/>
      <c r="AQ877" s="81">
        <v>43264</v>
      </c>
      <c r="AR877" s="63" t="s">
        <v>2109</v>
      </c>
      <c r="AS877" s="81">
        <v>43265</v>
      </c>
      <c r="AT877" s="76" t="s">
        <v>2485</v>
      </c>
      <c r="AU877" s="220"/>
      <c r="AV877" s="220"/>
      <c r="AW877" s="220"/>
    </row>
    <row r="878" spans="1:49" s="221" customFormat="1" ht="228" x14ac:dyDescent="0.25">
      <c r="A878" s="63">
        <v>464</v>
      </c>
      <c r="B878" s="63" t="str">
        <f t="shared" si="90"/>
        <v>3075-464</v>
      </c>
      <c r="C878" s="76" t="s">
        <v>1141</v>
      </c>
      <c r="D878" s="76" t="s">
        <v>1142</v>
      </c>
      <c r="E878" s="76" t="s">
        <v>1174</v>
      </c>
      <c r="F878" s="76" t="s">
        <v>1175</v>
      </c>
      <c r="G878" s="77" t="s">
        <v>1176</v>
      </c>
      <c r="H878" s="78" t="s">
        <v>1177</v>
      </c>
      <c r="I878" s="76" t="s">
        <v>1191</v>
      </c>
      <c r="J878" s="76" t="s">
        <v>1192</v>
      </c>
      <c r="K878" s="76" t="s">
        <v>439</v>
      </c>
      <c r="L878" s="63" t="s">
        <v>1149</v>
      </c>
      <c r="M878" s="63" t="s">
        <v>58</v>
      </c>
      <c r="N878" s="63" t="s">
        <v>59</v>
      </c>
      <c r="O878" s="76" t="s">
        <v>1169</v>
      </c>
      <c r="P878" s="76" t="s">
        <v>2488</v>
      </c>
      <c r="Q878" s="79">
        <v>39062100</v>
      </c>
      <c r="R878" s="63">
        <v>1</v>
      </c>
      <c r="S878" s="80">
        <f t="shared" si="94"/>
        <v>39062100</v>
      </c>
      <c r="T878" s="63" t="s">
        <v>1171</v>
      </c>
      <c r="U878" s="63" t="s">
        <v>1171</v>
      </c>
      <c r="V878" s="81" t="s">
        <v>844</v>
      </c>
      <c r="W878" s="82" t="s">
        <v>439</v>
      </c>
      <c r="X878" s="90" t="s">
        <v>2489</v>
      </c>
      <c r="Y878" s="89">
        <v>43265</v>
      </c>
      <c r="Z878" s="83">
        <v>39062100</v>
      </c>
      <c r="AA878" s="84" t="s">
        <v>2164</v>
      </c>
      <c r="AB878" s="85">
        <v>898</v>
      </c>
      <c r="AC878" s="81">
        <v>43269</v>
      </c>
      <c r="AD878" s="86">
        <v>39062100</v>
      </c>
      <c r="AE878" s="87">
        <f t="shared" si="87"/>
        <v>0</v>
      </c>
      <c r="AF878" s="85">
        <v>2467</v>
      </c>
      <c r="AG878" s="81">
        <v>43292</v>
      </c>
      <c r="AH878" s="86">
        <v>39062100</v>
      </c>
      <c r="AI878" s="63" t="s">
        <v>2490</v>
      </c>
      <c r="AJ878" s="63">
        <v>2865</v>
      </c>
      <c r="AK878" s="87">
        <f t="shared" si="91"/>
        <v>0</v>
      </c>
      <c r="AL878" s="86">
        <v>0</v>
      </c>
      <c r="AM878" s="86">
        <f t="shared" si="92"/>
        <v>39062100</v>
      </c>
      <c r="AN878" s="63" t="s">
        <v>1155</v>
      </c>
      <c r="AO878" s="86">
        <f t="shared" si="93"/>
        <v>0</v>
      </c>
      <c r="AP878" s="63"/>
      <c r="AQ878" s="81">
        <v>43264</v>
      </c>
      <c r="AR878" s="63" t="s">
        <v>2109</v>
      </c>
      <c r="AS878" s="81">
        <v>43265</v>
      </c>
      <c r="AT878" s="63" t="s">
        <v>2488</v>
      </c>
      <c r="AU878" s="220"/>
      <c r="AV878" s="220"/>
      <c r="AW878" s="220"/>
    </row>
    <row r="879" spans="1:49" s="221" customFormat="1" ht="228" x14ac:dyDescent="0.25">
      <c r="A879" s="63">
        <v>465</v>
      </c>
      <c r="B879" s="63" t="str">
        <f t="shared" si="90"/>
        <v>3075-465</v>
      </c>
      <c r="C879" s="76" t="s">
        <v>1141</v>
      </c>
      <c r="D879" s="76" t="s">
        <v>1142</v>
      </c>
      <c r="E879" s="76" t="s">
        <v>1174</v>
      </c>
      <c r="F879" s="76" t="s">
        <v>1175</v>
      </c>
      <c r="G879" s="77" t="s">
        <v>1176</v>
      </c>
      <c r="H879" s="78" t="s">
        <v>1177</v>
      </c>
      <c r="I879" s="76" t="s">
        <v>1191</v>
      </c>
      <c r="J879" s="76" t="s">
        <v>1192</v>
      </c>
      <c r="K879" s="76" t="s">
        <v>439</v>
      </c>
      <c r="L879" s="63" t="s">
        <v>1149</v>
      </c>
      <c r="M879" s="63" t="s">
        <v>58</v>
      </c>
      <c r="N879" s="63" t="s">
        <v>59</v>
      </c>
      <c r="O879" s="76" t="s">
        <v>1169</v>
      </c>
      <c r="P879" s="76" t="s">
        <v>2491</v>
      </c>
      <c r="Q879" s="79">
        <v>39062100</v>
      </c>
      <c r="R879" s="63">
        <v>1</v>
      </c>
      <c r="S879" s="80">
        <f t="shared" si="94"/>
        <v>39062100</v>
      </c>
      <c r="T879" s="63" t="s">
        <v>1171</v>
      </c>
      <c r="U879" s="63" t="s">
        <v>1171</v>
      </c>
      <c r="V879" s="81" t="s">
        <v>844</v>
      </c>
      <c r="W879" s="82" t="s">
        <v>439</v>
      </c>
      <c r="X879" s="90" t="s">
        <v>2492</v>
      </c>
      <c r="Y879" s="81">
        <v>43265</v>
      </c>
      <c r="Z879" s="83">
        <v>39062100</v>
      </c>
      <c r="AA879" s="84" t="s">
        <v>1195</v>
      </c>
      <c r="AB879" s="85">
        <v>900</v>
      </c>
      <c r="AC879" s="81">
        <v>43269</v>
      </c>
      <c r="AD879" s="86">
        <v>39062100</v>
      </c>
      <c r="AE879" s="87">
        <f t="shared" si="87"/>
        <v>0</v>
      </c>
      <c r="AF879" s="85">
        <v>2437</v>
      </c>
      <c r="AG879" s="81">
        <v>43286</v>
      </c>
      <c r="AH879" s="86">
        <v>39062100</v>
      </c>
      <c r="AI879" s="63" t="s">
        <v>2493</v>
      </c>
      <c r="AJ879" s="63">
        <v>2830</v>
      </c>
      <c r="AK879" s="87">
        <f t="shared" si="91"/>
        <v>0</v>
      </c>
      <c r="AL879" s="86">
        <v>39062100</v>
      </c>
      <c r="AM879" s="86">
        <f t="shared" si="92"/>
        <v>0</v>
      </c>
      <c r="AN879" s="63" t="s">
        <v>1155</v>
      </c>
      <c r="AO879" s="86">
        <f t="shared" si="93"/>
        <v>0</v>
      </c>
      <c r="AP879" s="63"/>
      <c r="AQ879" s="81">
        <v>43264</v>
      </c>
      <c r="AR879" s="63" t="s">
        <v>2109</v>
      </c>
      <c r="AS879" s="81">
        <v>43265</v>
      </c>
      <c r="AT879" s="63" t="s">
        <v>2491</v>
      </c>
      <c r="AU879" s="220"/>
      <c r="AV879" s="220"/>
      <c r="AW879" s="220"/>
    </row>
    <row r="880" spans="1:49" s="221" customFormat="1" ht="409.5" x14ac:dyDescent="0.25">
      <c r="A880" s="63">
        <v>466</v>
      </c>
      <c r="B880" s="63" t="str">
        <f t="shared" si="90"/>
        <v>3075-466</v>
      </c>
      <c r="C880" s="76" t="s">
        <v>1141</v>
      </c>
      <c r="D880" s="76" t="s">
        <v>1142</v>
      </c>
      <c r="E880" s="76" t="s">
        <v>1174</v>
      </c>
      <c r="F880" s="76" t="s">
        <v>1175</v>
      </c>
      <c r="G880" s="77" t="s">
        <v>1176</v>
      </c>
      <c r="H880" s="78" t="s">
        <v>1177</v>
      </c>
      <c r="I880" s="76" t="s">
        <v>1147</v>
      </c>
      <c r="J880" s="76" t="s">
        <v>1148</v>
      </c>
      <c r="K880" s="76" t="s">
        <v>439</v>
      </c>
      <c r="L880" s="63" t="s">
        <v>1149</v>
      </c>
      <c r="M880" s="63" t="s">
        <v>58</v>
      </c>
      <c r="N880" s="63" t="s">
        <v>59</v>
      </c>
      <c r="O880" s="76" t="s">
        <v>1169</v>
      </c>
      <c r="P880" s="76" t="s">
        <v>2494</v>
      </c>
      <c r="Q880" s="79">
        <v>39062100</v>
      </c>
      <c r="R880" s="63">
        <v>1</v>
      </c>
      <c r="S880" s="80">
        <f t="shared" si="94"/>
        <v>39062100</v>
      </c>
      <c r="T880" s="63" t="s">
        <v>1171</v>
      </c>
      <c r="U880" s="63" t="s">
        <v>1171</v>
      </c>
      <c r="V880" s="81" t="s">
        <v>1208</v>
      </c>
      <c r="W880" s="82" t="s">
        <v>439</v>
      </c>
      <c r="X880" s="63" t="s">
        <v>2495</v>
      </c>
      <c r="Y880" s="81">
        <v>43269</v>
      </c>
      <c r="Z880" s="86">
        <v>39062100</v>
      </c>
      <c r="AA880" s="84" t="s">
        <v>2496</v>
      </c>
      <c r="AB880" s="85">
        <v>904</v>
      </c>
      <c r="AC880" s="81">
        <v>43270</v>
      </c>
      <c r="AD880" s="86">
        <v>39062100</v>
      </c>
      <c r="AE880" s="87">
        <f t="shared" si="87"/>
        <v>0</v>
      </c>
      <c r="AF880" s="85">
        <v>2412</v>
      </c>
      <c r="AG880" s="81">
        <v>43280</v>
      </c>
      <c r="AH880" s="86">
        <v>39062100</v>
      </c>
      <c r="AI880" s="63" t="s">
        <v>2497</v>
      </c>
      <c r="AJ880" s="63">
        <v>2801</v>
      </c>
      <c r="AK880" s="87">
        <f t="shared" si="91"/>
        <v>0</v>
      </c>
      <c r="AL880" s="86">
        <v>0</v>
      </c>
      <c r="AM880" s="86">
        <f t="shared" si="92"/>
        <v>39062100</v>
      </c>
      <c r="AN880" s="63" t="s">
        <v>1155</v>
      </c>
      <c r="AO880" s="86">
        <f t="shared" si="93"/>
        <v>0</v>
      </c>
      <c r="AP880" s="63"/>
      <c r="AQ880" s="81">
        <v>43269</v>
      </c>
      <c r="AR880" s="63" t="s">
        <v>2109</v>
      </c>
      <c r="AS880" s="81">
        <v>43269</v>
      </c>
      <c r="AT880" s="63" t="s">
        <v>2494</v>
      </c>
      <c r="AU880" s="220"/>
      <c r="AV880" s="220"/>
      <c r="AW880" s="220"/>
    </row>
    <row r="881" spans="1:49" s="221" customFormat="1" ht="384.75" x14ac:dyDescent="0.25">
      <c r="A881" s="63">
        <v>467</v>
      </c>
      <c r="B881" s="63" t="str">
        <f t="shared" si="90"/>
        <v>3075-467</v>
      </c>
      <c r="C881" s="76" t="s">
        <v>1141</v>
      </c>
      <c r="D881" s="76" t="s">
        <v>1142</v>
      </c>
      <c r="E881" s="76" t="s">
        <v>1174</v>
      </c>
      <c r="F881" s="76" t="s">
        <v>1175</v>
      </c>
      <c r="G881" s="77" t="s">
        <v>1176</v>
      </c>
      <c r="H881" s="78" t="s">
        <v>1177</v>
      </c>
      <c r="I881" s="76" t="s">
        <v>1147</v>
      </c>
      <c r="J881" s="76" t="s">
        <v>1148</v>
      </c>
      <c r="K881" s="76" t="s">
        <v>439</v>
      </c>
      <c r="L881" s="63" t="s">
        <v>1149</v>
      </c>
      <c r="M881" s="63" t="s">
        <v>58</v>
      </c>
      <c r="N881" s="63" t="s">
        <v>59</v>
      </c>
      <c r="O881" s="76" t="s">
        <v>1169</v>
      </c>
      <c r="P881" s="76" t="s">
        <v>2498</v>
      </c>
      <c r="Q881" s="79">
        <v>39062100</v>
      </c>
      <c r="R881" s="63">
        <v>1</v>
      </c>
      <c r="S881" s="80">
        <f t="shared" si="94"/>
        <v>39062100</v>
      </c>
      <c r="T881" s="63" t="s">
        <v>1171</v>
      </c>
      <c r="U881" s="63" t="s">
        <v>1171</v>
      </c>
      <c r="V881" s="81" t="s">
        <v>1208</v>
      </c>
      <c r="W881" s="82" t="s">
        <v>439</v>
      </c>
      <c r="X881" s="63" t="s">
        <v>2499</v>
      </c>
      <c r="Y881" s="81">
        <v>43269</v>
      </c>
      <c r="Z881" s="86">
        <v>39062100</v>
      </c>
      <c r="AA881" s="84" t="s">
        <v>1786</v>
      </c>
      <c r="AB881" s="85">
        <v>906</v>
      </c>
      <c r="AC881" s="81">
        <v>43270</v>
      </c>
      <c r="AD881" s="86">
        <v>39062100</v>
      </c>
      <c r="AE881" s="87">
        <f t="shared" si="87"/>
        <v>0</v>
      </c>
      <c r="AF881" s="85">
        <v>2410</v>
      </c>
      <c r="AG881" s="81">
        <v>43280</v>
      </c>
      <c r="AH881" s="86">
        <v>39062100</v>
      </c>
      <c r="AI881" s="63" t="s">
        <v>2500</v>
      </c>
      <c r="AJ881" s="63">
        <v>2824</v>
      </c>
      <c r="AK881" s="87">
        <f t="shared" si="91"/>
        <v>0</v>
      </c>
      <c r="AL881" s="86">
        <v>0</v>
      </c>
      <c r="AM881" s="86">
        <f t="shared" si="92"/>
        <v>39062100</v>
      </c>
      <c r="AN881" s="63" t="s">
        <v>1155</v>
      </c>
      <c r="AO881" s="86">
        <f t="shared" si="93"/>
        <v>0</v>
      </c>
      <c r="AP881" s="63"/>
      <c r="AQ881" s="81">
        <v>43269</v>
      </c>
      <c r="AR881" s="63" t="s">
        <v>2109</v>
      </c>
      <c r="AS881" s="81">
        <v>43269</v>
      </c>
      <c r="AT881" s="63" t="s">
        <v>2498</v>
      </c>
      <c r="AU881" s="220"/>
      <c r="AV881" s="220"/>
      <c r="AW881" s="220"/>
    </row>
    <row r="882" spans="1:49" s="221" customFormat="1" ht="242.25" x14ac:dyDescent="0.25">
      <c r="A882" s="63">
        <v>468</v>
      </c>
      <c r="B882" s="63" t="str">
        <f t="shared" si="90"/>
        <v>3075-468</v>
      </c>
      <c r="C882" s="76" t="s">
        <v>1141</v>
      </c>
      <c r="D882" s="76" t="s">
        <v>1142</v>
      </c>
      <c r="E882" s="76" t="s">
        <v>1174</v>
      </c>
      <c r="F882" s="76" t="s">
        <v>1175</v>
      </c>
      <c r="G882" s="77" t="s">
        <v>1176</v>
      </c>
      <c r="H882" s="78" t="s">
        <v>1177</v>
      </c>
      <c r="I882" s="76" t="s">
        <v>1147</v>
      </c>
      <c r="J882" s="76" t="s">
        <v>1148</v>
      </c>
      <c r="K882" s="76" t="s">
        <v>439</v>
      </c>
      <c r="L882" s="63" t="s">
        <v>1149</v>
      </c>
      <c r="M882" s="63" t="s">
        <v>58</v>
      </c>
      <c r="N882" s="63" t="s">
        <v>59</v>
      </c>
      <c r="O882" s="76" t="s">
        <v>1169</v>
      </c>
      <c r="P882" s="76" t="s">
        <v>2501</v>
      </c>
      <c r="Q882" s="83">
        <v>17971536</v>
      </c>
      <c r="R882" s="63">
        <v>1</v>
      </c>
      <c r="S882" s="80">
        <f t="shared" si="94"/>
        <v>17971536</v>
      </c>
      <c r="T882" s="63" t="s">
        <v>1171</v>
      </c>
      <c r="U882" s="63" t="s">
        <v>1171</v>
      </c>
      <c r="V882" s="81" t="s">
        <v>431</v>
      </c>
      <c r="W882" s="82" t="s">
        <v>439</v>
      </c>
      <c r="X882" s="63" t="s">
        <v>2502</v>
      </c>
      <c r="Y882" s="81">
        <v>43273</v>
      </c>
      <c r="Z882" s="83">
        <v>17971536</v>
      </c>
      <c r="AA882" s="84" t="s">
        <v>2427</v>
      </c>
      <c r="AB882" s="85">
        <v>915</v>
      </c>
      <c r="AC882" s="81">
        <v>43277</v>
      </c>
      <c r="AD882" s="86">
        <v>17971536</v>
      </c>
      <c r="AE882" s="87">
        <f t="shared" si="87"/>
        <v>0</v>
      </c>
      <c r="AF882" s="85">
        <v>2562</v>
      </c>
      <c r="AG882" s="81">
        <v>43313</v>
      </c>
      <c r="AH882" s="86">
        <v>17971536</v>
      </c>
      <c r="AI882" s="63" t="s">
        <v>2503</v>
      </c>
      <c r="AJ882" s="63">
        <v>3007</v>
      </c>
      <c r="AK882" s="87">
        <f t="shared" si="91"/>
        <v>0</v>
      </c>
      <c r="AL882" s="86">
        <v>0</v>
      </c>
      <c r="AM882" s="86">
        <f t="shared" si="92"/>
        <v>17971536</v>
      </c>
      <c r="AN882" s="63" t="s">
        <v>1155</v>
      </c>
      <c r="AO882" s="86">
        <f t="shared" si="93"/>
        <v>0</v>
      </c>
      <c r="AP882" s="63"/>
      <c r="AQ882" s="81">
        <v>43272</v>
      </c>
      <c r="AR882" s="63" t="s">
        <v>2109</v>
      </c>
      <c r="AS882" s="81">
        <v>43273</v>
      </c>
      <c r="AT882" s="63" t="s">
        <v>2501</v>
      </c>
      <c r="AU882" s="220"/>
      <c r="AV882" s="220"/>
      <c r="AW882" s="220"/>
    </row>
    <row r="883" spans="1:49" s="221" customFormat="1" ht="213.75" x14ac:dyDescent="0.25">
      <c r="A883" s="63">
        <v>469</v>
      </c>
      <c r="B883" s="63" t="str">
        <f t="shared" si="90"/>
        <v>3075-469</v>
      </c>
      <c r="C883" s="76" t="s">
        <v>1141</v>
      </c>
      <c r="D883" s="76" t="s">
        <v>1142</v>
      </c>
      <c r="E883" s="76" t="s">
        <v>1165</v>
      </c>
      <c r="F883" s="76" t="s">
        <v>1166</v>
      </c>
      <c r="G883" s="77" t="s">
        <v>1167</v>
      </c>
      <c r="H883" s="78" t="s">
        <v>1168</v>
      </c>
      <c r="I883" s="76" t="s">
        <v>1147</v>
      </c>
      <c r="J883" s="76" t="s">
        <v>1148</v>
      </c>
      <c r="K883" s="76" t="s">
        <v>439</v>
      </c>
      <c r="L883" s="63" t="s">
        <v>1149</v>
      </c>
      <c r="M883" s="63" t="s">
        <v>58</v>
      </c>
      <c r="N883" s="63" t="s">
        <v>59</v>
      </c>
      <c r="O883" s="76" t="s">
        <v>1169</v>
      </c>
      <c r="P883" s="63" t="s">
        <v>2504</v>
      </c>
      <c r="Q883" s="79">
        <v>16512000</v>
      </c>
      <c r="R883" s="63">
        <v>1</v>
      </c>
      <c r="S883" s="80">
        <f t="shared" si="94"/>
        <v>16512000</v>
      </c>
      <c r="T883" s="63" t="s">
        <v>1171</v>
      </c>
      <c r="U883" s="63" t="s">
        <v>1171</v>
      </c>
      <c r="V883" s="81" t="s">
        <v>875</v>
      </c>
      <c r="W883" s="82" t="s">
        <v>439</v>
      </c>
      <c r="X883" s="90" t="s">
        <v>2505</v>
      </c>
      <c r="Y883" s="89">
        <v>43273</v>
      </c>
      <c r="Z883" s="83">
        <v>16512000</v>
      </c>
      <c r="AA883" s="84" t="s">
        <v>2474</v>
      </c>
      <c r="AB883" s="85">
        <v>914</v>
      </c>
      <c r="AC883" s="81">
        <v>43276</v>
      </c>
      <c r="AD883" s="86">
        <v>16512000</v>
      </c>
      <c r="AE883" s="87">
        <f t="shared" si="87"/>
        <v>0</v>
      </c>
      <c r="AF883" s="85">
        <v>2873</v>
      </c>
      <c r="AG883" s="81">
        <v>43360</v>
      </c>
      <c r="AH883" s="86">
        <v>16512000</v>
      </c>
      <c r="AI883" s="63" t="s">
        <v>2506</v>
      </c>
      <c r="AJ883" s="63">
        <v>3339</v>
      </c>
      <c r="AK883" s="87">
        <f t="shared" si="91"/>
        <v>0</v>
      </c>
      <c r="AL883" s="86">
        <v>0</v>
      </c>
      <c r="AM883" s="86">
        <f t="shared" si="92"/>
        <v>16512000</v>
      </c>
      <c r="AN883" s="63" t="s">
        <v>1155</v>
      </c>
      <c r="AO883" s="86">
        <f t="shared" si="93"/>
        <v>0</v>
      </c>
      <c r="AP883" s="63"/>
      <c r="AQ883" s="81">
        <v>43272</v>
      </c>
      <c r="AR883" s="63" t="s">
        <v>2109</v>
      </c>
      <c r="AS883" s="81">
        <v>43273</v>
      </c>
      <c r="AT883" s="63" t="s">
        <v>2504</v>
      </c>
      <c r="AU883" s="220"/>
      <c r="AV883" s="220"/>
      <c r="AW883" s="220"/>
    </row>
    <row r="884" spans="1:49" s="221" customFormat="1" ht="384.75" x14ac:dyDescent="0.25">
      <c r="A884" s="63">
        <v>470</v>
      </c>
      <c r="B884" s="63" t="str">
        <f t="shared" si="90"/>
        <v>3075-470</v>
      </c>
      <c r="C884" s="76" t="s">
        <v>1141</v>
      </c>
      <c r="D884" s="76" t="s">
        <v>1142</v>
      </c>
      <c r="E884" s="76" t="s">
        <v>1174</v>
      </c>
      <c r="F884" s="76" t="s">
        <v>1175</v>
      </c>
      <c r="G884" s="77" t="s">
        <v>1176</v>
      </c>
      <c r="H884" s="78" t="s">
        <v>1177</v>
      </c>
      <c r="I884" s="76" t="s">
        <v>1147</v>
      </c>
      <c r="J884" s="76" t="s">
        <v>1148</v>
      </c>
      <c r="K884" s="76" t="s">
        <v>439</v>
      </c>
      <c r="L884" s="63" t="s">
        <v>1149</v>
      </c>
      <c r="M884" s="63" t="s">
        <v>58</v>
      </c>
      <c r="N884" s="63" t="s">
        <v>59</v>
      </c>
      <c r="O884" s="76" t="s">
        <v>1169</v>
      </c>
      <c r="P884" s="76" t="s">
        <v>2507</v>
      </c>
      <c r="Q884" s="79">
        <v>39062100</v>
      </c>
      <c r="R884" s="63">
        <v>1</v>
      </c>
      <c r="S884" s="80">
        <f t="shared" si="94"/>
        <v>39062100</v>
      </c>
      <c r="T884" s="63" t="s">
        <v>1171</v>
      </c>
      <c r="U884" s="63" t="s">
        <v>1171</v>
      </c>
      <c r="V884" s="81" t="s">
        <v>1208</v>
      </c>
      <c r="W884" s="82" t="s">
        <v>439</v>
      </c>
      <c r="X884" s="63" t="s">
        <v>2508</v>
      </c>
      <c r="Y884" s="81">
        <v>43276</v>
      </c>
      <c r="Z884" s="83">
        <v>39062100</v>
      </c>
      <c r="AA884" s="84" t="s">
        <v>2509</v>
      </c>
      <c r="AB884" s="85">
        <v>917</v>
      </c>
      <c r="AC884" s="81">
        <v>43277</v>
      </c>
      <c r="AD884" s="86">
        <v>39062100</v>
      </c>
      <c r="AE884" s="87">
        <f t="shared" si="87"/>
        <v>0</v>
      </c>
      <c r="AF884" s="85">
        <v>2406</v>
      </c>
      <c r="AG884" s="81">
        <v>43280</v>
      </c>
      <c r="AH884" s="86">
        <v>39062100</v>
      </c>
      <c r="AI884" s="63" t="s">
        <v>2510</v>
      </c>
      <c r="AJ884" s="63">
        <v>2826</v>
      </c>
      <c r="AK884" s="87">
        <f t="shared" si="91"/>
        <v>0</v>
      </c>
      <c r="AL884" s="86">
        <v>0</v>
      </c>
      <c r="AM884" s="86">
        <f t="shared" si="92"/>
        <v>39062100</v>
      </c>
      <c r="AN884" s="63" t="s">
        <v>1155</v>
      </c>
      <c r="AO884" s="86">
        <f t="shared" si="93"/>
        <v>0</v>
      </c>
      <c r="AP884" s="63"/>
      <c r="AQ884" s="81">
        <v>43276</v>
      </c>
      <c r="AR884" s="63" t="s">
        <v>2109</v>
      </c>
      <c r="AS884" s="81">
        <v>43276</v>
      </c>
      <c r="AT884" s="76" t="s">
        <v>2507</v>
      </c>
      <c r="AU884" s="220"/>
      <c r="AV884" s="220"/>
      <c r="AW884" s="220"/>
    </row>
    <row r="885" spans="1:49" s="221" customFormat="1" ht="399" x14ac:dyDescent="0.25">
      <c r="A885" s="63">
        <v>471</v>
      </c>
      <c r="B885" s="63" t="str">
        <f t="shared" si="90"/>
        <v>3075-471</v>
      </c>
      <c r="C885" s="76" t="s">
        <v>1141</v>
      </c>
      <c r="D885" s="76" t="s">
        <v>1142</v>
      </c>
      <c r="E885" s="76" t="s">
        <v>1174</v>
      </c>
      <c r="F885" s="76" t="s">
        <v>1175</v>
      </c>
      <c r="G885" s="77" t="s">
        <v>1176</v>
      </c>
      <c r="H885" s="78" t="s">
        <v>1177</v>
      </c>
      <c r="I885" s="76" t="s">
        <v>1147</v>
      </c>
      <c r="J885" s="76" t="s">
        <v>1148</v>
      </c>
      <c r="K885" s="76" t="s">
        <v>439</v>
      </c>
      <c r="L885" s="63" t="s">
        <v>1149</v>
      </c>
      <c r="M885" s="63" t="s">
        <v>58</v>
      </c>
      <c r="N885" s="63" t="s">
        <v>59</v>
      </c>
      <c r="O885" s="76" t="s">
        <v>1169</v>
      </c>
      <c r="P885" s="76" t="s">
        <v>2511</v>
      </c>
      <c r="Q885" s="79">
        <v>39062100</v>
      </c>
      <c r="R885" s="63">
        <v>1</v>
      </c>
      <c r="S885" s="80">
        <f t="shared" si="94"/>
        <v>39062100</v>
      </c>
      <c r="T885" s="63" t="s">
        <v>1171</v>
      </c>
      <c r="U885" s="63" t="s">
        <v>1171</v>
      </c>
      <c r="V885" s="81" t="s">
        <v>844</v>
      </c>
      <c r="W885" s="82" t="s">
        <v>439</v>
      </c>
      <c r="X885" s="63" t="s">
        <v>2512</v>
      </c>
      <c r="Y885" s="81">
        <v>43276</v>
      </c>
      <c r="Z885" s="83">
        <v>39062100</v>
      </c>
      <c r="AA885" s="84" t="s">
        <v>2513</v>
      </c>
      <c r="AB885" s="85">
        <v>919</v>
      </c>
      <c r="AC885" s="81">
        <v>43277</v>
      </c>
      <c r="AD885" s="86">
        <v>39062100</v>
      </c>
      <c r="AE885" s="87">
        <f t="shared" si="87"/>
        <v>0</v>
      </c>
      <c r="AF885" s="85">
        <v>2475</v>
      </c>
      <c r="AG885" s="81">
        <v>43292</v>
      </c>
      <c r="AH885" s="86">
        <v>39062100</v>
      </c>
      <c r="AI885" s="63" t="s">
        <v>2514</v>
      </c>
      <c r="AJ885" s="63">
        <v>2839</v>
      </c>
      <c r="AK885" s="87">
        <f t="shared" si="91"/>
        <v>0</v>
      </c>
      <c r="AL885" s="86">
        <v>0</v>
      </c>
      <c r="AM885" s="86">
        <f t="shared" si="92"/>
        <v>39062100</v>
      </c>
      <c r="AN885" s="63" t="s">
        <v>1155</v>
      </c>
      <c r="AO885" s="86">
        <f t="shared" si="93"/>
        <v>0</v>
      </c>
      <c r="AP885" s="63"/>
      <c r="AQ885" s="81">
        <v>43276</v>
      </c>
      <c r="AR885" s="63" t="s">
        <v>2109</v>
      </c>
      <c r="AS885" s="81">
        <v>43276</v>
      </c>
      <c r="AT885" s="76" t="s">
        <v>2511</v>
      </c>
      <c r="AU885" s="220"/>
      <c r="AV885" s="220"/>
      <c r="AW885" s="220"/>
    </row>
    <row r="886" spans="1:49" s="221" customFormat="1" ht="270.75" x14ac:dyDescent="0.25">
      <c r="A886" s="63">
        <v>472</v>
      </c>
      <c r="B886" s="63" t="str">
        <f t="shared" si="90"/>
        <v>3075-472</v>
      </c>
      <c r="C886" s="76" t="s">
        <v>1141</v>
      </c>
      <c r="D886" s="76" t="s">
        <v>1142</v>
      </c>
      <c r="E886" s="76" t="s">
        <v>1174</v>
      </c>
      <c r="F886" s="76" t="s">
        <v>1175</v>
      </c>
      <c r="G886" s="77" t="s">
        <v>1176</v>
      </c>
      <c r="H886" s="78" t="s">
        <v>1177</v>
      </c>
      <c r="I886" s="76" t="s">
        <v>1147</v>
      </c>
      <c r="J886" s="76" t="s">
        <v>1148</v>
      </c>
      <c r="K886" s="76" t="s">
        <v>439</v>
      </c>
      <c r="L886" s="63" t="s">
        <v>1149</v>
      </c>
      <c r="M886" s="63" t="s">
        <v>58</v>
      </c>
      <c r="N886" s="63" t="s">
        <v>59</v>
      </c>
      <c r="O886" s="76" t="s">
        <v>1169</v>
      </c>
      <c r="P886" s="76" t="s">
        <v>2515</v>
      </c>
      <c r="Q886" s="79">
        <v>39062100</v>
      </c>
      <c r="R886" s="63">
        <v>1</v>
      </c>
      <c r="S886" s="80">
        <f t="shared" si="94"/>
        <v>39062100</v>
      </c>
      <c r="T886" s="63"/>
      <c r="U886" s="63" t="s">
        <v>1171</v>
      </c>
      <c r="V886" s="81" t="s">
        <v>875</v>
      </c>
      <c r="W886" s="82" t="s">
        <v>439</v>
      </c>
      <c r="X886" s="63" t="s">
        <v>2516</v>
      </c>
      <c r="Y886" s="81">
        <v>43276</v>
      </c>
      <c r="Z886" s="83">
        <f>39062100-39062100</f>
        <v>0</v>
      </c>
      <c r="AA886" s="84" t="s">
        <v>2513</v>
      </c>
      <c r="AB886" s="85" t="s">
        <v>2517</v>
      </c>
      <c r="AC886" s="81">
        <v>43277</v>
      </c>
      <c r="AD886" s="86">
        <v>0</v>
      </c>
      <c r="AE886" s="87">
        <f t="shared" si="87"/>
        <v>39062100</v>
      </c>
      <c r="AF886" s="85"/>
      <c r="AG886" s="81"/>
      <c r="AH886" s="86"/>
      <c r="AI886" s="63"/>
      <c r="AJ886" s="63"/>
      <c r="AK886" s="87">
        <f t="shared" si="91"/>
        <v>0</v>
      </c>
      <c r="AL886" s="86"/>
      <c r="AM886" s="86">
        <f t="shared" si="92"/>
        <v>0</v>
      </c>
      <c r="AN886" s="63" t="s">
        <v>1155</v>
      </c>
      <c r="AO886" s="86">
        <f t="shared" si="93"/>
        <v>39062100</v>
      </c>
      <c r="AP886" s="63"/>
      <c r="AQ886" s="81">
        <v>43276</v>
      </c>
      <c r="AR886" s="63" t="s">
        <v>2109</v>
      </c>
      <c r="AS886" s="81">
        <v>43276</v>
      </c>
      <c r="AT886" s="76"/>
      <c r="AU886" s="220"/>
      <c r="AV886" s="220"/>
      <c r="AW886" s="220"/>
    </row>
    <row r="887" spans="1:49" s="221" customFormat="1" ht="399" x14ac:dyDescent="0.25">
      <c r="A887" s="63">
        <v>473</v>
      </c>
      <c r="B887" s="63" t="str">
        <f t="shared" si="90"/>
        <v>3075-473</v>
      </c>
      <c r="C887" s="76" t="s">
        <v>1141</v>
      </c>
      <c r="D887" s="76" t="s">
        <v>1142</v>
      </c>
      <c r="E887" s="76" t="s">
        <v>1174</v>
      </c>
      <c r="F887" s="76" t="s">
        <v>1175</v>
      </c>
      <c r="G887" s="77" t="s">
        <v>1176</v>
      </c>
      <c r="H887" s="78" t="s">
        <v>1177</v>
      </c>
      <c r="I887" s="76" t="s">
        <v>1147</v>
      </c>
      <c r="J887" s="76" t="s">
        <v>1148</v>
      </c>
      <c r="K887" s="76" t="s">
        <v>439</v>
      </c>
      <c r="L887" s="63" t="s">
        <v>1149</v>
      </c>
      <c r="M887" s="63" t="s">
        <v>58</v>
      </c>
      <c r="N887" s="63" t="s">
        <v>59</v>
      </c>
      <c r="O887" s="76" t="s">
        <v>1169</v>
      </c>
      <c r="P887" s="76" t="s">
        <v>2518</v>
      </c>
      <c r="Q887" s="79">
        <v>39062100</v>
      </c>
      <c r="R887" s="63">
        <v>1</v>
      </c>
      <c r="S887" s="80">
        <f t="shared" si="94"/>
        <v>39062100</v>
      </c>
      <c r="T887" s="63" t="s">
        <v>1171</v>
      </c>
      <c r="U887" s="63" t="s">
        <v>1171</v>
      </c>
      <c r="V887" s="81" t="s">
        <v>431</v>
      </c>
      <c r="W887" s="82" t="s">
        <v>439</v>
      </c>
      <c r="X887" s="63" t="s">
        <v>2519</v>
      </c>
      <c r="Y887" s="81">
        <v>43276</v>
      </c>
      <c r="Z887" s="83">
        <v>39062100</v>
      </c>
      <c r="AA887" s="84" t="s">
        <v>2513</v>
      </c>
      <c r="AB887" s="85">
        <v>921</v>
      </c>
      <c r="AC887" s="81">
        <v>43277</v>
      </c>
      <c r="AD887" s="86">
        <v>39062100</v>
      </c>
      <c r="AE887" s="87">
        <f t="shared" si="87"/>
        <v>0</v>
      </c>
      <c r="AF887" s="85">
        <v>2608</v>
      </c>
      <c r="AG887" s="81">
        <v>43320</v>
      </c>
      <c r="AH887" s="86">
        <v>39062100</v>
      </c>
      <c r="AI887" s="63" t="s">
        <v>2520</v>
      </c>
      <c r="AJ887" s="63">
        <v>3032</v>
      </c>
      <c r="AK887" s="87">
        <f t="shared" si="91"/>
        <v>0</v>
      </c>
      <c r="AL887" s="86">
        <v>0</v>
      </c>
      <c r="AM887" s="86">
        <f t="shared" si="92"/>
        <v>39062100</v>
      </c>
      <c r="AN887" s="63" t="s">
        <v>1155</v>
      </c>
      <c r="AO887" s="86">
        <f t="shared" si="93"/>
        <v>0</v>
      </c>
      <c r="AP887" s="63"/>
      <c r="AQ887" s="81">
        <v>43276</v>
      </c>
      <c r="AR887" s="63" t="s">
        <v>2109</v>
      </c>
      <c r="AS887" s="81">
        <v>43276</v>
      </c>
      <c r="AT887" s="76" t="s">
        <v>2518</v>
      </c>
      <c r="AU887" s="220"/>
      <c r="AV887" s="220"/>
      <c r="AW887" s="220"/>
    </row>
    <row r="888" spans="1:49" s="221" customFormat="1" ht="399" x14ac:dyDescent="0.25">
      <c r="A888" s="63">
        <v>474</v>
      </c>
      <c r="B888" s="63" t="str">
        <f t="shared" si="90"/>
        <v>3075-474</v>
      </c>
      <c r="C888" s="76" t="s">
        <v>1141</v>
      </c>
      <c r="D888" s="76" t="s">
        <v>1142</v>
      </c>
      <c r="E888" s="76" t="s">
        <v>1174</v>
      </c>
      <c r="F888" s="76" t="s">
        <v>1175</v>
      </c>
      <c r="G888" s="77" t="s">
        <v>1176</v>
      </c>
      <c r="H888" s="78" t="s">
        <v>1177</v>
      </c>
      <c r="I888" s="76" t="s">
        <v>1147</v>
      </c>
      <c r="J888" s="76" t="s">
        <v>1148</v>
      </c>
      <c r="K888" s="76" t="s">
        <v>439</v>
      </c>
      <c r="L888" s="63" t="s">
        <v>1149</v>
      </c>
      <c r="M888" s="63" t="s">
        <v>58</v>
      </c>
      <c r="N888" s="63" t="s">
        <v>59</v>
      </c>
      <c r="O888" s="76" t="s">
        <v>1169</v>
      </c>
      <c r="P888" s="76" t="s">
        <v>2521</v>
      </c>
      <c r="Q888" s="79">
        <v>39062100</v>
      </c>
      <c r="R888" s="63">
        <v>1</v>
      </c>
      <c r="S888" s="80">
        <f t="shared" si="94"/>
        <v>39062100</v>
      </c>
      <c r="T888" s="63" t="s">
        <v>1171</v>
      </c>
      <c r="U888" s="63" t="s">
        <v>1171</v>
      </c>
      <c r="V888" s="81" t="s">
        <v>431</v>
      </c>
      <c r="W888" s="82" t="s">
        <v>439</v>
      </c>
      <c r="X888" s="63" t="s">
        <v>2522</v>
      </c>
      <c r="Y888" s="81">
        <v>43276</v>
      </c>
      <c r="Z888" s="83">
        <v>39062100</v>
      </c>
      <c r="AA888" s="84" t="s">
        <v>2523</v>
      </c>
      <c r="AB888" s="85">
        <v>922</v>
      </c>
      <c r="AC888" s="81">
        <v>43277</v>
      </c>
      <c r="AD888" s="86">
        <v>39062100</v>
      </c>
      <c r="AE888" s="87">
        <f t="shared" si="87"/>
        <v>0</v>
      </c>
      <c r="AF888" s="85">
        <v>2573</v>
      </c>
      <c r="AG888" s="81">
        <v>43314</v>
      </c>
      <c r="AH888" s="86">
        <v>39062100</v>
      </c>
      <c r="AI888" s="63" t="s">
        <v>2524</v>
      </c>
      <c r="AJ888" s="63">
        <v>3033</v>
      </c>
      <c r="AK888" s="87">
        <f t="shared" si="91"/>
        <v>0</v>
      </c>
      <c r="AL888" s="86">
        <v>0</v>
      </c>
      <c r="AM888" s="86">
        <f t="shared" si="92"/>
        <v>39062100</v>
      </c>
      <c r="AN888" s="63" t="s">
        <v>1155</v>
      </c>
      <c r="AO888" s="86">
        <f t="shared" si="93"/>
        <v>0</v>
      </c>
      <c r="AP888" s="63"/>
      <c r="AQ888" s="81">
        <v>43276</v>
      </c>
      <c r="AR888" s="63" t="s">
        <v>2109</v>
      </c>
      <c r="AS888" s="81">
        <v>43276</v>
      </c>
      <c r="AT888" s="63" t="s">
        <v>2521</v>
      </c>
      <c r="AU888" s="220"/>
      <c r="AV888" s="220"/>
      <c r="AW888" s="220"/>
    </row>
    <row r="889" spans="1:49" s="221" customFormat="1" ht="399" x14ac:dyDescent="0.25">
      <c r="A889" s="63">
        <v>475</v>
      </c>
      <c r="B889" s="63" t="str">
        <f t="shared" si="90"/>
        <v>3075-475</v>
      </c>
      <c r="C889" s="76" t="s">
        <v>1141</v>
      </c>
      <c r="D889" s="76" t="s">
        <v>1142</v>
      </c>
      <c r="E889" s="76" t="s">
        <v>1174</v>
      </c>
      <c r="F889" s="76" t="s">
        <v>1175</v>
      </c>
      <c r="G889" s="77" t="s">
        <v>1176</v>
      </c>
      <c r="H889" s="78" t="s">
        <v>1177</v>
      </c>
      <c r="I889" s="76" t="s">
        <v>1147</v>
      </c>
      <c r="J889" s="76" t="s">
        <v>1148</v>
      </c>
      <c r="K889" s="76" t="s">
        <v>439</v>
      </c>
      <c r="L889" s="63" t="s">
        <v>1149</v>
      </c>
      <c r="M889" s="63" t="s">
        <v>58</v>
      </c>
      <c r="N889" s="63" t="s">
        <v>59</v>
      </c>
      <c r="O889" s="76" t="s">
        <v>1169</v>
      </c>
      <c r="P889" s="76" t="s">
        <v>2525</v>
      </c>
      <c r="Q889" s="79">
        <v>39062100</v>
      </c>
      <c r="R889" s="63">
        <v>1</v>
      </c>
      <c r="S889" s="80">
        <f t="shared" si="94"/>
        <v>39062100</v>
      </c>
      <c r="T889" s="63" t="s">
        <v>1171</v>
      </c>
      <c r="U889" s="63" t="s">
        <v>1171</v>
      </c>
      <c r="V889" s="81" t="s">
        <v>431</v>
      </c>
      <c r="W889" s="82" t="s">
        <v>439</v>
      </c>
      <c r="X889" s="63" t="s">
        <v>2526</v>
      </c>
      <c r="Y889" s="81">
        <v>43276</v>
      </c>
      <c r="Z889" s="83">
        <v>39062100</v>
      </c>
      <c r="AA889" s="84" t="s">
        <v>2527</v>
      </c>
      <c r="AB889" s="85">
        <v>923</v>
      </c>
      <c r="AC889" s="81">
        <v>43277</v>
      </c>
      <c r="AD889" s="86">
        <v>39062100</v>
      </c>
      <c r="AE889" s="87">
        <f t="shared" si="87"/>
        <v>0</v>
      </c>
      <c r="AF889" s="85">
        <v>2559</v>
      </c>
      <c r="AG889" s="81">
        <v>43313</v>
      </c>
      <c r="AH889" s="86">
        <v>39062100</v>
      </c>
      <c r="AI889" s="63" t="s">
        <v>2528</v>
      </c>
      <c r="AJ889" s="63">
        <v>3006</v>
      </c>
      <c r="AK889" s="87">
        <f t="shared" si="91"/>
        <v>0</v>
      </c>
      <c r="AL889" s="86">
        <v>0</v>
      </c>
      <c r="AM889" s="86">
        <f t="shared" si="92"/>
        <v>39062100</v>
      </c>
      <c r="AN889" s="63" t="s">
        <v>1155</v>
      </c>
      <c r="AO889" s="86">
        <f t="shared" si="93"/>
        <v>0</v>
      </c>
      <c r="AP889" s="63"/>
      <c r="AQ889" s="81">
        <v>43276</v>
      </c>
      <c r="AR889" s="63" t="s">
        <v>2109</v>
      </c>
      <c r="AS889" s="81">
        <v>43276</v>
      </c>
      <c r="AT889" s="63" t="s">
        <v>2525</v>
      </c>
      <c r="AU889" s="220"/>
      <c r="AV889" s="220"/>
      <c r="AW889" s="220"/>
    </row>
    <row r="890" spans="1:49" s="221" customFormat="1" ht="384.75" x14ac:dyDescent="0.25">
      <c r="A890" s="63">
        <v>476</v>
      </c>
      <c r="B890" s="63" t="str">
        <f t="shared" si="90"/>
        <v>3075-476</v>
      </c>
      <c r="C890" s="76" t="s">
        <v>1141</v>
      </c>
      <c r="D890" s="76" t="s">
        <v>1142</v>
      </c>
      <c r="E890" s="76" t="s">
        <v>1174</v>
      </c>
      <c r="F890" s="76" t="s">
        <v>1175</v>
      </c>
      <c r="G890" s="77" t="s">
        <v>1176</v>
      </c>
      <c r="H890" s="78" t="s">
        <v>1177</v>
      </c>
      <c r="I890" s="76" t="s">
        <v>1147</v>
      </c>
      <c r="J890" s="76" t="s">
        <v>1148</v>
      </c>
      <c r="K890" s="76" t="s">
        <v>439</v>
      </c>
      <c r="L890" s="63" t="s">
        <v>1149</v>
      </c>
      <c r="M890" s="63" t="s">
        <v>58</v>
      </c>
      <c r="N890" s="63" t="s">
        <v>59</v>
      </c>
      <c r="O890" s="76" t="s">
        <v>1169</v>
      </c>
      <c r="P890" s="76" t="s">
        <v>2529</v>
      </c>
      <c r="Q890" s="79">
        <v>39062100</v>
      </c>
      <c r="R890" s="63">
        <v>1</v>
      </c>
      <c r="S890" s="80">
        <f t="shared" si="94"/>
        <v>39062100</v>
      </c>
      <c r="T890" s="63" t="s">
        <v>1171</v>
      </c>
      <c r="U890" s="63" t="s">
        <v>1171</v>
      </c>
      <c r="V890" s="81" t="s">
        <v>431</v>
      </c>
      <c r="W890" s="82" t="s">
        <v>439</v>
      </c>
      <c r="X890" s="63" t="s">
        <v>2530</v>
      </c>
      <c r="Y890" s="81">
        <v>43277</v>
      </c>
      <c r="Z890" s="83">
        <v>39062100</v>
      </c>
      <c r="AA890" s="84" t="s">
        <v>2527</v>
      </c>
      <c r="AB890" s="85">
        <v>932</v>
      </c>
      <c r="AC890" s="81">
        <v>43279</v>
      </c>
      <c r="AD890" s="86">
        <v>39062100</v>
      </c>
      <c r="AE890" s="87">
        <f t="shared" si="87"/>
        <v>0</v>
      </c>
      <c r="AF890" s="85">
        <v>2556</v>
      </c>
      <c r="AG890" s="81">
        <v>43313</v>
      </c>
      <c r="AH890" s="86">
        <v>39062100</v>
      </c>
      <c r="AI890" s="63" t="s">
        <v>2531</v>
      </c>
      <c r="AJ890" s="63">
        <v>3003</v>
      </c>
      <c r="AK890" s="87">
        <f t="shared" si="91"/>
        <v>0</v>
      </c>
      <c r="AL890" s="86">
        <v>0</v>
      </c>
      <c r="AM890" s="86">
        <f t="shared" si="92"/>
        <v>39062100</v>
      </c>
      <c r="AN890" s="63" t="s">
        <v>1155</v>
      </c>
      <c r="AO890" s="86">
        <f t="shared" si="93"/>
        <v>0</v>
      </c>
      <c r="AP890" s="63"/>
      <c r="AQ890" s="81">
        <v>43277</v>
      </c>
      <c r="AR890" s="63" t="s">
        <v>2109</v>
      </c>
      <c r="AS890" s="81">
        <v>43277</v>
      </c>
      <c r="AT890" s="76" t="s">
        <v>2529</v>
      </c>
      <c r="AU890" s="220"/>
      <c r="AV890" s="220"/>
      <c r="AW890" s="220"/>
    </row>
    <row r="891" spans="1:49" s="221" customFormat="1" ht="199.5" x14ac:dyDescent="0.25">
      <c r="A891" s="63">
        <v>477</v>
      </c>
      <c r="B891" s="63" t="str">
        <f t="shared" si="90"/>
        <v>3075-477</v>
      </c>
      <c r="C891" s="76" t="s">
        <v>1141</v>
      </c>
      <c r="D891" s="76" t="s">
        <v>1142</v>
      </c>
      <c r="E891" s="76" t="s">
        <v>1165</v>
      </c>
      <c r="F891" s="76" t="s">
        <v>1166</v>
      </c>
      <c r="G891" s="77" t="s">
        <v>1167</v>
      </c>
      <c r="H891" s="78" t="s">
        <v>1168</v>
      </c>
      <c r="I891" s="76" t="s">
        <v>1147</v>
      </c>
      <c r="J891" s="76" t="s">
        <v>1148</v>
      </c>
      <c r="K891" s="76" t="s">
        <v>439</v>
      </c>
      <c r="L891" s="63" t="s">
        <v>1149</v>
      </c>
      <c r="M891" s="63" t="s">
        <v>58</v>
      </c>
      <c r="N891" s="63" t="s">
        <v>59</v>
      </c>
      <c r="O891" s="76" t="s">
        <v>1169</v>
      </c>
      <c r="P891" s="63" t="s">
        <v>2532</v>
      </c>
      <c r="Q891" s="79">
        <v>18216000</v>
      </c>
      <c r="R891" s="63">
        <v>1</v>
      </c>
      <c r="S891" s="80">
        <f t="shared" si="94"/>
        <v>18216000</v>
      </c>
      <c r="T891" s="63" t="s">
        <v>1171</v>
      </c>
      <c r="U891" s="63" t="s">
        <v>1171</v>
      </c>
      <c r="V891" s="81" t="s">
        <v>431</v>
      </c>
      <c r="W891" s="82" t="s">
        <v>439</v>
      </c>
      <c r="X891" s="90" t="s">
        <v>2533</v>
      </c>
      <c r="Y891" s="89">
        <v>43277</v>
      </c>
      <c r="Z891" s="83">
        <v>18216000</v>
      </c>
      <c r="AA891" s="84" t="s">
        <v>2534</v>
      </c>
      <c r="AB891" s="85">
        <v>931</v>
      </c>
      <c r="AC891" s="81">
        <v>43279</v>
      </c>
      <c r="AD891" s="86">
        <v>18216000</v>
      </c>
      <c r="AE891" s="87">
        <f t="shared" si="87"/>
        <v>0</v>
      </c>
      <c r="AF891" s="85">
        <v>2696</v>
      </c>
      <c r="AG891" s="81">
        <v>43334</v>
      </c>
      <c r="AH891" s="86">
        <v>18216000</v>
      </c>
      <c r="AI891" s="63" t="s">
        <v>2535</v>
      </c>
      <c r="AJ891" s="63">
        <v>3148</v>
      </c>
      <c r="AK891" s="87">
        <f t="shared" si="91"/>
        <v>0</v>
      </c>
      <c r="AL891" s="86">
        <v>0</v>
      </c>
      <c r="AM891" s="86">
        <f t="shared" si="92"/>
        <v>18216000</v>
      </c>
      <c r="AN891" s="63" t="s">
        <v>1155</v>
      </c>
      <c r="AO891" s="86">
        <f t="shared" si="93"/>
        <v>0</v>
      </c>
      <c r="AP891" s="63"/>
      <c r="AQ891" s="81">
        <v>43277</v>
      </c>
      <c r="AR891" s="63" t="s">
        <v>2109</v>
      </c>
      <c r="AS891" s="81">
        <v>43277</v>
      </c>
      <c r="AT891" s="63" t="s">
        <v>2532</v>
      </c>
      <c r="AU891" s="220"/>
      <c r="AV891" s="220"/>
      <c r="AW891" s="220"/>
    </row>
    <row r="892" spans="1:49" s="221" customFormat="1" ht="299.25" x14ac:dyDescent="0.25">
      <c r="A892" s="63">
        <v>478</v>
      </c>
      <c r="B892" s="63" t="str">
        <f t="shared" si="90"/>
        <v>3075-478</v>
      </c>
      <c r="C892" s="76" t="s">
        <v>1141</v>
      </c>
      <c r="D892" s="76" t="s">
        <v>1142</v>
      </c>
      <c r="E892" s="76" t="s">
        <v>1143</v>
      </c>
      <c r="F892" s="76" t="s">
        <v>1158</v>
      </c>
      <c r="G892" s="77" t="s">
        <v>1159</v>
      </c>
      <c r="H892" s="78" t="s">
        <v>1160</v>
      </c>
      <c r="I892" s="76" t="s">
        <v>1147</v>
      </c>
      <c r="J892" s="76" t="s">
        <v>1148</v>
      </c>
      <c r="K892" s="76">
        <v>801116</v>
      </c>
      <c r="L892" s="63" t="s">
        <v>1149</v>
      </c>
      <c r="M892" s="63" t="s">
        <v>58</v>
      </c>
      <c r="N892" s="63" t="s">
        <v>59</v>
      </c>
      <c r="O892" s="76" t="s">
        <v>1213</v>
      </c>
      <c r="P892" s="76" t="s">
        <v>2536</v>
      </c>
      <c r="Q892" s="83">
        <v>5036700</v>
      </c>
      <c r="R892" s="63">
        <v>1</v>
      </c>
      <c r="S892" s="80">
        <f>Q892*R892*W892-2518350</f>
        <v>22665150</v>
      </c>
      <c r="T892" s="63" t="s">
        <v>888</v>
      </c>
      <c r="U892" s="63" t="s">
        <v>1163</v>
      </c>
      <c r="V892" s="81" t="s">
        <v>431</v>
      </c>
      <c r="W892" s="82">
        <v>5</v>
      </c>
      <c r="X892" s="63" t="s">
        <v>2537</v>
      </c>
      <c r="Y892" s="81">
        <v>43286</v>
      </c>
      <c r="Z892" s="83">
        <f>25183500-2518350</f>
        <v>22665150</v>
      </c>
      <c r="AA892" s="84" t="s">
        <v>2538</v>
      </c>
      <c r="AB892" s="85">
        <v>941</v>
      </c>
      <c r="AC892" s="81">
        <v>43286</v>
      </c>
      <c r="AD892" s="86">
        <v>22665150</v>
      </c>
      <c r="AE892" s="87">
        <f t="shared" si="87"/>
        <v>0</v>
      </c>
      <c r="AF892" s="85">
        <v>2728</v>
      </c>
      <c r="AG892" s="81">
        <v>43335</v>
      </c>
      <c r="AH892" s="86">
        <v>22665150</v>
      </c>
      <c r="AI892" s="63" t="s">
        <v>2539</v>
      </c>
      <c r="AJ892" s="63">
        <v>520</v>
      </c>
      <c r="AK892" s="87">
        <f t="shared" si="91"/>
        <v>0</v>
      </c>
      <c r="AL892" s="86">
        <v>1343120</v>
      </c>
      <c r="AM892" s="86">
        <f t="shared" si="92"/>
        <v>21322030</v>
      </c>
      <c r="AN892" s="63" t="s">
        <v>1155</v>
      </c>
      <c r="AO892" s="86">
        <f t="shared" si="93"/>
        <v>0</v>
      </c>
      <c r="AP892" s="63"/>
      <c r="AQ892" s="81">
        <v>43285</v>
      </c>
      <c r="AR892" s="63" t="s">
        <v>2109</v>
      </c>
      <c r="AS892" s="81">
        <v>43286</v>
      </c>
      <c r="AT892" s="63" t="s">
        <v>1453</v>
      </c>
      <c r="AU892" s="220"/>
      <c r="AV892" s="220"/>
      <c r="AW892" s="220"/>
    </row>
    <row r="893" spans="1:49" s="221" customFormat="1" ht="409.5" x14ac:dyDescent="0.25">
      <c r="A893" s="63">
        <v>479</v>
      </c>
      <c r="B893" s="63" t="str">
        <f t="shared" si="90"/>
        <v>3075-479</v>
      </c>
      <c r="C893" s="76" t="s">
        <v>1141</v>
      </c>
      <c r="D893" s="76" t="s">
        <v>1142</v>
      </c>
      <c r="E893" s="76" t="s">
        <v>1165</v>
      </c>
      <c r="F893" s="76" t="s">
        <v>1166</v>
      </c>
      <c r="G893" s="77" t="s">
        <v>1167</v>
      </c>
      <c r="H893" s="78" t="s">
        <v>1168</v>
      </c>
      <c r="I893" s="76" t="s">
        <v>1147</v>
      </c>
      <c r="J893" s="76" t="s">
        <v>1148</v>
      </c>
      <c r="K893" s="76" t="s">
        <v>439</v>
      </c>
      <c r="L893" s="63" t="s">
        <v>1149</v>
      </c>
      <c r="M893" s="63" t="s">
        <v>58</v>
      </c>
      <c r="N893" s="63" t="s">
        <v>59</v>
      </c>
      <c r="O893" s="76" t="s">
        <v>1169</v>
      </c>
      <c r="P893" s="63" t="s">
        <v>2540</v>
      </c>
      <c r="Q893" s="79">
        <v>10962000</v>
      </c>
      <c r="R893" s="63">
        <v>1</v>
      </c>
      <c r="S893" s="80">
        <f t="shared" ref="S893:S902" si="95">Q893*R893</f>
        <v>10962000</v>
      </c>
      <c r="T893" s="63" t="s">
        <v>1171</v>
      </c>
      <c r="U893" s="63" t="s">
        <v>1171</v>
      </c>
      <c r="V893" s="81" t="s">
        <v>875</v>
      </c>
      <c r="W893" s="82" t="s">
        <v>439</v>
      </c>
      <c r="X893" s="90" t="s">
        <v>2541</v>
      </c>
      <c r="Y893" s="89">
        <v>43290</v>
      </c>
      <c r="Z893" s="83">
        <v>10962000</v>
      </c>
      <c r="AA893" s="84" t="s">
        <v>2542</v>
      </c>
      <c r="AB893" s="85">
        <v>946</v>
      </c>
      <c r="AC893" s="81">
        <v>43291</v>
      </c>
      <c r="AD893" s="86">
        <v>10962000</v>
      </c>
      <c r="AE893" s="87">
        <f t="shared" si="87"/>
        <v>0</v>
      </c>
      <c r="AF893" s="85">
        <v>2872</v>
      </c>
      <c r="AG893" s="81">
        <v>43360</v>
      </c>
      <c r="AH893" s="86">
        <v>10962000</v>
      </c>
      <c r="AI893" s="63" t="s">
        <v>2543</v>
      </c>
      <c r="AJ893" s="63">
        <v>3340</v>
      </c>
      <c r="AK893" s="87">
        <f t="shared" si="91"/>
        <v>0</v>
      </c>
      <c r="AL893" s="86">
        <v>0</v>
      </c>
      <c r="AM893" s="86">
        <f t="shared" si="92"/>
        <v>10962000</v>
      </c>
      <c r="AN893" s="63" t="s">
        <v>1155</v>
      </c>
      <c r="AO893" s="86">
        <f t="shared" si="93"/>
        <v>0</v>
      </c>
      <c r="AP893" s="63"/>
      <c r="AQ893" s="81">
        <v>43290</v>
      </c>
      <c r="AR893" s="63" t="s">
        <v>2109</v>
      </c>
      <c r="AS893" s="81">
        <v>43290</v>
      </c>
      <c r="AT893" s="63" t="s">
        <v>2540</v>
      </c>
      <c r="AU893" s="220"/>
      <c r="AV893" s="220"/>
      <c r="AW893" s="220"/>
    </row>
    <row r="894" spans="1:49" s="221" customFormat="1" ht="370.5" x14ac:dyDescent="0.25">
      <c r="A894" s="63">
        <v>480</v>
      </c>
      <c r="B894" s="63" t="str">
        <f t="shared" si="90"/>
        <v>3075-480</v>
      </c>
      <c r="C894" s="76" t="s">
        <v>1141</v>
      </c>
      <c r="D894" s="76" t="s">
        <v>1142</v>
      </c>
      <c r="E894" s="76" t="s">
        <v>1174</v>
      </c>
      <c r="F894" s="76" t="s">
        <v>1175</v>
      </c>
      <c r="G894" s="77" t="s">
        <v>1176</v>
      </c>
      <c r="H894" s="78" t="s">
        <v>1177</v>
      </c>
      <c r="I894" s="76" t="s">
        <v>1191</v>
      </c>
      <c r="J894" s="76" t="s">
        <v>1192</v>
      </c>
      <c r="K894" s="76" t="s">
        <v>439</v>
      </c>
      <c r="L894" s="63" t="s">
        <v>1149</v>
      </c>
      <c r="M894" s="63" t="s">
        <v>58</v>
      </c>
      <c r="N894" s="63" t="s">
        <v>59</v>
      </c>
      <c r="O894" s="76" t="s">
        <v>1169</v>
      </c>
      <c r="P894" s="76" t="s">
        <v>2544</v>
      </c>
      <c r="Q894" s="79">
        <v>39062100</v>
      </c>
      <c r="R894" s="63">
        <v>1</v>
      </c>
      <c r="S894" s="80">
        <f t="shared" si="95"/>
        <v>39062100</v>
      </c>
      <c r="T894" s="63" t="s">
        <v>1171</v>
      </c>
      <c r="U894" s="63" t="s">
        <v>1171</v>
      </c>
      <c r="V894" s="81" t="s">
        <v>431</v>
      </c>
      <c r="W894" s="82" t="s">
        <v>439</v>
      </c>
      <c r="X894" s="90" t="s">
        <v>2545</v>
      </c>
      <c r="Y894" s="81">
        <v>43290</v>
      </c>
      <c r="Z894" s="83">
        <v>39062100</v>
      </c>
      <c r="AA894" s="84" t="s">
        <v>2546</v>
      </c>
      <c r="AB894" s="85">
        <v>951</v>
      </c>
      <c r="AC894" s="81">
        <v>43291</v>
      </c>
      <c r="AD894" s="86">
        <v>39062100</v>
      </c>
      <c r="AE894" s="87">
        <f t="shared" si="87"/>
        <v>0</v>
      </c>
      <c r="AF894" s="85">
        <v>2598</v>
      </c>
      <c r="AG894" s="81">
        <v>43315</v>
      </c>
      <c r="AH894" s="86">
        <v>39062100</v>
      </c>
      <c r="AI894" s="63" t="s">
        <v>2547</v>
      </c>
      <c r="AJ894" s="63">
        <v>3035</v>
      </c>
      <c r="AK894" s="87">
        <f t="shared" si="91"/>
        <v>0</v>
      </c>
      <c r="AL894" s="86">
        <v>0</v>
      </c>
      <c r="AM894" s="86">
        <f t="shared" si="92"/>
        <v>39062100</v>
      </c>
      <c r="AN894" s="63" t="s">
        <v>1155</v>
      </c>
      <c r="AO894" s="86">
        <f t="shared" si="93"/>
        <v>0</v>
      </c>
      <c r="AP894" s="63"/>
      <c r="AQ894" s="81">
        <v>43290</v>
      </c>
      <c r="AR894" s="63" t="s">
        <v>2109</v>
      </c>
      <c r="AS894" s="81">
        <v>43290</v>
      </c>
      <c r="AT894" s="76" t="s">
        <v>2544</v>
      </c>
      <c r="AU894" s="220"/>
      <c r="AV894" s="220"/>
      <c r="AW894" s="220"/>
    </row>
    <row r="895" spans="1:49" s="221" customFormat="1" ht="384.75" x14ac:dyDescent="0.25">
      <c r="A895" s="63">
        <v>481</v>
      </c>
      <c r="B895" s="63" t="str">
        <f t="shared" si="90"/>
        <v>3075-481</v>
      </c>
      <c r="C895" s="76" t="s">
        <v>1141</v>
      </c>
      <c r="D895" s="76" t="s">
        <v>1142</v>
      </c>
      <c r="E895" s="76" t="s">
        <v>1174</v>
      </c>
      <c r="F895" s="76" t="s">
        <v>1175</v>
      </c>
      <c r="G895" s="77" t="s">
        <v>1176</v>
      </c>
      <c r="H895" s="78" t="s">
        <v>1177</v>
      </c>
      <c r="I895" s="76" t="s">
        <v>1191</v>
      </c>
      <c r="J895" s="76" t="s">
        <v>1192</v>
      </c>
      <c r="K895" s="76" t="s">
        <v>439</v>
      </c>
      <c r="L895" s="63" t="s">
        <v>1149</v>
      </c>
      <c r="M895" s="63" t="s">
        <v>58</v>
      </c>
      <c r="N895" s="63" t="s">
        <v>59</v>
      </c>
      <c r="O895" s="76" t="s">
        <v>1169</v>
      </c>
      <c r="P895" s="76" t="s">
        <v>2548</v>
      </c>
      <c r="Q895" s="79">
        <v>39062100</v>
      </c>
      <c r="R895" s="63">
        <v>1</v>
      </c>
      <c r="S895" s="80">
        <f t="shared" si="95"/>
        <v>39062100</v>
      </c>
      <c r="T895" s="63" t="s">
        <v>1171</v>
      </c>
      <c r="U895" s="63" t="s">
        <v>1171</v>
      </c>
      <c r="V895" s="81" t="s">
        <v>431</v>
      </c>
      <c r="W895" s="82" t="s">
        <v>439</v>
      </c>
      <c r="X895" s="90" t="s">
        <v>2549</v>
      </c>
      <c r="Y895" s="81">
        <v>43290</v>
      </c>
      <c r="Z895" s="83">
        <v>39062100</v>
      </c>
      <c r="AA895" s="84" t="s">
        <v>2550</v>
      </c>
      <c r="AB895" s="85">
        <v>950</v>
      </c>
      <c r="AC895" s="81">
        <v>43291</v>
      </c>
      <c r="AD895" s="86">
        <v>39062100</v>
      </c>
      <c r="AE895" s="87">
        <f t="shared" si="87"/>
        <v>0</v>
      </c>
      <c r="AF895" s="85">
        <v>2558</v>
      </c>
      <c r="AG895" s="81">
        <v>43313</v>
      </c>
      <c r="AH895" s="86">
        <v>39062100</v>
      </c>
      <c r="AI895" s="63" t="s">
        <v>2551</v>
      </c>
      <c r="AJ895" s="63">
        <v>3005</v>
      </c>
      <c r="AK895" s="87">
        <f t="shared" si="91"/>
        <v>0</v>
      </c>
      <c r="AL895" s="86">
        <v>0</v>
      </c>
      <c r="AM895" s="86">
        <f t="shared" si="92"/>
        <v>39062100</v>
      </c>
      <c r="AN895" s="63" t="s">
        <v>1155</v>
      </c>
      <c r="AO895" s="86">
        <f t="shared" si="93"/>
        <v>0</v>
      </c>
      <c r="AP895" s="63"/>
      <c r="AQ895" s="81">
        <v>43290</v>
      </c>
      <c r="AR895" s="63" t="s">
        <v>2109</v>
      </c>
      <c r="AS895" s="81">
        <v>43290</v>
      </c>
      <c r="AT895" s="63" t="s">
        <v>2548</v>
      </c>
      <c r="AU895" s="220"/>
      <c r="AV895" s="220"/>
      <c r="AW895" s="220"/>
    </row>
    <row r="896" spans="1:49" s="221" customFormat="1" ht="213.75" x14ac:dyDescent="0.25">
      <c r="A896" s="63">
        <v>482</v>
      </c>
      <c r="B896" s="63" t="str">
        <f t="shared" si="90"/>
        <v>3075-482</v>
      </c>
      <c r="C896" s="76" t="s">
        <v>1141</v>
      </c>
      <c r="D896" s="76" t="s">
        <v>1142</v>
      </c>
      <c r="E896" s="76" t="s">
        <v>1165</v>
      </c>
      <c r="F896" s="76" t="s">
        <v>1166</v>
      </c>
      <c r="G896" s="77" t="s">
        <v>1167</v>
      </c>
      <c r="H896" s="78" t="s">
        <v>1168</v>
      </c>
      <c r="I896" s="76" t="s">
        <v>1147</v>
      </c>
      <c r="J896" s="76" t="s">
        <v>1148</v>
      </c>
      <c r="K896" s="76" t="s">
        <v>439</v>
      </c>
      <c r="L896" s="63" t="s">
        <v>1149</v>
      </c>
      <c r="M896" s="63" t="s">
        <v>58</v>
      </c>
      <c r="N896" s="63" t="s">
        <v>59</v>
      </c>
      <c r="O896" s="76" t="s">
        <v>1169</v>
      </c>
      <c r="P896" s="63" t="s">
        <v>2552</v>
      </c>
      <c r="Q896" s="79">
        <v>45084240</v>
      </c>
      <c r="R896" s="63">
        <v>1</v>
      </c>
      <c r="S896" s="80">
        <f t="shared" si="95"/>
        <v>45084240</v>
      </c>
      <c r="T896" s="63" t="s">
        <v>1171</v>
      </c>
      <c r="U896" s="63" t="s">
        <v>1171</v>
      </c>
      <c r="V896" s="81" t="s">
        <v>431</v>
      </c>
      <c r="W896" s="82" t="s">
        <v>439</v>
      </c>
      <c r="X896" s="90" t="s">
        <v>2553</v>
      </c>
      <c r="Y896" s="89">
        <v>43292</v>
      </c>
      <c r="Z896" s="83">
        <v>45084240</v>
      </c>
      <c r="AA896" s="84" t="s">
        <v>2542</v>
      </c>
      <c r="AB896" s="85">
        <v>966</v>
      </c>
      <c r="AC896" s="81">
        <v>43293</v>
      </c>
      <c r="AD896" s="86">
        <v>45084240</v>
      </c>
      <c r="AE896" s="87">
        <f t="shared" si="87"/>
        <v>0</v>
      </c>
      <c r="AF896" s="85">
        <v>2679</v>
      </c>
      <c r="AG896" s="81">
        <v>43329</v>
      </c>
      <c r="AH896" s="86">
        <v>45084240</v>
      </c>
      <c r="AI896" s="63" t="s">
        <v>2554</v>
      </c>
      <c r="AJ896" s="63">
        <v>3150</v>
      </c>
      <c r="AK896" s="87">
        <f t="shared" si="91"/>
        <v>0</v>
      </c>
      <c r="AL896" s="86">
        <v>0</v>
      </c>
      <c r="AM896" s="86">
        <f t="shared" si="92"/>
        <v>45084240</v>
      </c>
      <c r="AN896" s="63" t="s">
        <v>1155</v>
      </c>
      <c r="AO896" s="86">
        <f t="shared" si="93"/>
        <v>0</v>
      </c>
      <c r="AP896" s="63"/>
      <c r="AQ896" s="81">
        <v>43291</v>
      </c>
      <c r="AR896" s="63" t="s">
        <v>2109</v>
      </c>
      <c r="AS896" s="81">
        <v>43292</v>
      </c>
      <c r="AT896" s="63" t="s">
        <v>2552</v>
      </c>
      <c r="AU896" s="220"/>
      <c r="AV896" s="220"/>
      <c r="AW896" s="220"/>
    </row>
    <row r="897" spans="1:49" s="221" customFormat="1" ht="213.75" x14ac:dyDescent="0.25">
      <c r="A897" s="63">
        <v>483</v>
      </c>
      <c r="B897" s="63" t="str">
        <f t="shared" si="90"/>
        <v>3075-483</v>
      </c>
      <c r="C897" s="76" t="s">
        <v>1141</v>
      </c>
      <c r="D897" s="76" t="s">
        <v>1142</v>
      </c>
      <c r="E897" s="76" t="s">
        <v>1165</v>
      </c>
      <c r="F897" s="76" t="s">
        <v>1166</v>
      </c>
      <c r="G897" s="77" t="s">
        <v>1167</v>
      </c>
      <c r="H897" s="78" t="s">
        <v>1168</v>
      </c>
      <c r="I897" s="76" t="s">
        <v>1147</v>
      </c>
      <c r="J897" s="76" t="s">
        <v>1148</v>
      </c>
      <c r="K897" s="76" t="s">
        <v>439</v>
      </c>
      <c r="L897" s="63" t="s">
        <v>1149</v>
      </c>
      <c r="M897" s="63" t="s">
        <v>58</v>
      </c>
      <c r="N897" s="63" t="s">
        <v>59</v>
      </c>
      <c r="O897" s="76" t="s">
        <v>1169</v>
      </c>
      <c r="P897" s="63" t="s">
        <v>2555</v>
      </c>
      <c r="Q897" s="79">
        <v>65332300</v>
      </c>
      <c r="R897" s="63">
        <v>1</v>
      </c>
      <c r="S897" s="80">
        <f t="shared" si="95"/>
        <v>65332300</v>
      </c>
      <c r="T897" s="63" t="s">
        <v>1171</v>
      </c>
      <c r="U897" s="63" t="s">
        <v>1171</v>
      </c>
      <c r="V897" s="81" t="s">
        <v>431</v>
      </c>
      <c r="W897" s="82" t="s">
        <v>439</v>
      </c>
      <c r="X897" s="90" t="s">
        <v>2556</v>
      </c>
      <c r="Y897" s="89">
        <v>43292</v>
      </c>
      <c r="Z897" s="83">
        <v>65332300</v>
      </c>
      <c r="AA897" s="84" t="s">
        <v>2542</v>
      </c>
      <c r="AB897" s="85">
        <v>967</v>
      </c>
      <c r="AC897" s="81">
        <v>43293</v>
      </c>
      <c r="AD897" s="86">
        <v>65332300</v>
      </c>
      <c r="AE897" s="87">
        <f t="shared" ref="AE897:AE902" si="96">S897-Z897</f>
        <v>0</v>
      </c>
      <c r="AF897" s="85">
        <v>2695</v>
      </c>
      <c r="AG897" s="81">
        <v>43334</v>
      </c>
      <c r="AH897" s="86">
        <v>65332300</v>
      </c>
      <c r="AI897" s="63" t="s">
        <v>2557</v>
      </c>
      <c r="AJ897" s="63">
        <v>3151</v>
      </c>
      <c r="AK897" s="87">
        <f t="shared" si="91"/>
        <v>0</v>
      </c>
      <c r="AL897" s="86">
        <v>0</v>
      </c>
      <c r="AM897" s="86">
        <f t="shared" si="92"/>
        <v>65332300</v>
      </c>
      <c r="AN897" s="63" t="s">
        <v>1155</v>
      </c>
      <c r="AO897" s="86">
        <f t="shared" si="93"/>
        <v>0</v>
      </c>
      <c r="AP897" s="63"/>
      <c r="AQ897" s="81">
        <v>43291</v>
      </c>
      <c r="AR897" s="63" t="s">
        <v>2109</v>
      </c>
      <c r="AS897" s="81">
        <v>43292</v>
      </c>
      <c r="AT897" s="63" t="s">
        <v>2555</v>
      </c>
      <c r="AU897" s="220"/>
      <c r="AV897" s="220"/>
      <c r="AW897" s="220"/>
    </row>
    <row r="898" spans="1:49" s="221" customFormat="1" ht="213.75" x14ac:dyDescent="0.25">
      <c r="A898" s="63">
        <v>484</v>
      </c>
      <c r="B898" s="63" t="str">
        <f t="shared" si="90"/>
        <v>3075-484</v>
      </c>
      <c r="C898" s="76" t="s">
        <v>1141</v>
      </c>
      <c r="D898" s="76" t="s">
        <v>1142</v>
      </c>
      <c r="E898" s="76" t="s">
        <v>1174</v>
      </c>
      <c r="F898" s="76" t="s">
        <v>1175</v>
      </c>
      <c r="G898" s="77" t="s">
        <v>1176</v>
      </c>
      <c r="H898" s="78" t="s">
        <v>1177</v>
      </c>
      <c r="I898" s="76" t="s">
        <v>1191</v>
      </c>
      <c r="J898" s="76" t="s">
        <v>1192</v>
      </c>
      <c r="K898" s="76" t="s">
        <v>439</v>
      </c>
      <c r="L898" s="63" t="s">
        <v>1149</v>
      </c>
      <c r="M898" s="63" t="s">
        <v>58</v>
      </c>
      <c r="N898" s="63" t="s">
        <v>59</v>
      </c>
      <c r="O898" s="76" t="s">
        <v>1169</v>
      </c>
      <c r="P898" s="76" t="s">
        <v>2558</v>
      </c>
      <c r="Q898" s="79">
        <v>39062100</v>
      </c>
      <c r="R898" s="63">
        <v>1</v>
      </c>
      <c r="S898" s="80">
        <f t="shared" si="95"/>
        <v>39062100</v>
      </c>
      <c r="T898" s="63" t="s">
        <v>1171</v>
      </c>
      <c r="U898" s="63" t="s">
        <v>1171</v>
      </c>
      <c r="V898" s="81" t="s">
        <v>431</v>
      </c>
      <c r="W898" s="82" t="s">
        <v>439</v>
      </c>
      <c r="X898" s="90" t="s">
        <v>2559</v>
      </c>
      <c r="Y898" s="81">
        <v>43292</v>
      </c>
      <c r="Z898" s="83">
        <v>39062100</v>
      </c>
      <c r="AA898" s="84" t="s">
        <v>2560</v>
      </c>
      <c r="AB898" s="85">
        <v>969</v>
      </c>
      <c r="AC898" s="81">
        <v>43293</v>
      </c>
      <c r="AD898" s="86">
        <v>39062100</v>
      </c>
      <c r="AE898" s="87">
        <f t="shared" si="96"/>
        <v>0</v>
      </c>
      <c r="AF898" s="85">
        <v>2704</v>
      </c>
      <c r="AG898" s="81">
        <v>43334</v>
      </c>
      <c r="AH898" s="86">
        <v>39062100</v>
      </c>
      <c r="AI898" s="63" t="s">
        <v>2561</v>
      </c>
      <c r="AJ898" s="63">
        <v>3149</v>
      </c>
      <c r="AK898" s="87">
        <f t="shared" si="91"/>
        <v>0</v>
      </c>
      <c r="AL898" s="86">
        <v>0</v>
      </c>
      <c r="AM898" s="86">
        <f t="shared" si="92"/>
        <v>39062100</v>
      </c>
      <c r="AN898" s="63" t="s">
        <v>1155</v>
      </c>
      <c r="AO898" s="86">
        <f t="shared" si="93"/>
        <v>0</v>
      </c>
      <c r="AP898" s="63"/>
      <c r="AQ898" s="81">
        <v>43291</v>
      </c>
      <c r="AR898" s="63" t="s">
        <v>2109</v>
      </c>
      <c r="AS898" s="81">
        <v>43292</v>
      </c>
      <c r="AT898" s="63" t="s">
        <v>2558</v>
      </c>
      <c r="AU898" s="220"/>
      <c r="AV898" s="220"/>
      <c r="AW898" s="220"/>
    </row>
    <row r="899" spans="1:49" s="221" customFormat="1" ht="213.75" x14ac:dyDescent="0.25">
      <c r="A899" s="63">
        <v>485</v>
      </c>
      <c r="B899" s="63" t="str">
        <f t="shared" si="90"/>
        <v>3075-485</v>
      </c>
      <c r="C899" s="76" t="s">
        <v>1141</v>
      </c>
      <c r="D899" s="76" t="s">
        <v>1142</v>
      </c>
      <c r="E899" s="76" t="s">
        <v>1174</v>
      </c>
      <c r="F899" s="76" t="s">
        <v>1175</v>
      </c>
      <c r="G899" s="77" t="s">
        <v>1176</v>
      </c>
      <c r="H899" s="78" t="s">
        <v>1177</v>
      </c>
      <c r="I899" s="76" t="s">
        <v>1191</v>
      </c>
      <c r="J899" s="76" t="s">
        <v>1192</v>
      </c>
      <c r="K899" s="76" t="s">
        <v>439</v>
      </c>
      <c r="L899" s="63" t="s">
        <v>1149</v>
      </c>
      <c r="M899" s="63" t="s">
        <v>58</v>
      </c>
      <c r="N899" s="63" t="s">
        <v>59</v>
      </c>
      <c r="O899" s="76" t="s">
        <v>1169</v>
      </c>
      <c r="P899" s="76" t="s">
        <v>2562</v>
      </c>
      <c r="Q899" s="79">
        <v>9077100</v>
      </c>
      <c r="R899" s="63">
        <v>1</v>
      </c>
      <c r="S899" s="80">
        <f t="shared" si="95"/>
        <v>9077100</v>
      </c>
      <c r="T899" s="63"/>
      <c r="U899" s="63" t="s">
        <v>1171</v>
      </c>
      <c r="V899" s="81" t="s">
        <v>875</v>
      </c>
      <c r="W899" s="82" t="s">
        <v>439</v>
      </c>
      <c r="X899" s="90" t="s">
        <v>2563</v>
      </c>
      <c r="Y899" s="81">
        <v>43292</v>
      </c>
      <c r="Z899" s="83">
        <v>9077100</v>
      </c>
      <c r="AA899" s="84" t="s">
        <v>2560</v>
      </c>
      <c r="AB899" s="85">
        <v>970</v>
      </c>
      <c r="AC899" s="81">
        <v>43293</v>
      </c>
      <c r="AD899" s="86">
        <v>9077100</v>
      </c>
      <c r="AE899" s="87">
        <f t="shared" si="96"/>
        <v>0</v>
      </c>
      <c r="AF899" s="85"/>
      <c r="AG899" s="81"/>
      <c r="AH899" s="86"/>
      <c r="AI899" s="63"/>
      <c r="AJ899" s="63"/>
      <c r="AK899" s="87">
        <f t="shared" si="91"/>
        <v>9077100</v>
      </c>
      <c r="AL899" s="86"/>
      <c r="AM899" s="86">
        <f t="shared" si="92"/>
        <v>0</v>
      </c>
      <c r="AN899" s="63" t="s">
        <v>1155</v>
      </c>
      <c r="AO899" s="86">
        <f t="shared" si="93"/>
        <v>9077100</v>
      </c>
      <c r="AP899" s="63"/>
      <c r="AQ899" s="81">
        <v>43291</v>
      </c>
      <c r="AR899" s="63" t="s">
        <v>2109</v>
      </c>
      <c r="AS899" s="81">
        <v>43292</v>
      </c>
      <c r="AT899" s="63" t="s">
        <v>2562</v>
      </c>
      <c r="AU899" s="220"/>
      <c r="AV899" s="220"/>
      <c r="AW899" s="220"/>
    </row>
    <row r="900" spans="1:49" s="221" customFormat="1" ht="242.25" x14ac:dyDescent="0.25">
      <c r="A900" s="63">
        <v>486</v>
      </c>
      <c r="B900" s="63" t="str">
        <f t="shared" si="90"/>
        <v>3075-486</v>
      </c>
      <c r="C900" s="76" t="s">
        <v>1141</v>
      </c>
      <c r="D900" s="76" t="s">
        <v>1142</v>
      </c>
      <c r="E900" s="76" t="s">
        <v>1174</v>
      </c>
      <c r="F900" s="76" t="s">
        <v>1175</v>
      </c>
      <c r="G900" s="77" t="s">
        <v>1176</v>
      </c>
      <c r="H900" s="78" t="s">
        <v>1177</v>
      </c>
      <c r="I900" s="76" t="s">
        <v>1191</v>
      </c>
      <c r="J900" s="76" t="s">
        <v>1192</v>
      </c>
      <c r="K900" s="76" t="s">
        <v>439</v>
      </c>
      <c r="L900" s="63" t="s">
        <v>1149</v>
      </c>
      <c r="M900" s="63" t="s">
        <v>58</v>
      </c>
      <c r="N900" s="63" t="s">
        <v>59</v>
      </c>
      <c r="O900" s="76" t="s">
        <v>1169</v>
      </c>
      <c r="P900" s="76" t="s">
        <v>2564</v>
      </c>
      <c r="Q900" s="79">
        <v>13239000</v>
      </c>
      <c r="R900" s="63">
        <v>1</v>
      </c>
      <c r="S900" s="80">
        <f t="shared" si="95"/>
        <v>13239000</v>
      </c>
      <c r="T900" s="63"/>
      <c r="U900" s="63" t="s">
        <v>1171</v>
      </c>
      <c r="V900" s="81" t="s">
        <v>875</v>
      </c>
      <c r="W900" s="82" t="s">
        <v>439</v>
      </c>
      <c r="X900" s="90" t="s">
        <v>2565</v>
      </c>
      <c r="Y900" s="81">
        <v>43292</v>
      </c>
      <c r="Z900" s="83">
        <v>13239000</v>
      </c>
      <c r="AA900" s="84" t="s">
        <v>2560</v>
      </c>
      <c r="AB900" s="85">
        <v>973</v>
      </c>
      <c r="AC900" s="81">
        <v>43294</v>
      </c>
      <c r="AD900" s="86">
        <v>13239000</v>
      </c>
      <c r="AE900" s="87">
        <f t="shared" si="96"/>
        <v>0</v>
      </c>
      <c r="AF900" s="85"/>
      <c r="AG900" s="81"/>
      <c r="AH900" s="86"/>
      <c r="AI900" s="63"/>
      <c r="AJ900" s="63"/>
      <c r="AK900" s="87">
        <f t="shared" si="91"/>
        <v>13239000</v>
      </c>
      <c r="AL900" s="86"/>
      <c r="AM900" s="86">
        <f t="shared" si="92"/>
        <v>0</v>
      </c>
      <c r="AN900" s="63" t="s">
        <v>1155</v>
      </c>
      <c r="AO900" s="86">
        <f t="shared" si="93"/>
        <v>13239000</v>
      </c>
      <c r="AP900" s="63"/>
      <c r="AQ900" s="81">
        <v>43291</v>
      </c>
      <c r="AR900" s="63" t="s">
        <v>2109</v>
      </c>
      <c r="AS900" s="81">
        <v>43292</v>
      </c>
      <c r="AT900" s="76" t="s">
        <v>2564</v>
      </c>
      <c r="AU900" s="220"/>
      <c r="AV900" s="220"/>
      <c r="AW900" s="220"/>
    </row>
    <row r="901" spans="1:49" s="221" customFormat="1" ht="409.5" x14ac:dyDescent="0.25">
      <c r="A901" s="63">
        <v>487</v>
      </c>
      <c r="B901" s="63" t="str">
        <f t="shared" si="90"/>
        <v>3075-487</v>
      </c>
      <c r="C901" s="76" t="s">
        <v>1141</v>
      </c>
      <c r="D901" s="76" t="s">
        <v>1142</v>
      </c>
      <c r="E901" s="76" t="s">
        <v>1143</v>
      </c>
      <c r="F901" s="76" t="s">
        <v>1158</v>
      </c>
      <c r="G901" s="77" t="s">
        <v>1159</v>
      </c>
      <c r="H901" s="78" t="s">
        <v>1160</v>
      </c>
      <c r="I901" s="76" t="s">
        <v>1147</v>
      </c>
      <c r="J901" s="76" t="s">
        <v>1148</v>
      </c>
      <c r="K901" s="76">
        <v>801116</v>
      </c>
      <c r="L901" s="63" t="s">
        <v>1149</v>
      </c>
      <c r="M901" s="63" t="s">
        <v>58</v>
      </c>
      <c r="N901" s="63" t="s">
        <v>59</v>
      </c>
      <c r="O901" s="76" t="s">
        <v>1213</v>
      </c>
      <c r="P901" s="76" t="s">
        <v>2566</v>
      </c>
      <c r="Q901" s="83">
        <v>17767500</v>
      </c>
      <c r="R901" s="63">
        <v>1</v>
      </c>
      <c r="S901" s="80">
        <f t="shared" si="95"/>
        <v>17767500</v>
      </c>
      <c r="T901" s="63" t="s">
        <v>888</v>
      </c>
      <c r="U901" s="63" t="s">
        <v>1163</v>
      </c>
      <c r="V901" s="81" t="s">
        <v>431</v>
      </c>
      <c r="W901" s="82">
        <v>5</v>
      </c>
      <c r="X901" s="90" t="s">
        <v>2567</v>
      </c>
      <c r="Y901" s="81">
        <v>43298</v>
      </c>
      <c r="Z901" s="83">
        <v>17767500</v>
      </c>
      <c r="AA901" s="84" t="s">
        <v>2568</v>
      </c>
      <c r="AB901" s="85">
        <v>1002</v>
      </c>
      <c r="AC901" s="81">
        <v>43305</v>
      </c>
      <c r="AD901" s="86">
        <v>17767500</v>
      </c>
      <c r="AE901" s="87">
        <f t="shared" si="96"/>
        <v>0</v>
      </c>
      <c r="AF901" s="85">
        <v>2553</v>
      </c>
      <c r="AG901" s="81">
        <v>43313</v>
      </c>
      <c r="AH901" s="86">
        <v>17767500</v>
      </c>
      <c r="AI901" s="63" t="s">
        <v>2569</v>
      </c>
      <c r="AJ901" s="63">
        <v>472</v>
      </c>
      <c r="AK901" s="87">
        <f t="shared" si="91"/>
        <v>0</v>
      </c>
      <c r="AL901" s="86">
        <v>3553500</v>
      </c>
      <c r="AM901" s="86">
        <f t="shared" si="92"/>
        <v>14214000</v>
      </c>
      <c r="AN901" s="63" t="s">
        <v>1155</v>
      </c>
      <c r="AO901" s="86">
        <f t="shared" si="93"/>
        <v>0</v>
      </c>
      <c r="AP901" s="63"/>
      <c r="AQ901" s="81">
        <v>43298</v>
      </c>
      <c r="AR901" s="63" t="s">
        <v>2109</v>
      </c>
      <c r="AS901" s="81">
        <v>43298</v>
      </c>
      <c r="AT901" s="63" t="s">
        <v>2566</v>
      </c>
      <c r="AU901" s="220"/>
      <c r="AV901" s="220"/>
      <c r="AW901" s="220"/>
    </row>
    <row r="902" spans="1:49" s="221" customFormat="1" ht="370.5" x14ac:dyDescent="0.25">
      <c r="A902" s="63">
        <v>488</v>
      </c>
      <c r="B902" s="63" t="str">
        <f t="shared" si="90"/>
        <v>3075-488</v>
      </c>
      <c r="C902" s="76" t="s">
        <v>1141</v>
      </c>
      <c r="D902" s="76" t="s">
        <v>1142</v>
      </c>
      <c r="E902" s="76" t="s">
        <v>1174</v>
      </c>
      <c r="F902" s="76" t="s">
        <v>1175</v>
      </c>
      <c r="G902" s="77" t="s">
        <v>1176</v>
      </c>
      <c r="H902" s="78" t="s">
        <v>1177</v>
      </c>
      <c r="I902" s="76" t="s">
        <v>1147</v>
      </c>
      <c r="J902" s="76" t="s">
        <v>1148</v>
      </c>
      <c r="K902" s="76" t="s">
        <v>439</v>
      </c>
      <c r="L902" s="63" t="s">
        <v>1149</v>
      </c>
      <c r="M902" s="63" t="s">
        <v>58</v>
      </c>
      <c r="N902" s="63" t="s">
        <v>59</v>
      </c>
      <c r="O902" s="76" t="s">
        <v>1169</v>
      </c>
      <c r="P902" s="76" t="s">
        <v>2570</v>
      </c>
      <c r="Q902" s="79">
        <v>39062100</v>
      </c>
      <c r="R902" s="63">
        <v>1</v>
      </c>
      <c r="S902" s="80">
        <f t="shared" si="95"/>
        <v>39062100</v>
      </c>
      <c r="T902" s="63" t="s">
        <v>1171</v>
      </c>
      <c r="U902" s="63" t="s">
        <v>1171</v>
      </c>
      <c r="V902" s="81" t="s">
        <v>431</v>
      </c>
      <c r="W902" s="82" t="s">
        <v>439</v>
      </c>
      <c r="X902" s="90" t="s">
        <v>2571</v>
      </c>
      <c r="Y902" s="81">
        <v>43304</v>
      </c>
      <c r="Z902" s="83">
        <v>39062100</v>
      </c>
      <c r="AA902" s="84" t="s">
        <v>2572</v>
      </c>
      <c r="AB902" s="85">
        <v>1001</v>
      </c>
      <c r="AC902" s="81">
        <v>43305</v>
      </c>
      <c r="AD902" s="86">
        <v>39062100</v>
      </c>
      <c r="AE902" s="87">
        <f t="shared" si="96"/>
        <v>0</v>
      </c>
      <c r="AF902" s="85">
        <v>2738</v>
      </c>
      <c r="AG902" s="81">
        <v>43336</v>
      </c>
      <c r="AH902" s="86">
        <v>39062100</v>
      </c>
      <c r="AI902" s="63" t="s">
        <v>2573</v>
      </c>
      <c r="AJ902" s="63">
        <v>3172</v>
      </c>
      <c r="AK902" s="87">
        <f t="shared" si="91"/>
        <v>0</v>
      </c>
      <c r="AL902" s="86">
        <v>0</v>
      </c>
      <c r="AM902" s="86">
        <f t="shared" si="92"/>
        <v>39062100</v>
      </c>
      <c r="AN902" s="63" t="s">
        <v>1155</v>
      </c>
      <c r="AO902" s="86">
        <f t="shared" si="93"/>
        <v>0</v>
      </c>
      <c r="AP902" s="63"/>
      <c r="AQ902" s="81">
        <v>43304</v>
      </c>
      <c r="AR902" s="63" t="s">
        <v>2109</v>
      </c>
      <c r="AS902" s="81">
        <v>43304</v>
      </c>
      <c r="AT902" s="63" t="s">
        <v>2570</v>
      </c>
      <c r="AU902" s="220"/>
      <c r="AV902" s="220"/>
      <c r="AW902" s="220"/>
    </row>
    <row r="903" spans="1:49" s="221" customFormat="1" ht="299.25" x14ac:dyDescent="0.25">
      <c r="A903" s="63">
        <v>489</v>
      </c>
      <c r="B903" s="63" t="str">
        <f t="shared" si="90"/>
        <v>3075-489</v>
      </c>
      <c r="C903" s="76" t="s">
        <v>1141</v>
      </c>
      <c r="D903" s="76" t="s">
        <v>1142</v>
      </c>
      <c r="E903" s="76" t="s">
        <v>1143</v>
      </c>
      <c r="F903" s="76" t="s">
        <v>1158</v>
      </c>
      <c r="G903" s="77" t="s">
        <v>1159</v>
      </c>
      <c r="H903" s="78" t="s">
        <v>1160</v>
      </c>
      <c r="I903" s="76" t="s">
        <v>1147</v>
      </c>
      <c r="J903" s="76" t="s">
        <v>1148</v>
      </c>
      <c r="K903" s="76">
        <v>93141506</v>
      </c>
      <c r="L903" s="63" t="s">
        <v>1149</v>
      </c>
      <c r="M903" s="63" t="s">
        <v>58</v>
      </c>
      <c r="N903" s="63" t="s">
        <v>59</v>
      </c>
      <c r="O903" s="76" t="s">
        <v>1213</v>
      </c>
      <c r="P903" s="76" t="s">
        <v>2574</v>
      </c>
      <c r="Q903" s="83">
        <v>4120000</v>
      </c>
      <c r="R903" s="63">
        <v>1</v>
      </c>
      <c r="S903" s="80">
        <f>Q903*R903*W903-1486218-573782</f>
        <v>18540000</v>
      </c>
      <c r="T903" s="63" t="s">
        <v>888</v>
      </c>
      <c r="U903" s="63" t="s">
        <v>1163</v>
      </c>
      <c r="V903" s="81" t="s">
        <v>431</v>
      </c>
      <c r="W903" s="82">
        <v>5</v>
      </c>
      <c r="X903" s="90" t="s">
        <v>2575</v>
      </c>
      <c r="Y903" s="81">
        <v>43311</v>
      </c>
      <c r="Z903" s="83">
        <f>20600000-2060000</f>
        <v>18540000</v>
      </c>
      <c r="AA903" s="84" t="s">
        <v>2538</v>
      </c>
      <c r="AB903" s="85">
        <v>1025</v>
      </c>
      <c r="AC903" s="81">
        <v>43314</v>
      </c>
      <c r="AD903" s="86">
        <v>18540000</v>
      </c>
      <c r="AE903" s="87"/>
      <c r="AF903" s="85">
        <v>2677</v>
      </c>
      <c r="AG903" s="81">
        <v>43329</v>
      </c>
      <c r="AH903" s="86">
        <v>18540000</v>
      </c>
      <c r="AI903" s="63" t="s">
        <v>2576</v>
      </c>
      <c r="AJ903" s="63">
        <v>505</v>
      </c>
      <c r="AK903" s="87">
        <f t="shared" si="91"/>
        <v>0</v>
      </c>
      <c r="AL903" s="86">
        <v>1373333</v>
      </c>
      <c r="AM903" s="86">
        <f t="shared" si="92"/>
        <v>17166667</v>
      </c>
      <c r="AN903" s="63" t="s">
        <v>1155</v>
      </c>
      <c r="AO903" s="86">
        <f t="shared" si="93"/>
        <v>0</v>
      </c>
      <c r="AP903" s="63"/>
      <c r="AQ903" s="81">
        <v>43311</v>
      </c>
      <c r="AR903" s="63" t="s">
        <v>2109</v>
      </c>
      <c r="AS903" s="81">
        <v>43311</v>
      </c>
      <c r="AT903" s="63" t="s">
        <v>1453</v>
      </c>
      <c r="AU903" s="220"/>
      <c r="AV903" s="220"/>
      <c r="AW903" s="220"/>
    </row>
    <row r="904" spans="1:49" s="221" customFormat="1" ht="370.5" x14ac:dyDescent="0.25">
      <c r="A904" s="63">
        <v>490</v>
      </c>
      <c r="B904" s="63" t="str">
        <f t="shared" si="90"/>
        <v>3075-490</v>
      </c>
      <c r="C904" s="76" t="s">
        <v>1141</v>
      </c>
      <c r="D904" s="76" t="s">
        <v>1142</v>
      </c>
      <c r="E904" s="76" t="s">
        <v>1143</v>
      </c>
      <c r="F904" s="76" t="s">
        <v>1203</v>
      </c>
      <c r="G904" s="88" t="s">
        <v>1204</v>
      </c>
      <c r="H904" s="92" t="s">
        <v>1205</v>
      </c>
      <c r="I904" s="76" t="s">
        <v>1147</v>
      </c>
      <c r="J904" s="76" t="s">
        <v>1148</v>
      </c>
      <c r="K904" s="93" t="s">
        <v>439</v>
      </c>
      <c r="L904" s="63" t="s">
        <v>1149</v>
      </c>
      <c r="M904" s="63" t="s">
        <v>58</v>
      </c>
      <c r="N904" s="63" t="s">
        <v>59</v>
      </c>
      <c r="O904" s="76" t="s">
        <v>1199</v>
      </c>
      <c r="P904" s="76" t="s">
        <v>2577</v>
      </c>
      <c r="Q904" s="83">
        <v>200000000</v>
      </c>
      <c r="R904" s="63">
        <v>1</v>
      </c>
      <c r="S904" s="80">
        <f t="shared" ref="S904:S924" si="97">Q904*R904*W904</f>
        <v>200000000</v>
      </c>
      <c r="T904" s="63"/>
      <c r="U904" s="63" t="s">
        <v>1163</v>
      </c>
      <c r="V904" s="81" t="s">
        <v>875</v>
      </c>
      <c r="W904" s="82">
        <v>1</v>
      </c>
      <c r="X904" s="63"/>
      <c r="Y904" s="89"/>
      <c r="Z904" s="83"/>
      <c r="AA904" s="84"/>
      <c r="AB904" s="85"/>
      <c r="AC904" s="81"/>
      <c r="AD904" s="86"/>
      <c r="AE904" s="87">
        <f t="shared" ref="AE904:AE967" si="98">S904-Z904</f>
        <v>200000000</v>
      </c>
      <c r="AF904" s="85"/>
      <c r="AG904" s="81"/>
      <c r="AH904" s="86"/>
      <c r="AI904" s="63"/>
      <c r="AJ904" s="63"/>
      <c r="AK904" s="87">
        <f t="shared" si="91"/>
        <v>0</v>
      </c>
      <c r="AL904" s="86"/>
      <c r="AM904" s="86">
        <f t="shared" si="92"/>
        <v>0</v>
      </c>
      <c r="AN904" s="63" t="s">
        <v>1155</v>
      </c>
      <c r="AO904" s="86">
        <f t="shared" si="93"/>
        <v>200000000</v>
      </c>
      <c r="AP904" s="63"/>
      <c r="AQ904" s="81">
        <v>43465</v>
      </c>
      <c r="AR904" s="63" t="s">
        <v>2109</v>
      </c>
      <c r="AS904" s="81">
        <v>43465</v>
      </c>
      <c r="AT904" s="63" t="s">
        <v>2577</v>
      </c>
      <c r="AU904" s="220"/>
      <c r="AV904" s="220"/>
      <c r="AW904" s="220"/>
    </row>
    <row r="905" spans="1:49" s="221" customFormat="1" ht="342" x14ac:dyDescent="0.25">
      <c r="A905" s="63">
        <v>491</v>
      </c>
      <c r="B905" s="63" t="str">
        <f t="shared" si="90"/>
        <v>3075-491</v>
      </c>
      <c r="C905" s="76" t="s">
        <v>1141</v>
      </c>
      <c r="D905" s="76" t="s">
        <v>1142</v>
      </c>
      <c r="E905" s="76" t="s">
        <v>1424</v>
      </c>
      <c r="F905" s="76" t="s">
        <v>1158</v>
      </c>
      <c r="G905" s="77" t="s">
        <v>1159</v>
      </c>
      <c r="H905" s="101" t="s">
        <v>1160</v>
      </c>
      <c r="I905" s="76" t="s">
        <v>1147</v>
      </c>
      <c r="J905" s="76" t="s">
        <v>1148</v>
      </c>
      <c r="K905" s="76">
        <v>81101500</v>
      </c>
      <c r="L905" s="63" t="s">
        <v>1149</v>
      </c>
      <c r="M905" s="63" t="s">
        <v>58</v>
      </c>
      <c r="N905" s="63" t="s">
        <v>59</v>
      </c>
      <c r="O905" s="76" t="s">
        <v>1213</v>
      </c>
      <c r="P905" s="63" t="s">
        <v>1241</v>
      </c>
      <c r="Q905" s="83">
        <v>5253000</v>
      </c>
      <c r="R905" s="98">
        <v>1</v>
      </c>
      <c r="S905" s="80">
        <f t="shared" si="97"/>
        <v>21012000</v>
      </c>
      <c r="T905" s="63"/>
      <c r="U905" s="63" t="s">
        <v>1163</v>
      </c>
      <c r="V905" s="81" t="s">
        <v>875</v>
      </c>
      <c r="W905" s="82">
        <v>4</v>
      </c>
      <c r="X905" s="63" t="s">
        <v>2578</v>
      </c>
      <c r="Y905" s="81">
        <v>43321</v>
      </c>
      <c r="Z905" s="83">
        <v>21012000</v>
      </c>
      <c r="AA905" s="84" t="s">
        <v>1692</v>
      </c>
      <c r="AB905" s="85">
        <v>1038</v>
      </c>
      <c r="AC905" s="81">
        <v>43322</v>
      </c>
      <c r="AD905" s="86">
        <v>21012000</v>
      </c>
      <c r="AE905" s="86">
        <f t="shared" si="98"/>
        <v>0</v>
      </c>
      <c r="AF905" s="85"/>
      <c r="AG905" s="81"/>
      <c r="AH905" s="86"/>
      <c r="AI905" s="63"/>
      <c r="AJ905" s="63"/>
      <c r="AK905" s="87">
        <f t="shared" si="91"/>
        <v>21012000</v>
      </c>
      <c r="AL905" s="86"/>
      <c r="AM905" s="86">
        <f t="shared" si="92"/>
        <v>0</v>
      </c>
      <c r="AN905" s="63" t="s">
        <v>1155</v>
      </c>
      <c r="AO905" s="86">
        <f t="shared" si="93"/>
        <v>21012000</v>
      </c>
      <c r="AP905" s="63"/>
      <c r="AQ905" s="81">
        <v>43320</v>
      </c>
      <c r="AR905" s="63" t="s">
        <v>2109</v>
      </c>
      <c r="AS905" s="81">
        <v>43321</v>
      </c>
      <c r="AT905" s="63" t="s">
        <v>1453</v>
      </c>
      <c r="AU905" s="220"/>
      <c r="AV905" s="220"/>
      <c r="AW905" s="220"/>
    </row>
    <row r="906" spans="1:49" s="221" customFormat="1" ht="342" x14ac:dyDescent="0.25">
      <c r="A906" s="63">
        <v>492</v>
      </c>
      <c r="B906" s="63" t="str">
        <f t="shared" si="90"/>
        <v>3075-492</v>
      </c>
      <c r="C906" s="76" t="s">
        <v>1141</v>
      </c>
      <c r="D906" s="76" t="s">
        <v>1142</v>
      </c>
      <c r="E906" s="76" t="s">
        <v>1424</v>
      </c>
      <c r="F906" s="76" t="s">
        <v>1158</v>
      </c>
      <c r="G906" s="77" t="s">
        <v>1159</v>
      </c>
      <c r="H906" s="101" t="s">
        <v>1160</v>
      </c>
      <c r="I906" s="76" t="s">
        <v>1147</v>
      </c>
      <c r="J906" s="76" t="s">
        <v>1148</v>
      </c>
      <c r="K906" s="76">
        <v>801116</v>
      </c>
      <c r="L906" s="63" t="s">
        <v>1149</v>
      </c>
      <c r="M906" s="63" t="s">
        <v>58</v>
      </c>
      <c r="N906" s="63" t="s">
        <v>59</v>
      </c>
      <c r="O906" s="76" t="s">
        <v>1213</v>
      </c>
      <c r="P906" s="63" t="s">
        <v>1219</v>
      </c>
      <c r="Q906" s="83">
        <v>1545000</v>
      </c>
      <c r="R906" s="63">
        <v>1</v>
      </c>
      <c r="S906" s="80">
        <f t="shared" si="97"/>
        <v>6180000</v>
      </c>
      <c r="T906" s="63" t="s">
        <v>928</v>
      </c>
      <c r="U906" s="63" t="s">
        <v>1163</v>
      </c>
      <c r="V906" s="81" t="s">
        <v>875</v>
      </c>
      <c r="W906" s="82">
        <v>4</v>
      </c>
      <c r="X906" s="63" t="s">
        <v>2579</v>
      </c>
      <c r="Y906" s="81">
        <v>43321</v>
      </c>
      <c r="Z906" s="83">
        <v>6180000</v>
      </c>
      <c r="AA906" s="84" t="s">
        <v>1676</v>
      </c>
      <c r="AB906" s="85">
        <v>1051</v>
      </c>
      <c r="AC906" s="81">
        <v>43322</v>
      </c>
      <c r="AD906" s="86">
        <v>6180000</v>
      </c>
      <c r="AE906" s="86">
        <f t="shared" si="98"/>
        <v>0</v>
      </c>
      <c r="AF906" s="85">
        <v>2782</v>
      </c>
      <c r="AG906" s="81">
        <v>43346</v>
      </c>
      <c r="AH906" s="86">
        <v>6180000</v>
      </c>
      <c r="AI906" s="63" t="s">
        <v>1474</v>
      </c>
      <c r="AJ906" s="63">
        <v>526</v>
      </c>
      <c r="AK906" s="87">
        <f t="shared" si="91"/>
        <v>0</v>
      </c>
      <c r="AL906" s="86">
        <v>0</v>
      </c>
      <c r="AM906" s="86">
        <f t="shared" si="92"/>
        <v>6180000</v>
      </c>
      <c r="AN906" s="63" t="s">
        <v>1155</v>
      </c>
      <c r="AO906" s="86">
        <f t="shared" si="93"/>
        <v>0</v>
      </c>
      <c r="AP906" s="63"/>
      <c r="AQ906" s="81">
        <v>43320</v>
      </c>
      <c r="AR906" s="63" t="s">
        <v>2109</v>
      </c>
      <c r="AS906" s="81">
        <v>43321</v>
      </c>
      <c r="AT906" s="63" t="s">
        <v>1453</v>
      </c>
      <c r="AU906" s="220"/>
      <c r="AV906" s="220"/>
      <c r="AW906" s="220"/>
    </row>
    <row r="907" spans="1:49" s="221" customFormat="1" ht="342" x14ac:dyDescent="0.25">
      <c r="A907" s="63">
        <v>493</v>
      </c>
      <c r="B907" s="63" t="str">
        <f t="shared" si="90"/>
        <v>3075-493</v>
      </c>
      <c r="C907" s="76" t="s">
        <v>1141</v>
      </c>
      <c r="D907" s="76" t="s">
        <v>1142</v>
      </c>
      <c r="E907" s="76" t="s">
        <v>1424</v>
      </c>
      <c r="F907" s="76" t="s">
        <v>1158</v>
      </c>
      <c r="G907" s="77" t="s">
        <v>1159</v>
      </c>
      <c r="H907" s="101" t="s">
        <v>1160</v>
      </c>
      <c r="I907" s="76" t="s">
        <v>1147</v>
      </c>
      <c r="J907" s="76" t="s">
        <v>1148</v>
      </c>
      <c r="K907" s="76">
        <v>80111600</v>
      </c>
      <c r="L907" s="63" t="s">
        <v>1149</v>
      </c>
      <c r="M907" s="63" t="s">
        <v>58</v>
      </c>
      <c r="N907" s="63" t="s">
        <v>59</v>
      </c>
      <c r="O907" s="76" t="s">
        <v>1213</v>
      </c>
      <c r="P907" s="63" t="s">
        <v>1496</v>
      </c>
      <c r="Q907" s="83">
        <v>3553500</v>
      </c>
      <c r="R907" s="98">
        <v>1</v>
      </c>
      <c r="S907" s="80">
        <f t="shared" si="97"/>
        <v>14214000</v>
      </c>
      <c r="T907" s="63" t="s">
        <v>888</v>
      </c>
      <c r="U907" s="63" t="s">
        <v>1163</v>
      </c>
      <c r="V907" s="81" t="s">
        <v>431</v>
      </c>
      <c r="W907" s="82">
        <v>4</v>
      </c>
      <c r="X907" s="63" t="s">
        <v>2580</v>
      </c>
      <c r="Y907" s="81">
        <v>43321</v>
      </c>
      <c r="Z907" s="83">
        <v>14214000</v>
      </c>
      <c r="AA907" s="84" t="s">
        <v>2581</v>
      </c>
      <c r="AB907" s="85">
        <v>1041</v>
      </c>
      <c r="AC907" s="81">
        <v>43322</v>
      </c>
      <c r="AD907" s="86">
        <v>14214000</v>
      </c>
      <c r="AE907" s="86">
        <f t="shared" si="98"/>
        <v>0</v>
      </c>
      <c r="AF907" s="85">
        <v>2745</v>
      </c>
      <c r="AG907" s="81">
        <v>43336</v>
      </c>
      <c r="AH907" s="86">
        <v>14214000</v>
      </c>
      <c r="AI907" s="63" t="s">
        <v>2108</v>
      </c>
      <c r="AJ907" s="63">
        <v>521</v>
      </c>
      <c r="AK907" s="87">
        <f t="shared" si="91"/>
        <v>0</v>
      </c>
      <c r="AL907" s="86">
        <v>473800</v>
      </c>
      <c r="AM907" s="86">
        <f t="shared" si="92"/>
        <v>13740200</v>
      </c>
      <c r="AN907" s="63" t="s">
        <v>1155</v>
      </c>
      <c r="AO907" s="86">
        <f t="shared" si="93"/>
        <v>0</v>
      </c>
      <c r="AP907" s="63"/>
      <c r="AQ907" s="81">
        <v>43320</v>
      </c>
      <c r="AR907" s="63" t="s">
        <v>2109</v>
      </c>
      <c r="AS907" s="81">
        <v>43321</v>
      </c>
      <c r="AT907" s="63" t="s">
        <v>1453</v>
      </c>
      <c r="AU907" s="220"/>
      <c r="AV907" s="220"/>
      <c r="AW907" s="220"/>
    </row>
    <row r="908" spans="1:49" s="221" customFormat="1" ht="342" x14ac:dyDescent="0.25">
      <c r="A908" s="63">
        <v>494</v>
      </c>
      <c r="B908" s="63" t="str">
        <f t="shared" si="90"/>
        <v>3075-494</v>
      </c>
      <c r="C908" s="76" t="s">
        <v>1141</v>
      </c>
      <c r="D908" s="76" t="s">
        <v>1142</v>
      </c>
      <c r="E908" s="76" t="s">
        <v>1424</v>
      </c>
      <c r="F908" s="76" t="s">
        <v>1158</v>
      </c>
      <c r="G908" s="77" t="s">
        <v>1159</v>
      </c>
      <c r="H908" s="101" t="s">
        <v>1160</v>
      </c>
      <c r="I908" s="76" t="s">
        <v>1147</v>
      </c>
      <c r="J908" s="76" t="s">
        <v>1148</v>
      </c>
      <c r="K908" s="76">
        <v>80111600</v>
      </c>
      <c r="L908" s="63" t="s">
        <v>1149</v>
      </c>
      <c r="M908" s="63" t="s">
        <v>58</v>
      </c>
      <c r="N908" s="63" t="s">
        <v>59</v>
      </c>
      <c r="O908" s="76" t="s">
        <v>1213</v>
      </c>
      <c r="P908" s="63" t="s">
        <v>1496</v>
      </c>
      <c r="Q908" s="83">
        <v>3553500</v>
      </c>
      <c r="R908" s="98">
        <v>1</v>
      </c>
      <c r="S908" s="80">
        <f t="shared" si="97"/>
        <v>14214000</v>
      </c>
      <c r="T908" s="63" t="s">
        <v>888</v>
      </c>
      <c r="U908" s="63" t="s">
        <v>1163</v>
      </c>
      <c r="V908" s="81" t="s">
        <v>431</v>
      </c>
      <c r="W908" s="82">
        <v>4</v>
      </c>
      <c r="X908" s="63" t="s">
        <v>2582</v>
      </c>
      <c r="Y908" s="81">
        <v>43321</v>
      </c>
      <c r="Z908" s="83">
        <v>14214000</v>
      </c>
      <c r="AA908" s="84" t="s">
        <v>2581</v>
      </c>
      <c r="AB908" s="85">
        <v>1047</v>
      </c>
      <c r="AC908" s="81">
        <v>43322</v>
      </c>
      <c r="AD908" s="86">
        <v>14214000</v>
      </c>
      <c r="AE908" s="86">
        <f t="shared" si="98"/>
        <v>0</v>
      </c>
      <c r="AF908" s="85">
        <v>2710</v>
      </c>
      <c r="AG908" s="81">
        <v>43334</v>
      </c>
      <c r="AH908" s="86">
        <v>14214000</v>
      </c>
      <c r="AI908" s="63" t="s">
        <v>1714</v>
      </c>
      <c r="AJ908" s="63">
        <v>511</v>
      </c>
      <c r="AK908" s="87">
        <f t="shared" si="91"/>
        <v>0</v>
      </c>
      <c r="AL908" s="86">
        <v>1066050</v>
      </c>
      <c r="AM908" s="86">
        <f t="shared" si="92"/>
        <v>13147950</v>
      </c>
      <c r="AN908" s="63" t="s">
        <v>1155</v>
      </c>
      <c r="AO908" s="86">
        <f t="shared" si="93"/>
        <v>0</v>
      </c>
      <c r="AP908" s="63"/>
      <c r="AQ908" s="81">
        <v>43320</v>
      </c>
      <c r="AR908" s="63" t="s">
        <v>2109</v>
      </c>
      <c r="AS908" s="81">
        <v>43321</v>
      </c>
      <c r="AT908" s="63" t="s">
        <v>1453</v>
      </c>
      <c r="AU908" s="220"/>
      <c r="AV908" s="220"/>
      <c r="AW908" s="220"/>
    </row>
    <row r="909" spans="1:49" s="221" customFormat="1" ht="342" x14ac:dyDescent="0.25">
      <c r="A909" s="63">
        <v>495</v>
      </c>
      <c r="B909" s="63" t="str">
        <f t="shared" si="90"/>
        <v>3075-495</v>
      </c>
      <c r="C909" s="76" t="s">
        <v>1141</v>
      </c>
      <c r="D909" s="76" t="s">
        <v>1142</v>
      </c>
      <c r="E909" s="76" t="s">
        <v>1424</v>
      </c>
      <c r="F909" s="76" t="s">
        <v>1158</v>
      </c>
      <c r="G909" s="77" t="s">
        <v>1159</v>
      </c>
      <c r="H909" s="101" t="s">
        <v>1160</v>
      </c>
      <c r="I909" s="76" t="s">
        <v>1147</v>
      </c>
      <c r="J909" s="76" t="s">
        <v>1148</v>
      </c>
      <c r="K909" s="76">
        <v>93151501</v>
      </c>
      <c r="L909" s="63" t="s">
        <v>1149</v>
      </c>
      <c r="M909" s="63" t="s">
        <v>58</v>
      </c>
      <c r="N909" s="63" t="s">
        <v>59</v>
      </c>
      <c r="O909" s="76" t="s">
        <v>1213</v>
      </c>
      <c r="P909" s="63" t="s">
        <v>2583</v>
      </c>
      <c r="Q909" s="83">
        <v>5253000</v>
      </c>
      <c r="R909" s="98">
        <v>1</v>
      </c>
      <c r="S909" s="80">
        <f t="shared" si="97"/>
        <v>21012000</v>
      </c>
      <c r="T909" s="63" t="s">
        <v>888</v>
      </c>
      <c r="U909" s="63" t="s">
        <v>1163</v>
      </c>
      <c r="V909" s="81" t="s">
        <v>431</v>
      </c>
      <c r="W909" s="82">
        <v>4</v>
      </c>
      <c r="X909" s="63" t="s">
        <v>2584</v>
      </c>
      <c r="Y909" s="81">
        <v>43321</v>
      </c>
      <c r="Z909" s="83">
        <v>21012000</v>
      </c>
      <c r="AA909" s="84" t="s">
        <v>1716</v>
      </c>
      <c r="AB909" s="85">
        <v>1037</v>
      </c>
      <c r="AC909" s="81">
        <v>43322</v>
      </c>
      <c r="AD909" s="86">
        <v>21012000</v>
      </c>
      <c r="AE909" s="86">
        <f t="shared" si="98"/>
        <v>0</v>
      </c>
      <c r="AF909" s="85">
        <v>2726</v>
      </c>
      <c r="AG909" s="81">
        <v>43335</v>
      </c>
      <c r="AH909" s="86">
        <v>21012000</v>
      </c>
      <c r="AI909" s="63" t="s">
        <v>2585</v>
      </c>
      <c r="AJ909" s="63">
        <v>523</v>
      </c>
      <c r="AK909" s="87">
        <f t="shared" si="91"/>
        <v>0</v>
      </c>
      <c r="AL909" s="86">
        <v>700400</v>
      </c>
      <c r="AM909" s="86">
        <f t="shared" si="92"/>
        <v>20311600</v>
      </c>
      <c r="AN909" s="63" t="s">
        <v>1155</v>
      </c>
      <c r="AO909" s="86">
        <f t="shared" si="93"/>
        <v>0</v>
      </c>
      <c r="AP909" s="63"/>
      <c r="AQ909" s="81">
        <v>43320</v>
      </c>
      <c r="AR909" s="63" t="s">
        <v>2109</v>
      </c>
      <c r="AS909" s="81">
        <v>43321</v>
      </c>
      <c r="AT909" s="63" t="s">
        <v>1453</v>
      </c>
      <c r="AU909" s="220"/>
      <c r="AV909" s="220"/>
      <c r="AW909" s="220"/>
    </row>
    <row r="910" spans="1:49" s="221" customFormat="1" ht="342" x14ac:dyDescent="0.25">
      <c r="A910" s="63">
        <v>496</v>
      </c>
      <c r="B910" s="63" t="str">
        <f t="shared" si="90"/>
        <v>3075-496</v>
      </c>
      <c r="C910" s="76" t="s">
        <v>1141</v>
      </c>
      <c r="D910" s="76" t="s">
        <v>1142</v>
      </c>
      <c r="E910" s="76" t="s">
        <v>1424</v>
      </c>
      <c r="F910" s="76" t="s">
        <v>1158</v>
      </c>
      <c r="G910" s="77" t="s">
        <v>1159</v>
      </c>
      <c r="H910" s="101" t="s">
        <v>1160</v>
      </c>
      <c r="I910" s="76" t="s">
        <v>1147</v>
      </c>
      <c r="J910" s="76" t="s">
        <v>1148</v>
      </c>
      <c r="K910" s="76">
        <v>93141506</v>
      </c>
      <c r="L910" s="63" t="s">
        <v>1149</v>
      </c>
      <c r="M910" s="63" t="s">
        <v>58</v>
      </c>
      <c r="N910" s="63" t="s">
        <v>59</v>
      </c>
      <c r="O910" s="76" t="s">
        <v>1213</v>
      </c>
      <c r="P910" s="63" t="s">
        <v>1287</v>
      </c>
      <c r="Q910" s="83">
        <v>5253000</v>
      </c>
      <c r="R910" s="98">
        <v>1</v>
      </c>
      <c r="S910" s="80">
        <f t="shared" si="97"/>
        <v>21012000</v>
      </c>
      <c r="T910" s="63" t="s">
        <v>888</v>
      </c>
      <c r="U910" s="63" t="s">
        <v>1163</v>
      </c>
      <c r="V910" s="81" t="s">
        <v>431</v>
      </c>
      <c r="W910" s="82">
        <v>4</v>
      </c>
      <c r="X910" s="63" t="s">
        <v>2586</v>
      </c>
      <c r="Y910" s="81">
        <v>43321</v>
      </c>
      <c r="Z910" s="83">
        <v>21012000</v>
      </c>
      <c r="AA910" s="84" t="s">
        <v>1716</v>
      </c>
      <c r="AB910" s="85">
        <v>1040</v>
      </c>
      <c r="AC910" s="81">
        <v>43322</v>
      </c>
      <c r="AD910" s="86">
        <v>21012000</v>
      </c>
      <c r="AE910" s="86">
        <f t="shared" si="98"/>
        <v>0</v>
      </c>
      <c r="AF910" s="85">
        <v>2746</v>
      </c>
      <c r="AG910" s="81">
        <v>43336</v>
      </c>
      <c r="AH910" s="86">
        <v>21012000</v>
      </c>
      <c r="AI910" s="63" t="s">
        <v>2587</v>
      </c>
      <c r="AJ910" s="63">
        <v>525</v>
      </c>
      <c r="AK910" s="87">
        <f t="shared" si="91"/>
        <v>0</v>
      </c>
      <c r="AL910" s="86">
        <v>700400</v>
      </c>
      <c r="AM910" s="86">
        <f t="shared" si="92"/>
        <v>20311600</v>
      </c>
      <c r="AN910" s="63" t="s">
        <v>1155</v>
      </c>
      <c r="AO910" s="86">
        <f t="shared" si="93"/>
        <v>0</v>
      </c>
      <c r="AP910" s="63"/>
      <c r="AQ910" s="81">
        <v>43320</v>
      </c>
      <c r="AR910" s="63" t="s">
        <v>2109</v>
      </c>
      <c r="AS910" s="81">
        <v>43321</v>
      </c>
      <c r="AT910" s="63" t="s">
        <v>1453</v>
      </c>
      <c r="AU910" s="220"/>
      <c r="AV910" s="220"/>
      <c r="AW910" s="220"/>
    </row>
    <row r="911" spans="1:49" s="221" customFormat="1" ht="342" x14ac:dyDescent="0.25">
      <c r="A911" s="63">
        <v>497</v>
      </c>
      <c r="B911" s="63" t="str">
        <f t="shared" si="90"/>
        <v>3075-497</v>
      </c>
      <c r="C911" s="76" t="s">
        <v>1141</v>
      </c>
      <c r="D911" s="76" t="s">
        <v>1142</v>
      </c>
      <c r="E911" s="76" t="s">
        <v>1424</v>
      </c>
      <c r="F911" s="76" t="s">
        <v>1158</v>
      </c>
      <c r="G911" s="77" t="s">
        <v>1159</v>
      </c>
      <c r="H911" s="101" t="s">
        <v>1160</v>
      </c>
      <c r="I911" s="76" t="s">
        <v>1147</v>
      </c>
      <c r="J911" s="76" t="s">
        <v>1148</v>
      </c>
      <c r="K911" s="76">
        <v>801116</v>
      </c>
      <c r="L911" s="63" t="s">
        <v>1149</v>
      </c>
      <c r="M911" s="63" t="s">
        <v>58</v>
      </c>
      <c r="N911" s="63" t="s">
        <v>59</v>
      </c>
      <c r="O911" s="76" t="s">
        <v>1213</v>
      </c>
      <c r="P911" s="63" t="s">
        <v>1219</v>
      </c>
      <c r="Q911" s="83">
        <v>1751000</v>
      </c>
      <c r="R911" s="98">
        <v>1</v>
      </c>
      <c r="S911" s="80">
        <f t="shared" si="97"/>
        <v>7004000</v>
      </c>
      <c r="T911" s="63" t="s">
        <v>928</v>
      </c>
      <c r="U911" s="63" t="s">
        <v>1163</v>
      </c>
      <c r="V911" s="81" t="s">
        <v>431</v>
      </c>
      <c r="W911" s="82">
        <v>4</v>
      </c>
      <c r="X911" s="63" t="s">
        <v>2588</v>
      </c>
      <c r="Y911" s="81">
        <v>43321</v>
      </c>
      <c r="Z911" s="83">
        <v>7004000</v>
      </c>
      <c r="AA911" s="84" t="s">
        <v>2589</v>
      </c>
      <c r="AB911" s="85">
        <v>1046</v>
      </c>
      <c r="AC911" s="81">
        <v>43322</v>
      </c>
      <c r="AD911" s="86">
        <v>7004000</v>
      </c>
      <c r="AE911" s="86">
        <f t="shared" si="98"/>
        <v>0</v>
      </c>
      <c r="AF911" s="85">
        <v>2715</v>
      </c>
      <c r="AG911" s="81">
        <v>43334</v>
      </c>
      <c r="AH911" s="86">
        <v>7004000</v>
      </c>
      <c r="AI911" s="63" t="s">
        <v>1721</v>
      </c>
      <c r="AJ911" s="63">
        <v>509</v>
      </c>
      <c r="AK911" s="87">
        <f t="shared" si="91"/>
        <v>0</v>
      </c>
      <c r="AL911" s="86">
        <v>525300</v>
      </c>
      <c r="AM911" s="86">
        <f t="shared" si="92"/>
        <v>6478700</v>
      </c>
      <c r="AN911" s="63" t="s">
        <v>1155</v>
      </c>
      <c r="AO911" s="86">
        <f t="shared" si="93"/>
        <v>0</v>
      </c>
      <c r="AP911" s="63"/>
      <c r="AQ911" s="81">
        <v>43320</v>
      </c>
      <c r="AR911" s="63" t="s">
        <v>2109</v>
      </c>
      <c r="AS911" s="81">
        <v>43321</v>
      </c>
      <c r="AT911" s="63" t="s">
        <v>1453</v>
      </c>
      <c r="AU911" s="220"/>
      <c r="AV911" s="220"/>
      <c r="AW911" s="220"/>
    </row>
    <row r="912" spans="1:49" s="221" customFormat="1" ht="342" x14ac:dyDescent="0.25">
      <c r="A912" s="63">
        <v>498</v>
      </c>
      <c r="B912" s="63" t="str">
        <f t="shared" si="90"/>
        <v>3075-498</v>
      </c>
      <c r="C912" s="76" t="s">
        <v>1141</v>
      </c>
      <c r="D912" s="76" t="s">
        <v>1142</v>
      </c>
      <c r="E912" s="76" t="s">
        <v>1424</v>
      </c>
      <c r="F912" s="76" t="s">
        <v>1158</v>
      </c>
      <c r="G912" s="77" t="s">
        <v>1159</v>
      </c>
      <c r="H912" s="101" t="s">
        <v>1160</v>
      </c>
      <c r="I912" s="76" t="s">
        <v>1147</v>
      </c>
      <c r="J912" s="76" t="s">
        <v>1148</v>
      </c>
      <c r="K912" s="76">
        <v>93151501</v>
      </c>
      <c r="L912" s="63" t="s">
        <v>1149</v>
      </c>
      <c r="M912" s="63" t="s">
        <v>58</v>
      </c>
      <c r="N912" s="63" t="s">
        <v>59</v>
      </c>
      <c r="O912" s="76" t="s">
        <v>1213</v>
      </c>
      <c r="P912" s="63" t="s">
        <v>2583</v>
      </c>
      <c r="Q912" s="83">
        <v>5665000</v>
      </c>
      <c r="R912" s="98">
        <v>1</v>
      </c>
      <c r="S912" s="80">
        <f t="shared" si="97"/>
        <v>22660000</v>
      </c>
      <c r="T912" s="63" t="s">
        <v>888</v>
      </c>
      <c r="U912" s="63" t="s">
        <v>1163</v>
      </c>
      <c r="V912" s="81" t="s">
        <v>875</v>
      </c>
      <c r="W912" s="82">
        <v>4</v>
      </c>
      <c r="X912" s="63" t="s">
        <v>2590</v>
      </c>
      <c r="Y912" s="81">
        <v>43321</v>
      </c>
      <c r="Z912" s="83">
        <v>22660000</v>
      </c>
      <c r="AA912" s="84" t="s">
        <v>2591</v>
      </c>
      <c r="AB912" s="85">
        <v>1053</v>
      </c>
      <c r="AC912" s="81">
        <v>43322</v>
      </c>
      <c r="AD912" s="86">
        <v>22660000</v>
      </c>
      <c r="AE912" s="86">
        <f t="shared" si="98"/>
        <v>0</v>
      </c>
      <c r="AF912" s="85">
        <v>2879</v>
      </c>
      <c r="AG912" s="81">
        <v>43360</v>
      </c>
      <c r="AH912" s="86">
        <v>22660000</v>
      </c>
      <c r="AI912" s="63" t="s">
        <v>1730</v>
      </c>
      <c r="AJ912" s="63">
        <v>519</v>
      </c>
      <c r="AK912" s="87">
        <f t="shared" si="91"/>
        <v>0</v>
      </c>
      <c r="AL912" s="86">
        <v>0</v>
      </c>
      <c r="AM912" s="86">
        <f t="shared" si="92"/>
        <v>22660000</v>
      </c>
      <c r="AN912" s="63" t="s">
        <v>1155</v>
      </c>
      <c r="AO912" s="86">
        <f t="shared" si="93"/>
        <v>0</v>
      </c>
      <c r="AP912" s="63"/>
      <c r="AQ912" s="81">
        <v>43320</v>
      </c>
      <c r="AR912" s="63" t="s">
        <v>2109</v>
      </c>
      <c r="AS912" s="81">
        <v>43321</v>
      </c>
      <c r="AT912" s="63" t="s">
        <v>1453</v>
      </c>
      <c r="AU912" s="220"/>
      <c r="AV912" s="220"/>
      <c r="AW912" s="220"/>
    </row>
    <row r="913" spans="1:49" s="221" customFormat="1" ht="342" x14ac:dyDescent="0.25">
      <c r="A913" s="63">
        <v>499</v>
      </c>
      <c r="B913" s="63" t="str">
        <f t="shared" si="90"/>
        <v>3075-499</v>
      </c>
      <c r="C913" s="76" t="s">
        <v>1141</v>
      </c>
      <c r="D913" s="76" t="s">
        <v>1142</v>
      </c>
      <c r="E913" s="76" t="s">
        <v>1424</v>
      </c>
      <c r="F913" s="76" t="s">
        <v>1158</v>
      </c>
      <c r="G913" s="77" t="s">
        <v>1159</v>
      </c>
      <c r="H913" s="101" t="s">
        <v>1160</v>
      </c>
      <c r="I913" s="76" t="s">
        <v>1147</v>
      </c>
      <c r="J913" s="76" t="s">
        <v>1148</v>
      </c>
      <c r="K913" s="76">
        <v>80111600</v>
      </c>
      <c r="L913" s="63" t="s">
        <v>1149</v>
      </c>
      <c r="M913" s="63" t="s">
        <v>58</v>
      </c>
      <c r="N913" s="63" t="s">
        <v>59</v>
      </c>
      <c r="O913" s="76" t="s">
        <v>1213</v>
      </c>
      <c r="P913" s="63" t="s">
        <v>1496</v>
      </c>
      <c r="Q913" s="83">
        <v>5253000</v>
      </c>
      <c r="R913" s="98">
        <v>1</v>
      </c>
      <c r="S913" s="80">
        <f t="shared" si="97"/>
        <v>21012000</v>
      </c>
      <c r="T913" s="63" t="s">
        <v>888</v>
      </c>
      <c r="U913" s="63" t="s">
        <v>1163</v>
      </c>
      <c r="V913" s="81" t="s">
        <v>431</v>
      </c>
      <c r="W913" s="82">
        <v>4</v>
      </c>
      <c r="X913" s="63" t="s">
        <v>2592</v>
      </c>
      <c r="Y913" s="81">
        <v>43321</v>
      </c>
      <c r="Z913" s="83">
        <v>21012000</v>
      </c>
      <c r="AA913" s="84" t="s">
        <v>2593</v>
      </c>
      <c r="AB913" s="85">
        <v>1054</v>
      </c>
      <c r="AC913" s="81">
        <v>43322</v>
      </c>
      <c r="AD913" s="86">
        <v>21012000</v>
      </c>
      <c r="AE913" s="86">
        <f t="shared" si="98"/>
        <v>0</v>
      </c>
      <c r="AF913" s="85">
        <v>2707</v>
      </c>
      <c r="AG913" s="81">
        <v>43334</v>
      </c>
      <c r="AH913" s="86">
        <v>21012000</v>
      </c>
      <c r="AI913" s="63" t="s">
        <v>2238</v>
      </c>
      <c r="AJ913" s="63">
        <v>515</v>
      </c>
      <c r="AK913" s="87">
        <f t="shared" si="91"/>
        <v>0</v>
      </c>
      <c r="AL913" s="86">
        <v>1575900</v>
      </c>
      <c r="AM913" s="86">
        <f t="shared" si="92"/>
        <v>19436100</v>
      </c>
      <c r="AN913" s="63" t="s">
        <v>1155</v>
      </c>
      <c r="AO913" s="86">
        <f t="shared" si="93"/>
        <v>0</v>
      </c>
      <c r="AP913" s="63"/>
      <c r="AQ913" s="81">
        <v>43320</v>
      </c>
      <c r="AR913" s="63" t="s">
        <v>2109</v>
      </c>
      <c r="AS913" s="81">
        <v>43321</v>
      </c>
      <c r="AT913" s="63" t="s">
        <v>1453</v>
      </c>
      <c r="AU913" s="220"/>
      <c r="AV913" s="220"/>
      <c r="AW913" s="220"/>
    </row>
    <row r="914" spans="1:49" s="221" customFormat="1" ht="299.25" x14ac:dyDescent="0.25">
      <c r="A914" s="63">
        <v>500</v>
      </c>
      <c r="B914" s="63" t="str">
        <f t="shared" si="90"/>
        <v>3075-500</v>
      </c>
      <c r="C914" s="76" t="s">
        <v>1141</v>
      </c>
      <c r="D914" s="76" t="s">
        <v>1142</v>
      </c>
      <c r="E914" s="76" t="s">
        <v>1143</v>
      </c>
      <c r="F914" s="76" t="s">
        <v>1158</v>
      </c>
      <c r="G914" s="77" t="s">
        <v>1159</v>
      </c>
      <c r="H914" s="78" t="s">
        <v>1160</v>
      </c>
      <c r="I914" s="76" t="s">
        <v>1147</v>
      </c>
      <c r="J914" s="76" t="s">
        <v>1148</v>
      </c>
      <c r="K914" s="76">
        <v>80111600</v>
      </c>
      <c r="L914" s="63" t="s">
        <v>1149</v>
      </c>
      <c r="M914" s="63" t="s">
        <v>58</v>
      </c>
      <c r="N914" s="63" t="s">
        <v>59</v>
      </c>
      <c r="O914" s="76" t="s">
        <v>1213</v>
      </c>
      <c r="P914" s="76" t="s">
        <v>2594</v>
      </c>
      <c r="Q914" s="83">
        <v>5253000</v>
      </c>
      <c r="R914" s="63">
        <v>1</v>
      </c>
      <c r="S914" s="80">
        <f t="shared" si="97"/>
        <v>21012000</v>
      </c>
      <c r="T914" s="63" t="s">
        <v>888</v>
      </c>
      <c r="U914" s="63" t="s">
        <v>1163</v>
      </c>
      <c r="V914" s="81" t="s">
        <v>875</v>
      </c>
      <c r="W914" s="82">
        <v>4</v>
      </c>
      <c r="X914" s="63" t="s">
        <v>2595</v>
      </c>
      <c r="Y914" s="81">
        <v>43329</v>
      </c>
      <c r="Z914" s="83">
        <v>21012000</v>
      </c>
      <c r="AA914" s="84" t="s">
        <v>2596</v>
      </c>
      <c r="AB914" s="85">
        <v>1089</v>
      </c>
      <c r="AC914" s="81">
        <v>43333</v>
      </c>
      <c r="AD914" s="86">
        <v>21012000</v>
      </c>
      <c r="AE914" s="87">
        <f t="shared" si="98"/>
        <v>0</v>
      </c>
      <c r="AF914" s="85">
        <v>2828</v>
      </c>
      <c r="AG914" s="81">
        <v>43353</v>
      </c>
      <c r="AH914" s="86">
        <v>21012000</v>
      </c>
      <c r="AI914" s="63" t="s">
        <v>2597</v>
      </c>
      <c r="AJ914" s="63">
        <v>540</v>
      </c>
      <c r="AK914" s="87">
        <f t="shared" si="91"/>
        <v>0</v>
      </c>
      <c r="AL914" s="86">
        <v>0</v>
      </c>
      <c r="AM914" s="86">
        <f t="shared" si="92"/>
        <v>21012000</v>
      </c>
      <c r="AN914" s="63" t="s">
        <v>1155</v>
      </c>
      <c r="AO914" s="86">
        <f t="shared" si="93"/>
        <v>0</v>
      </c>
      <c r="AP914" s="63"/>
      <c r="AQ914" s="81">
        <v>43328</v>
      </c>
      <c r="AR914" s="63" t="s">
        <v>2109</v>
      </c>
      <c r="AS914" s="81">
        <v>43329</v>
      </c>
      <c r="AT914" s="63" t="s">
        <v>1453</v>
      </c>
      <c r="AU914" s="220"/>
      <c r="AV914" s="220"/>
      <c r="AW914" s="220"/>
    </row>
    <row r="915" spans="1:49" s="221" customFormat="1" ht="213.75" x14ac:dyDescent="0.25">
      <c r="A915" s="63">
        <v>501</v>
      </c>
      <c r="B915" s="63" t="str">
        <f t="shared" si="90"/>
        <v>3075-501</v>
      </c>
      <c r="C915" s="76" t="s">
        <v>1141</v>
      </c>
      <c r="D915" s="76" t="s">
        <v>1142</v>
      </c>
      <c r="E915" s="76" t="s">
        <v>1174</v>
      </c>
      <c r="F915" s="76" t="s">
        <v>1175</v>
      </c>
      <c r="G915" s="77" t="s">
        <v>1176</v>
      </c>
      <c r="H915" s="78" t="s">
        <v>1177</v>
      </c>
      <c r="I915" s="76" t="s">
        <v>1191</v>
      </c>
      <c r="J915" s="76" t="s">
        <v>1192</v>
      </c>
      <c r="K915" s="76" t="s">
        <v>439</v>
      </c>
      <c r="L915" s="63" t="s">
        <v>1149</v>
      </c>
      <c r="M915" s="63" t="s">
        <v>58</v>
      </c>
      <c r="N915" s="63" t="s">
        <v>59</v>
      </c>
      <c r="O915" s="76" t="s">
        <v>1169</v>
      </c>
      <c r="P915" s="76" t="s">
        <v>2598</v>
      </c>
      <c r="Q915" s="79">
        <v>39062100</v>
      </c>
      <c r="R915" s="63">
        <v>1</v>
      </c>
      <c r="S915" s="80">
        <f t="shared" si="97"/>
        <v>39062100</v>
      </c>
      <c r="T915" s="63" t="s">
        <v>1171</v>
      </c>
      <c r="U915" s="63" t="s">
        <v>1171</v>
      </c>
      <c r="V915" s="81" t="s">
        <v>875</v>
      </c>
      <c r="W915" s="82">
        <v>1</v>
      </c>
      <c r="X915" s="90" t="s">
        <v>2599</v>
      </c>
      <c r="Y915" s="81">
        <v>43335</v>
      </c>
      <c r="Z915" s="83">
        <v>39062100</v>
      </c>
      <c r="AA915" s="84" t="s">
        <v>2600</v>
      </c>
      <c r="AB915" s="85">
        <v>1099</v>
      </c>
      <c r="AC915" s="81">
        <v>43336</v>
      </c>
      <c r="AD915" s="86">
        <v>39062100</v>
      </c>
      <c r="AE915" s="87">
        <f t="shared" si="98"/>
        <v>0</v>
      </c>
      <c r="AF915" s="85">
        <v>2857</v>
      </c>
      <c r="AG915" s="81">
        <v>43355</v>
      </c>
      <c r="AH915" s="86">
        <v>39062100</v>
      </c>
      <c r="AI915" s="63" t="s">
        <v>2601</v>
      </c>
      <c r="AJ915" s="63">
        <v>3316</v>
      </c>
      <c r="AK915" s="87">
        <f t="shared" si="91"/>
        <v>0</v>
      </c>
      <c r="AL915" s="86">
        <v>0</v>
      </c>
      <c r="AM915" s="86">
        <f t="shared" si="92"/>
        <v>39062100</v>
      </c>
      <c r="AN915" s="63" t="s">
        <v>1155</v>
      </c>
      <c r="AO915" s="86">
        <f t="shared" si="93"/>
        <v>0</v>
      </c>
      <c r="AP915" s="63"/>
      <c r="AQ915" s="81">
        <v>43334</v>
      </c>
      <c r="AR915" s="63" t="s">
        <v>2109</v>
      </c>
      <c r="AS915" s="81">
        <v>43335</v>
      </c>
      <c r="AT915" s="76" t="s">
        <v>2598</v>
      </c>
      <c r="AU915" s="220"/>
      <c r="AV915" s="220"/>
      <c r="AW915" s="220"/>
    </row>
    <row r="916" spans="1:49" s="221" customFormat="1" ht="213.75" x14ac:dyDescent="0.25">
      <c r="A916" s="63">
        <v>502</v>
      </c>
      <c r="B916" s="63" t="str">
        <f t="shared" si="90"/>
        <v>3075-502</v>
      </c>
      <c r="C916" s="76" t="s">
        <v>1141</v>
      </c>
      <c r="D916" s="76" t="s">
        <v>1142</v>
      </c>
      <c r="E916" s="76" t="s">
        <v>1174</v>
      </c>
      <c r="F916" s="76" t="s">
        <v>1175</v>
      </c>
      <c r="G916" s="77" t="s">
        <v>1176</v>
      </c>
      <c r="H916" s="78" t="s">
        <v>1177</v>
      </c>
      <c r="I916" s="76" t="s">
        <v>1191</v>
      </c>
      <c r="J916" s="76" t="s">
        <v>1192</v>
      </c>
      <c r="K916" s="76" t="s">
        <v>439</v>
      </c>
      <c r="L916" s="63" t="s">
        <v>1149</v>
      </c>
      <c r="M916" s="63" t="s">
        <v>58</v>
      </c>
      <c r="N916" s="63" t="s">
        <v>59</v>
      </c>
      <c r="O916" s="76" t="s">
        <v>1169</v>
      </c>
      <c r="P916" s="76" t="s">
        <v>2602</v>
      </c>
      <c r="Q916" s="79">
        <v>39062100</v>
      </c>
      <c r="R916" s="63">
        <v>1</v>
      </c>
      <c r="S916" s="80">
        <f t="shared" si="97"/>
        <v>39062100</v>
      </c>
      <c r="T916" s="63" t="s">
        <v>1171</v>
      </c>
      <c r="U916" s="63" t="s">
        <v>1171</v>
      </c>
      <c r="V916" s="81" t="s">
        <v>875</v>
      </c>
      <c r="W916" s="82">
        <v>1</v>
      </c>
      <c r="X916" s="90" t="s">
        <v>2603</v>
      </c>
      <c r="Y916" s="81">
        <v>43335</v>
      </c>
      <c r="Z916" s="83">
        <v>39062100</v>
      </c>
      <c r="AA916" s="84" t="s">
        <v>2604</v>
      </c>
      <c r="AB916" s="85">
        <v>1102</v>
      </c>
      <c r="AC916" s="81">
        <v>43336</v>
      </c>
      <c r="AD916" s="86">
        <v>39062100</v>
      </c>
      <c r="AE916" s="87">
        <f t="shared" si="98"/>
        <v>0</v>
      </c>
      <c r="AF916" s="85">
        <v>2858</v>
      </c>
      <c r="AG916" s="81">
        <v>43355</v>
      </c>
      <c r="AH916" s="86">
        <v>39062100</v>
      </c>
      <c r="AI916" s="63" t="s">
        <v>2605</v>
      </c>
      <c r="AJ916" s="63">
        <v>3315</v>
      </c>
      <c r="AK916" s="87">
        <f t="shared" si="91"/>
        <v>0</v>
      </c>
      <c r="AL916" s="86">
        <v>0</v>
      </c>
      <c r="AM916" s="86">
        <f t="shared" si="92"/>
        <v>39062100</v>
      </c>
      <c r="AN916" s="63" t="s">
        <v>1155</v>
      </c>
      <c r="AO916" s="86">
        <f t="shared" si="93"/>
        <v>0</v>
      </c>
      <c r="AP916" s="63"/>
      <c r="AQ916" s="81">
        <v>43334</v>
      </c>
      <c r="AR916" s="63" t="s">
        <v>2109</v>
      </c>
      <c r="AS916" s="81">
        <v>43335</v>
      </c>
      <c r="AT916" s="76" t="s">
        <v>2602</v>
      </c>
      <c r="AU916" s="220"/>
      <c r="AV916" s="220"/>
      <c r="AW916" s="220"/>
    </row>
    <row r="917" spans="1:49" s="221" customFormat="1" ht="270.75" x14ac:dyDescent="0.25">
      <c r="A917" s="63">
        <v>503</v>
      </c>
      <c r="B917" s="63" t="str">
        <f t="shared" si="90"/>
        <v>3075-503</v>
      </c>
      <c r="C917" s="76" t="s">
        <v>1141</v>
      </c>
      <c r="D917" s="76" t="s">
        <v>1142</v>
      </c>
      <c r="E917" s="76" t="s">
        <v>1174</v>
      </c>
      <c r="F917" s="76" t="s">
        <v>1175</v>
      </c>
      <c r="G917" s="77" t="s">
        <v>1176</v>
      </c>
      <c r="H917" s="78" t="s">
        <v>1177</v>
      </c>
      <c r="I917" s="76" t="s">
        <v>1191</v>
      </c>
      <c r="J917" s="76" t="s">
        <v>1192</v>
      </c>
      <c r="K917" s="76" t="s">
        <v>439</v>
      </c>
      <c r="L917" s="63" t="s">
        <v>1149</v>
      </c>
      <c r="M917" s="63" t="s">
        <v>58</v>
      </c>
      <c r="N917" s="63" t="s">
        <v>59</v>
      </c>
      <c r="O917" s="76" t="s">
        <v>1169</v>
      </c>
      <c r="P917" s="76" t="s">
        <v>2606</v>
      </c>
      <c r="Q917" s="79">
        <v>25211940</v>
      </c>
      <c r="R917" s="63">
        <v>1</v>
      </c>
      <c r="S917" s="80">
        <f t="shared" si="97"/>
        <v>25211940</v>
      </c>
      <c r="T917" s="63"/>
      <c r="U917" s="63" t="s">
        <v>1171</v>
      </c>
      <c r="V917" s="81" t="s">
        <v>875</v>
      </c>
      <c r="W917" s="82">
        <v>1</v>
      </c>
      <c r="X917" s="90" t="s">
        <v>2607</v>
      </c>
      <c r="Y917" s="81">
        <v>43335</v>
      </c>
      <c r="Z917" s="83">
        <v>25211940</v>
      </c>
      <c r="AA917" s="84" t="s">
        <v>2604</v>
      </c>
      <c r="AB917" s="85">
        <v>1103</v>
      </c>
      <c r="AC917" s="81">
        <v>43336</v>
      </c>
      <c r="AD917" s="86">
        <v>25211940</v>
      </c>
      <c r="AE917" s="87">
        <f t="shared" si="98"/>
        <v>0</v>
      </c>
      <c r="AF917" s="85"/>
      <c r="AG917" s="81"/>
      <c r="AH917" s="86"/>
      <c r="AI917" s="63"/>
      <c r="AJ917" s="63"/>
      <c r="AK917" s="87">
        <f t="shared" si="91"/>
        <v>25211940</v>
      </c>
      <c r="AL917" s="86"/>
      <c r="AM917" s="86">
        <f t="shared" si="92"/>
        <v>0</v>
      </c>
      <c r="AN917" s="63" t="s">
        <v>1155</v>
      </c>
      <c r="AO917" s="86">
        <f t="shared" si="93"/>
        <v>25211940</v>
      </c>
      <c r="AP917" s="63"/>
      <c r="AQ917" s="81">
        <v>43334</v>
      </c>
      <c r="AR917" s="63" t="s">
        <v>2109</v>
      </c>
      <c r="AS917" s="81">
        <v>43335</v>
      </c>
      <c r="AT917" s="76" t="s">
        <v>2606</v>
      </c>
      <c r="AU917" s="220"/>
      <c r="AV917" s="220"/>
      <c r="AW917" s="220"/>
    </row>
    <row r="918" spans="1:49" s="221" customFormat="1" ht="327.75" x14ac:dyDescent="0.25">
      <c r="A918" s="63">
        <v>504</v>
      </c>
      <c r="B918" s="63" t="str">
        <f t="shared" si="90"/>
        <v>3075-504</v>
      </c>
      <c r="C918" s="76" t="s">
        <v>1141</v>
      </c>
      <c r="D918" s="76" t="s">
        <v>1142</v>
      </c>
      <c r="E918" s="76" t="s">
        <v>1143</v>
      </c>
      <c r="F918" s="76" t="s">
        <v>1158</v>
      </c>
      <c r="G918" s="77" t="s">
        <v>1159</v>
      </c>
      <c r="H918" s="78" t="s">
        <v>1160</v>
      </c>
      <c r="I918" s="76" t="s">
        <v>1147</v>
      </c>
      <c r="J918" s="76" t="s">
        <v>1148</v>
      </c>
      <c r="K918" s="76">
        <v>80111600</v>
      </c>
      <c r="L918" s="63" t="s">
        <v>1149</v>
      </c>
      <c r="M918" s="63" t="s">
        <v>58</v>
      </c>
      <c r="N918" s="63" t="s">
        <v>59</v>
      </c>
      <c r="O918" s="76" t="s">
        <v>1213</v>
      </c>
      <c r="P918" s="76" t="s">
        <v>2608</v>
      </c>
      <c r="Q918" s="83">
        <v>4532000</v>
      </c>
      <c r="R918" s="63">
        <v>1</v>
      </c>
      <c r="S918" s="80">
        <f t="shared" si="97"/>
        <v>4532000</v>
      </c>
      <c r="T918" s="63" t="s">
        <v>888</v>
      </c>
      <c r="U918" s="63" t="s">
        <v>1163</v>
      </c>
      <c r="V918" s="81" t="s">
        <v>431</v>
      </c>
      <c r="W918" s="82">
        <v>1</v>
      </c>
      <c r="X918" s="63" t="s">
        <v>2609</v>
      </c>
      <c r="Y918" s="81">
        <v>43335</v>
      </c>
      <c r="Z918" s="83">
        <v>4532000</v>
      </c>
      <c r="AA918" s="84" t="s">
        <v>2568</v>
      </c>
      <c r="AB918" s="85">
        <v>1098</v>
      </c>
      <c r="AC918" s="81">
        <v>43335</v>
      </c>
      <c r="AD918" s="86">
        <v>4532000</v>
      </c>
      <c r="AE918" s="87">
        <f t="shared" si="98"/>
        <v>0</v>
      </c>
      <c r="AF918" s="85">
        <v>2742</v>
      </c>
      <c r="AG918" s="81">
        <v>43336</v>
      </c>
      <c r="AH918" s="86">
        <v>4532000</v>
      </c>
      <c r="AI918" s="63" t="s">
        <v>685</v>
      </c>
      <c r="AJ918" s="63">
        <v>319</v>
      </c>
      <c r="AK918" s="87">
        <f t="shared" si="91"/>
        <v>0</v>
      </c>
      <c r="AL918" s="86">
        <v>906400</v>
      </c>
      <c r="AM918" s="86">
        <f t="shared" si="92"/>
        <v>3625600</v>
      </c>
      <c r="AN918" s="63" t="s">
        <v>1155</v>
      </c>
      <c r="AO918" s="86">
        <f t="shared" si="93"/>
        <v>0</v>
      </c>
      <c r="AP918" s="63"/>
      <c r="AQ918" s="81">
        <v>43335</v>
      </c>
      <c r="AR918" s="63" t="s">
        <v>2109</v>
      </c>
      <c r="AS918" s="81">
        <v>43335</v>
      </c>
      <c r="AT918" s="63" t="s">
        <v>1453</v>
      </c>
      <c r="AU918" s="220"/>
      <c r="AV918" s="220"/>
      <c r="AW918" s="220"/>
    </row>
    <row r="919" spans="1:49" s="221" customFormat="1" ht="199.5" x14ac:dyDescent="0.25">
      <c r="A919" s="63">
        <v>505</v>
      </c>
      <c r="B919" s="63" t="str">
        <f t="shared" si="90"/>
        <v>3075-505</v>
      </c>
      <c r="C919" s="76" t="s">
        <v>1141</v>
      </c>
      <c r="D919" s="76" t="s">
        <v>1142</v>
      </c>
      <c r="E919" s="76" t="s">
        <v>1165</v>
      </c>
      <c r="F919" s="76" t="s">
        <v>1166</v>
      </c>
      <c r="G919" s="77" t="s">
        <v>1167</v>
      </c>
      <c r="H919" s="78" t="s">
        <v>1168</v>
      </c>
      <c r="I919" s="76" t="s">
        <v>1147</v>
      </c>
      <c r="J919" s="76" t="s">
        <v>1148</v>
      </c>
      <c r="K919" s="76" t="s">
        <v>439</v>
      </c>
      <c r="L919" s="63" t="s">
        <v>1149</v>
      </c>
      <c r="M919" s="63" t="s">
        <v>58</v>
      </c>
      <c r="N919" s="63" t="s">
        <v>59</v>
      </c>
      <c r="O919" s="76" t="s">
        <v>1169</v>
      </c>
      <c r="P919" s="63" t="s">
        <v>2610</v>
      </c>
      <c r="Q919" s="79">
        <v>34750800</v>
      </c>
      <c r="R919" s="63">
        <v>1</v>
      </c>
      <c r="S919" s="80">
        <f t="shared" si="97"/>
        <v>34750800</v>
      </c>
      <c r="T919" s="63" t="s">
        <v>1171</v>
      </c>
      <c r="U919" s="63" t="s">
        <v>1171</v>
      </c>
      <c r="V919" s="81" t="s">
        <v>875</v>
      </c>
      <c r="W919" s="82">
        <v>1</v>
      </c>
      <c r="X919" s="90" t="s">
        <v>2611</v>
      </c>
      <c r="Y919" s="89">
        <v>43336</v>
      </c>
      <c r="Z919" s="83">
        <v>34750800</v>
      </c>
      <c r="AA919" s="84" t="s">
        <v>2542</v>
      </c>
      <c r="AB919" s="85">
        <v>1108</v>
      </c>
      <c r="AC919" s="81">
        <v>43341</v>
      </c>
      <c r="AD919" s="86">
        <v>34750800</v>
      </c>
      <c r="AE919" s="87">
        <f t="shared" si="98"/>
        <v>0</v>
      </c>
      <c r="AF919" s="85">
        <v>2875</v>
      </c>
      <c r="AG919" s="81">
        <v>43360</v>
      </c>
      <c r="AH919" s="86">
        <v>34750800</v>
      </c>
      <c r="AI919" s="63" t="s">
        <v>2612</v>
      </c>
      <c r="AJ919" s="63">
        <v>3343</v>
      </c>
      <c r="AK919" s="87">
        <f t="shared" si="91"/>
        <v>0</v>
      </c>
      <c r="AL919" s="86">
        <v>0</v>
      </c>
      <c r="AM919" s="86">
        <f t="shared" si="92"/>
        <v>34750800</v>
      </c>
      <c r="AN919" s="63" t="s">
        <v>1155</v>
      </c>
      <c r="AO919" s="86">
        <f t="shared" si="93"/>
        <v>0</v>
      </c>
      <c r="AP919" s="63" t="s">
        <v>2132</v>
      </c>
      <c r="AQ919" s="81">
        <v>43336</v>
      </c>
      <c r="AR919" s="63" t="s">
        <v>2109</v>
      </c>
      <c r="AS919" s="81">
        <v>43336</v>
      </c>
      <c r="AT919" s="63" t="s">
        <v>2610</v>
      </c>
      <c r="AU919" s="220"/>
      <c r="AV919" s="220"/>
      <c r="AW919" s="220"/>
    </row>
    <row r="920" spans="1:49" s="221" customFormat="1" ht="199.5" x14ac:dyDescent="0.25">
      <c r="A920" s="63">
        <v>506</v>
      </c>
      <c r="B920" s="63" t="str">
        <f t="shared" si="90"/>
        <v>3075-506</v>
      </c>
      <c r="C920" s="76" t="s">
        <v>1141</v>
      </c>
      <c r="D920" s="76" t="s">
        <v>1142</v>
      </c>
      <c r="E920" s="76" t="s">
        <v>1165</v>
      </c>
      <c r="F920" s="76" t="s">
        <v>1166</v>
      </c>
      <c r="G920" s="77" t="s">
        <v>1167</v>
      </c>
      <c r="H920" s="78" t="s">
        <v>1168</v>
      </c>
      <c r="I920" s="76" t="s">
        <v>1147</v>
      </c>
      <c r="J920" s="76" t="s">
        <v>1148</v>
      </c>
      <c r="K920" s="76" t="s">
        <v>439</v>
      </c>
      <c r="L920" s="63" t="s">
        <v>1149</v>
      </c>
      <c r="M920" s="63" t="s">
        <v>58</v>
      </c>
      <c r="N920" s="63" t="s">
        <v>59</v>
      </c>
      <c r="O920" s="76" t="s">
        <v>1169</v>
      </c>
      <c r="P920" s="63" t="s">
        <v>2613</v>
      </c>
      <c r="Q920" s="79">
        <v>23438800</v>
      </c>
      <c r="R920" s="63">
        <v>1</v>
      </c>
      <c r="S920" s="80">
        <f t="shared" si="97"/>
        <v>23438800</v>
      </c>
      <c r="T920" s="63" t="s">
        <v>1171</v>
      </c>
      <c r="U920" s="63" t="s">
        <v>1171</v>
      </c>
      <c r="V920" s="81" t="s">
        <v>875</v>
      </c>
      <c r="W920" s="82">
        <v>1</v>
      </c>
      <c r="X920" s="63" t="s">
        <v>2614</v>
      </c>
      <c r="Y920" s="89">
        <v>43336</v>
      </c>
      <c r="Z920" s="83">
        <v>23438800</v>
      </c>
      <c r="AA920" s="84" t="s">
        <v>2542</v>
      </c>
      <c r="AB920" s="85">
        <v>1110</v>
      </c>
      <c r="AC920" s="81">
        <v>43341</v>
      </c>
      <c r="AD920" s="86">
        <v>23438800</v>
      </c>
      <c r="AE920" s="87">
        <f t="shared" si="98"/>
        <v>0</v>
      </c>
      <c r="AF920" s="85">
        <v>2876</v>
      </c>
      <c r="AG920" s="81">
        <v>43360</v>
      </c>
      <c r="AH920" s="86">
        <v>23438800</v>
      </c>
      <c r="AI920" s="63" t="s">
        <v>2615</v>
      </c>
      <c r="AJ920" s="63">
        <v>3341</v>
      </c>
      <c r="AK920" s="87">
        <f t="shared" si="91"/>
        <v>0</v>
      </c>
      <c r="AL920" s="86">
        <v>0</v>
      </c>
      <c r="AM920" s="86">
        <f t="shared" si="92"/>
        <v>23438800</v>
      </c>
      <c r="AN920" s="63" t="s">
        <v>1155</v>
      </c>
      <c r="AO920" s="86">
        <f t="shared" si="93"/>
        <v>0</v>
      </c>
      <c r="AP920" s="63" t="s">
        <v>2132</v>
      </c>
      <c r="AQ920" s="81">
        <v>43336</v>
      </c>
      <c r="AR920" s="63" t="s">
        <v>2109</v>
      </c>
      <c r="AS920" s="81">
        <v>43336</v>
      </c>
      <c r="AT920" s="63" t="s">
        <v>2613</v>
      </c>
      <c r="AU920" s="220"/>
      <c r="AV920" s="220"/>
      <c r="AW920" s="220"/>
    </row>
    <row r="921" spans="1:49" s="221" customFormat="1" ht="199.5" x14ac:dyDescent="0.25">
      <c r="A921" s="63">
        <v>507</v>
      </c>
      <c r="B921" s="63" t="str">
        <f t="shared" si="90"/>
        <v>3075-507</v>
      </c>
      <c r="C921" s="76" t="s">
        <v>1141</v>
      </c>
      <c r="D921" s="76" t="s">
        <v>1142</v>
      </c>
      <c r="E921" s="76" t="s">
        <v>1165</v>
      </c>
      <c r="F921" s="76" t="s">
        <v>1166</v>
      </c>
      <c r="G921" s="77" t="s">
        <v>1167</v>
      </c>
      <c r="H921" s="78" t="s">
        <v>1168</v>
      </c>
      <c r="I921" s="76" t="s">
        <v>1147</v>
      </c>
      <c r="J921" s="76" t="s">
        <v>1148</v>
      </c>
      <c r="K921" s="76" t="s">
        <v>439</v>
      </c>
      <c r="L921" s="63" t="s">
        <v>1149</v>
      </c>
      <c r="M921" s="63" t="s">
        <v>58</v>
      </c>
      <c r="N921" s="63" t="s">
        <v>59</v>
      </c>
      <c r="O921" s="76" t="s">
        <v>1169</v>
      </c>
      <c r="P921" s="63" t="s">
        <v>2616</v>
      </c>
      <c r="Q921" s="79">
        <v>32148000</v>
      </c>
      <c r="R921" s="63">
        <v>1</v>
      </c>
      <c r="S921" s="80">
        <f t="shared" si="97"/>
        <v>32148000</v>
      </c>
      <c r="T921" s="63"/>
      <c r="U921" s="63" t="s">
        <v>1171</v>
      </c>
      <c r="V921" s="81" t="s">
        <v>875</v>
      </c>
      <c r="W921" s="82">
        <v>1</v>
      </c>
      <c r="X921" s="90" t="s">
        <v>2617</v>
      </c>
      <c r="Y921" s="89">
        <v>43336</v>
      </c>
      <c r="Z921" s="83">
        <v>32148000</v>
      </c>
      <c r="AA921" s="84" t="s">
        <v>2542</v>
      </c>
      <c r="AB921" s="85">
        <v>1106</v>
      </c>
      <c r="AC921" s="81">
        <v>43341</v>
      </c>
      <c r="AD921" s="86">
        <v>32148000</v>
      </c>
      <c r="AE921" s="87">
        <f t="shared" si="98"/>
        <v>0</v>
      </c>
      <c r="AF921" s="85"/>
      <c r="AG921" s="81"/>
      <c r="AH921" s="86"/>
      <c r="AI921" s="63"/>
      <c r="AJ921" s="63"/>
      <c r="AK921" s="87">
        <f t="shared" si="91"/>
        <v>32148000</v>
      </c>
      <c r="AL921" s="86"/>
      <c r="AM921" s="86">
        <f t="shared" si="92"/>
        <v>0</v>
      </c>
      <c r="AN921" s="63" t="s">
        <v>1155</v>
      </c>
      <c r="AO921" s="86">
        <f t="shared" si="93"/>
        <v>32148000</v>
      </c>
      <c r="AP921" s="63" t="s">
        <v>2132</v>
      </c>
      <c r="AQ921" s="81">
        <v>43336</v>
      </c>
      <c r="AR921" s="63" t="s">
        <v>2109</v>
      </c>
      <c r="AS921" s="81">
        <v>43336</v>
      </c>
      <c r="AT921" s="63" t="s">
        <v>2616</v>
      </c>
      <c r="AU921" s="220"/>
      <c r="AV921" s="220"/>
      <c r="AW921" s="220"/>
    </row>
    <row r="922" spans="1:49" s="221" customFormat="1" ht="270.75" x14ac:dyDescent="0.25">
      <c r="A922" s="63">
        <v>508</v>
      </c>
      <c r="B922" s="63" t="str">
        <f t="shared" si="90"/>
        <v>3075-508</v>
      </c>
      <c r="C922" s="76" t="s">
        <v>1141</v>
      </c>
      <c r="D922" s="76" t="s">
        <v>1142</v>
      </c>
      <c r="E922" s="76" t="s">
        <v>1174</v>
      </c>
      <c r="F922" s="76" t="s">
        <v>1175</v>
      </c>
      <c r="G922" s="77" t="s">
        <v>1176</v>
      </c>
      <c r="H922" s="78" t="s">
        <v>1177</v>
      </c>
      <c r="I922" s="76" t="s">
        <v>1191</v>
      </c>
      <c r="J922" s="76" t="s">
        <v>1192</v>
      </c>
      <c r="K922" s="76" t="s">
        <v>439</v>
      </c>
      <c r="L922" s="63" t="s">
        <v>1149</v>
      </c>
      <c r="M922" s="63" t="s">
        <v>58</v>
      </c>
      <c r="N922" s="63" t="s">
        <v>59</v>
      </c>
      <c r="O922" s="76" t="s">
        <v>1169</v>
      </c>
      <c r="P922" s="76" t="s">
        <v>2618</v>
      </c>
      <c r="Q922" s="79">
        <v>41597285</v>
      </c>
      <c r="R922" s="63">
        <v>1</v>
      </c>
      <c r="S922" s="80">
        <f t="shared" si="97"/>
        <v>41597285</v>
      </c>
      <c r="T922" s="63" t="s">
        <v>1171</v>
      </c>
      <c r="U922" s="63" t="s">
        <v>1171</v>
      </c>
      <c r="V922" s="81" t="s">
        <v>875</v>
      </c>
      <c r="W922" s="82">
        <v>1</v>
      </c>
      <c r="X922" s="63" t="s">
        <v>2619</v>
      </c>
      <c r="Y922" s="89">
        <v>43336</v>
      </c>
      <c r="Z922" s="83">
        <v>41597285</v>
      </c>
      <c r="AA922" s="84" t="s">
        <v>2604</v>
      </c>
      <c r="AB922" s="85">
        <v>1107</v>
      </c>
      <c r="AC922" s="81">
        <v>43341</v>
      </c>
      <c r="AD922" s="86">
        <v>41597285</v>
      </c>
      <c r="AE922" s="87">
        <f t="shared" si="98"/>
        <v>0</v>
      </c>
      <c r="AF922" s="85">
        <v>2878</v>
      </c>
      <c r="AG922" s="81">
        <v>43360</v>
      </c>
      <c r="AH922" s="86">
        <v>41597285</v>
      </c>
      <c r="AI922" s="63" t="s">
        <v>2620</v>
      </c>
      <c r="AJ922" s="63">
        <v>3342</v>
      </c>
      <c r="AK922" s="87">
        <f t="shared" si="91"/>
        <v>0</v>
      </c>
      <c r="AL922" s="86">
        <v>0</v>
      </c>
      <c r="AM922" s="86">
        <f t="shared" si="92"/>
        <v>41597285</v>
      </c>
      <c r="AN922" s="63" t="s">
        <v>1155</v>
      </c>
      <c r="AO922" s="86">
        <f t="shared" si="93"/>
        <v>0</v>
      </c>
      <c r="AP922" s="63" t="s">
        <v>2132</v>
      </c>
      <c r="AQ922" s="81">
        <v>43336</v>
      </c>
      <c r="AR922" s="63" t="s">
        <v>2109</v>
      </c>
      <c r="AS922" s="81">
        <v>43336</v>
      </c>
      <c r="AT922" s="76" t="s">
        <v>2618</v>
      </c>
      <c r="AU922" s="220"/>
      <c r="AV922" s="220"/>
      <c r="AW922" s="220"/>
    </row>
    <row r="923" spans="1:49" s="221" customFormat="1" ht="242.25" x14ac:dyDescent="0.25">
      <c r="A923" s="63">
        <v>509</v>
      </c>
      <c r="B923" s="63" t="str">
        <f t="shared" si="90"/>
        <v>3075-509</v>
      </c>
      <c r="C923" s="76" t="s">
        <v>1141</v>
      </c>
      <c r="D923" s="76" t="s">
        <v>1142</v>
      </c>
      <c r="E923" s="76" t="s">
        <v>1174</v>
      </c>
      <c r="F923" s="76" t="s">
        <v>1175</v>
      </c>
      <c r="G923" s="77" t="s">
        <v>1176</v>
      </c>
      <c r="H923" s="78" t="s">
        <v>1177</v>
      </c>
      <c r="I923" s="76" t="s">
        <v>1191</v>
      </c>
      <c r="J923" s="76" t="s">
        <v>1192</v>
      </c>
      <c r="K923" s="76" t="s">
        <v>439</v>
      </c>
      <c r="L923" s="63" t="s">
        <v>1149</v>
      </c>
      <c r="M923" s="63" t="s">
        <v>58</v>
      </c>
      <c r="N923" s="63" t="s">
        <v>59</v>
      </c>
      <c r="O923" s="76" t="s">
        <v>1169</v>
      </c>
      <c r="P923" s="76" t="s">
        <v>2621</v>
      </c>
      <c r="Q923" s="79">
        <v>27796850</v>
      </c>
      <c r="R923" s="63">
        <v>1</v>
      </c>
      <c r="S923" s="80">
        <f t="shared" si="97"/>
        <v>27796850</v>
      </c>
      <c r="T923" s="63"/>
      <c r="U923" s="63" t="s">
        <v>1171</v>
      </c>
      <c r="V923" s="81" t="s">
        <v>875</v>
      </c>
      <c r="W923" s="82">
        <v>1</v>
      </c>
      <c r="X923" s="90" t="s">
        <v>2622</v>
      </c>
      <c r="Y923" s="81">
        <v>43342</v>
      </c>
      <c r="Z923" s="83">
        <v>27796850</v>
      </c>
      <c r="AA923" s="84" t="s">
        <v>2604</v>
      </c>
      <c r="AB923" s="85">
        <v>1137</v>
      </c>
      <c r="AC923" s="81">
        <v>43343</v>
      </c>
      <c r="AD923" s="86">
        <v>27796850</v>
      </c>
      <c r="AE923" s="87">
        <f t="shared" si="98"/>
        <v>0</v>
      </c>
      <c r="AF923" s="85"/>
      <c r="AG923" s="81"/>
      <c r="AH923" s="86"/>
      <c r="AI923" s="63"/>
      <c r="AJ923" s="63"/>
      <c r="AK923" s="87">
        <f t="shared" si="91"/>
        <v>27796850</v>
      </c>
      <c r="AL923" s="86"/>
      <c r="AM923" s="86">
        <f t="shared" si="92"/>
        <v>0</v>
      </c>
      <c r="AN923" s="63" t="s">
        <v>1155</v>
      </c>
      <c r="AO923" s="86">
        <f t="shared" si="93"/>
        <v>27796850</v>
      </c>
      <c r="AP923" s="63" t="s">
        <v>2132</v>
      </c>
      <c r="AQ923" s="81">
        <v>43341</v>
      </c>
      <c r="AR923" s="63" t="s">
        <v>2109</v>
      </c>
      <c r="AS923" s="81">
        <v>43342</v>
      </c>
      <c r="AT923" s="63" t="s">
        <v>2621</v>
      </c>
      <c r="AU923" s="220"/>
      <c r="AV923" s="220"/>
      <c r="AW923" s="220"/>
    </row>
    <row r="924" spans="1:49" s="221" customFormat="1" ht="199.5" x14ac:dyDescent="0.25">
      <c r="A924" s="63">
        <v>510</v>
      </c>
      <c r="B924" s="63" t="str">
        <f t="shared" si="90"/>
        <v>3075-510</v>
      </c>
      <c r="C924" s="76" t="s">
        <v>1141</v>
      </c>
      <c r="D924" s="76" t="s">
        <v>1142</v>
      </c>
      <c r="E924" s="76" t="s">
        <v>1165</v>
      </c>
      <c r="F924" s="76" t="s">
        <v>1166</v>
      </c>
      <c r="G924" s="77" t="s">
        <v>1167</v>
      </c>
      <c r="H924" s="78" t="s">
        <v>1168</v>
      </c>
      <c r="I924" s="76" t="s">
        <v>1147</v>
      </c>
      <c r="J924" s="76" t="s">
        <v>1148</v>
      </c>
      <c r="K924" s="76" t="s">
        <v>439</v>
      </c>
      <c r="L924" s="63" t="s">
        <v>1149</v>
      </c>
      <c r="M924" s="63" t="s">
        <v>58</v>
      </c>
      <c r="N924" s="63" t="s">
        <v>59</v>
      </c>
      <c r="O924" s="76" t="s">
        <v>1169</v>
      </c>
      <c r="P924" s="63" t="s">
        <v>2623</v>
      </c>
      <c r="Q924" s="79">
        <v>23177496</v>
      </c>
      <c r="R924" s="63">
        <v>1</v>
      </c>
      <c r="S924" s="80">
        <f t="shared" si="97"/>
        <v>23177496</v>
      </c>
      <c r="T924" s="63"/>
      <c r="U924" s="63" t="s">
        <v>1171</v>
      </c>
      <c r="V924" s="81" t="s">
        <v>875</v>
      </c>
      <c r="W924" s="82">
        <v>1</v>
      </c>
      <c r="X924" s="90" t="s">
        <v>2624</v>
      </c>
      <c r="Y924" s="89">
        <v>43342</v>
      </c>
      <c r="Z924" s="83">
        <v>23177496</v>
      </c>
      <c r="AA924" s="84" t="s">
        <v>2542</v>
      </c>
      <c r="AB924" s="85">
        <v>1136</v>
      </c>
      <c r="AC924" s="81">
        <v>43343</v>
      </c>
      <c r="AD924" s="86">
        <v>23177496</v>
      </c>
      <c r="AE924" s="87">
        <f t="shared" si="98"/>
        <v>0</v>
      </c>
      <c r="AF924" s="85"/>
      <c r="AG924" s="81"/>
      <c r="AH924" s="86"/>
      <c r="AI924" s="63"/>
      <c r="AJ924" s="63"/>
      <c r="AK924" s="87">
        <f t="shared" si="91"/>
        <v>23177496</v>
      </c>
      <c r="AL924" s="86"/>
      <c r="AM924" s="86">
        <f t="shared" si="92"/>
        <v>0</v>
      </c>
      <c r="AN924" s="63" t="s">
        <v>1155</v>
      </c>
      <c r="AO924" s="86">
        <f t="shared" si="93"/>
        <v>23177496</v>
      </c>
      <c r="AP924" s="63" t="s">
        <v>2132</v>
      </c>
      <c r="AQ924" s="81">
        <v>43341</v>
      </c>
      <c r="AR924" s="63" t="s">
        <v>2109</v>
      </c>
      <c r="AS924" s="81">
        <v>43342</v>
      </c>
      <c r="AT924" s="63" t="s">
        <v>2623</v>
      </c>
      <c r="AU924" s="220"/>
      <c r="AV924" s="220"/>
      <c r="AW924" s="220"/>
    </row>
    <row r="925" spans="1:49" s="221" customFormat="1" ht="327.75" x14ac:dyDescent="0.25">
      <c r="A925" s="63">
        <v>511</v>
      </c>
      <c r="B925" s="63" t="str">
        <f t="shared" si="90"/>
        <v>3075-511</v>
      </c>
      <c r="C925" s="76" t="s">
        <v>1141</v>
      </c>
      <c r="D925" s="76" t="s">
        <v>1142</v>
      </c>
      <c r="E925" s="76" t="s">
        <v>1143</v>
      </c>
      <c r="F925" s="76" t="s">
        <v>1158</v>
      </c>
      <c r="G925" s="77" t="s">
        <v>1159</v>
      </c>
      <c r="H925" s="78" t="s">
        <v>1160</v>
      </c>
      <c r="I925" s="76" t="s">
        <v>1147</v>
      </c>
      <c r="J925" s="76" t="s">
        <v>1148</v>
      </c>
      <c r="K925" s="76">
        <v>93151501</v>
      </c>
      <c r="L925" s="63" t="s">
        <v>1149</v>
      </c>
      <c r="M925" s="63" t="s">
        <v>58</v>
      </c>
      <c r="N925" s="63" t="s">
        <v>59</v>
      </c>
      <c r="O925" s="76" t="s">
        <v>1213</v>
      </c>
      <c r="P925" s="76" t="s">
        <v>2583</v>
      </c>
      <c r="Q925" s="83">
        <v>4120000</v>
      </c>
      <c r="R925" s="63">
        <v>1</v>
      </c>
      <c r="S925" s="80">
        <v>15106667</v>
      </c>
      <c r="T925" s="63" t="s">
        <v>888</v>
      </c>
      <c r="U925" s="63" t="s">
        <v>1163</v>
      </c>
      <c r="V925" s="81" t="s">
        <v>875</v>
      </c>
      <c r="W925" s="82" t="s">
        <v>2625</v>
      </c>
      <c r="X925" s="63" t="s">
        <v>2626</v>
      </c>
      <c r="Y925" s="81">
        <v>43342</v>
      </c>
      <c r="Z925" s="83">
        <v>15106667</v>
      </c>
      <c r="AA925" s="84" t="s">
        <v>2627</v>
      </c>
      <c r="AB925" s="85">
        <v>1133</v>
      </c>
      <c r="AC925" s="81">
        <v>43343</v>
      </c>
      <c r="AD925" s="86">
        <v>15106667</v>
      </c>
      <c r="AE925" s="87">
        <f t="shared" si="98"/>
        <v>0</v>
      </c>
      <c r="AF925" s="85">
        <v>2859</v>
      </c>
      <c r="AG925" s="81">
        <v>43356</v>
      </c>
      <c r="AH925" s="86">
        <v>15106667</v>
      </c>
      <c r="AI925" s="63" t="s">
        <v>1670</v>
      </c>
      <c r="AJ925" s="63">
        <v>576</v>
      </c>
      <c r="AK925" s="87">
        <f t="shared" si="91"/>
        <v>0</v>
      </c>
      <c r="AL925" s="86">
        <v>0</v>
      </c>
      <c r="AM925" s="86">
        <f t="shared" si="92"/>
        <v>15106667</v>
      </c>
      <c r="AN925" s="63" t="s">
        <v>1155</v>
      </c>
      <c r="AO925" s="86">
        <f t="shared" si="93"/>
        <v>0</v>
      </c>
      <c r="AP925" s="63"/>
      <c r="AQ925" s="81">
        <v>43341</v>
      </c>
      <c r="AR925" s="63" t="s">
        <v>2109</v>
      </c>
      <c r="AS925" s="81">
        <v>43342</v>
      </c>
      <c r="AT925" s="63" t="s">
        <v>1453</v>
      </c>
      <c r="AU925" s="220"/>
      <c r="AV925" s="220"/>
      <c r="AW925" s="220"/>
    </row>
    <row r="926" spans="1:49" s="221" customFormat="1" ht="299.25" x14ac:dyDescent="0.25">
      <c r="A926" s="63">
        <v>512</v>
      </c>
      <c r="B926" s="63" t="str">
        <f t="shared" si="90"/>
        <v>3075-512</v>
      </c>
      <c r="C926" s="76" t="s">
        <v>1141</v>
      </c>
      <c r="D926" s="76" t="s">
        <v>1142</v>
      </c>
      <c r="E926" s="76" t="s">
        <v>1143</v>
      </c>
      <c r="F926" s="76" t="s">
        <v>1158</v>
      </c>
      <c r="G926" s="77" t="s">
        <v>1159</v>
      </c>
      <c r="H926" s="78" t="s">
        <v>1160</v>
      </c>
      <c r="I926" s="76" t="s">
        <v>1147</v>
      </c>
      <c r="J926" s="76" t="s">
        <v>1148</v>
      </c>
      <c r="K926" s="76">
        <v>80111600</v>
      </c>
      <c r="L926" s="63" t="s">
        <v>1149</v>
      </c>
      <c r="M926" s="63" t="s">
        <v>58</v>
      </c>
      <c r="N926" s="63" t="s">
        <v>59</v>
      </c>
      <c r="O926" s="76" t="s">
        <v>1213</v>
      </c>
      <c r="P926" s="76" t="s">
        <v>2628</v>
      </c>
      <c r="Q926" s="83">
        <v>5036700</v>
      </c>
      <c r="R926" s="63">
        <v>1</v>
      </c>
      <c r="S926" s="80">
        <v>18467900</v>
      </c>
      <c r="T926" s="63" t="s">
        <v>888</v>
      </c>
      <c r="U926" s="63" t="s">
        <v>1163</v>
      </c>
      <c r="V926" s="81" t="s">
        <v>875</v>
      </c>
      <c r="W926" s="82" t="s">
        <v>2625</v>
      </c>
      <c r="X926" s="63" t="s">
        <v>2629</v>
      </c>
      <c r="Y926" s="81">
        <v>43342</v>
      </c>
      <c r="Z926" s="83">
        <v>18467900</v>
      </c>
      <c r="AA926" s="84" t="s">
        <v>2627</v>
      </c>
      <c r="AB926" s="85">
        <v>1135</v>
      </c>
      <c r="AC926" s="81">
        <v>43343</v>
      </c>
      <c r="AD926" s="86">
        <v>18467900</v>
      </c>
      <c r="AE926" s="87">
        <f t="shared" si="98"/>
        <v>0</v>
      </c>
      <c r="AF926" s="85">
        <v>2867</v>
      </c>
      <c r="AG926" s="81">
        <v>43357</v>
      </c>
      <c r="AH926" s="86">
        <v>18467900</v>
      </c>
      <c r="AI926" s="63" t="s">
        <v>1704</v>
      </c>
      <c r="AJ926" s="63">
        <v>579</v>
      </c>
      <c r="AK926" s="87">
        <f t="shared" si="91"/>
        <v>0</v>
      </c>
      <c r="AL926" s="86">
        <v>0</v>
      </c>
      <c r="AM926" s="86">
        <f t="shared" si="92"/>
        <v>18467900</v>
      </c>
      <c r="AN926" s="63" t="s">
        <v>1155</v>
      </c>
      <c r="AO926" s="86">
        <f t="shared" si="93"/>
        <v>0</v>
      </c>
      <c r="AP926" s="63"/>
      <c r="AQ926" s="81">
        <v>43341</v>
      </c>
      <c r="AR926" s="63" t="s">
        <v>2109</v>
      </c>
      <c r="AS926" s="81">
        <v>43342</v>
      </c>
      <c r="AT926" s="63" t="s">
        <v>1453</v>
      </c>
      <c r="AU926" s="220"/>
      <c r="AV926" s="220"/>
      <c r="AW926" s="220"/>
    </row>
    <row r="927" spans="1:49" s="221" customFormat="1" ht="299.25" x14ac:dyDescent="0.25">
      <c r="A927" s="63">
        <v>513</v>
      </c>
      <c r="B927" s="63" t="str">
        <f t="shared" ref="B927:B990" si="99">CONCATENATE("3075","-",A927)</f>
        <v>3075-513</v>
      </c>
      <c r="C927" s="76" t="s">
        <v>1141</v>
      </c>
      <c r="D927" s="76" t="s">
        <v>1142</v>
      </c>
      <c r="E927" s="76" t="s">
        <v>1143</v>
      </c>
      <c r="F927" s="76" t="s">
        <v>1158</v>
      </c>
      <c r="G927" s="77" t="s">
        <v>1159</v>
      </c>
      <c r="H927" s="78" t="s">
        <v>1160</v>
      </c>
      <c r="I927" s="76" t="s">
        <v>1147</v>
      </c>
      <c r="J927" s="76" t="s">
        <v>1148</v>
      </c>
      <c r="K927" s="76">
        <v>80111600</v>
      </c>
      <c r="L927" s="63" t="s">
        <v>1149</v>
      </c>
      <c r="M927" s="63" t="s">
        <v>58</v>
      </c>
      <c r="N927" s="63" t="s">
        <v>59</v>
      </c>
      <c r="O927" s="76" t="s">
        <v>1213</v>
      </c>
      <c r="P927" s="76" t="s">
        <v>1354</v>
      </c>
      <c r="Q927" s="83">
        <v>3326900</v>
      </c>
      <c r="R927" s="63">
        <v>1</v>
      </c>
      <c r="S927" s="80">
        <v>12198633</v>
      </c>
      <c r="T927" s="63" t="s">
        <v>928</v>
      </c>
      <c r="U927" s="63" t="s">
        <v>1163</v>
      </c>
      <c r="V927" s="81" t="s">
        <v>875</v>
      </c>
      <c r="W927" s="82" t="s">
        <v>2625</v>
      </c>
      <c r="X927" s="63" t="s">
        <v>2630</v>
      </c>
      <c r="Y927" s="81">
        <v>43342</v>
      </c>
      <c r="Z927" s="83">
        <v>12198633</v>
      </c>
      <c r="AA927" s="84" t="s">
        <v>2627</v>
      </c>
      <c r="AB927" s="85">
        <v>1131</v>
      </c>
      <c r="AC927" s="81">
        <v>43343</v>
      </c>
      <c r="AD927" s="86">
        <v>12198633</v>
      </c>
      <c r="AE927" s="87">
        <f t="shared" si="98"/>
        <v>0</v>
      </c>
      <c r="AF927" s="85">
        <v>2861</v>
      </c>
      <c r="AG927" s="81">
        <v>43356</v>
      </c>
      <c r="AH927" s="86">
        <v>12198633</v>
      </c>
      <c r="AI927" s="63" t="s">
        <v>1356</v>
      </c>
      <c r="AJ927" s="63">
        <v>578</v>
      </c>
      <c r="AK927" s="87">
        <f t="shared" ref="AK927:AK939" si="100">AD927-AH927</f>
        <v>0</v>
      </c>
      <c r="AL927" s="86">
        <v>0</v>
      </c>
      <c r="AM927" s="86">
        <f t="shared" ref="AM927:AM990" si="101">AH927-AL927</f>
        <v>12198633</v>
      </c>
      <c r="AN927" s="63" t="s">
        <v>1155</v>
      </c>
      <c r="AO927" s="86">
        <f t="shared" ref="AO927:AO990" si="102">S927-AH927</f>
        <v>0</v>
      </c>
      <c r="AP927" s="63"/>
      <c r="AQ927" s="81">
        <v>43341</v>
      </c>
      <c r="AR927" s="63" t="s">
        <v>2109</v>
      </c>
      <c r="AS927" s="81">
        <v>43342</v>
      </c>
      <c r="AT927" s="63" t="s">
        <v>1453</v>
      </c>
      <c r="AU927" s="220"/>
      <c r="AV927" s="220"/>
      <c r="AW927" s="220"/>
    </row>
    <row r="928" spans="1:49" s="221" customFormat="1" ht="299.25" x14ac:dyDescent="0.25">
      <c r="A928" s="63">
        <v>514</v>
      </c>
      <c r="B928" s="63" t="str">
        <f t="shared" si="99"/>
        <v>3075-514</v>
      </c>
      <c r="C928" s="76" t="s">
        <v>1141</v>
      </c>
      <c r="D928" s="76" t="s">
        <v>1142</v>
      </c>
      <c r="E928" s="76" t="s">
        <v>1143</v>
      </c>
      <c r="F928" s="76" t="s">
        <v>1158</v>
      </c>
      <c r="G928" s="77" t="s">
        <v>1159</v>
      </c>
      <c r="H928" s="78" t="s">
        <v>1160</v>
      </c>
      <c r="I928" s="76" t="s">
        <v>1147</v>
      </c>
      <c r="J928" s="76" t="s">
        <v>1148</v>
      </c>
      <c r="K928" s="76">
        <v>80111600</v>
      </c>
      <c r="L928" s="63" t="s">
        <v>1149</v>
      </c>
      <c r="M928" s="63" t="s">
        <v>58</v>
      </c>
      <c r="N928" s="63" t="s">
        <v>59</v>
      </c>
      <c r="O928" s="76" t="s">
        <v>1213</v>
      </c>
      <c r="P928" s="76" t="s">
        <v>1637</v>
      </c>
      <c r="Q928" s="83">
        <v>5253000</v>
      </c>
      <c r="R928" s="63">
        <v>1</v>
      </c>
      <c r="S928" s="80">
        <v>19261000</v>
      </c>
      <c r="T928" s="63" t="s">
        <v>888</v>
      </c>
      <c r="U928" s="63" t="s">
        <v>1163</v>
      </c>
      <c r="V928" s="81" t="s">
        <v>875</v>
      </c>
      <c r="W928" s="82" t="s">
        <v>2625</v>
      </c>
      <c r="X928" s="63" t="s">
        <v>2631</v>
      </c>
      <c r="Y928" s="81">
        <v>43342</v>
      </c>
      <c r="Z928" s="83">
        <v>19261000</v>
      </c>
      <c r="AA928" s="84" t="s">
        <v>2627</v>
      </c>
      <c r="AB928" s="85">
        <v>1132</v>
      </c>
      <c r="AC928" s="81">
        <v>43343</v>
      </c>
      <c r="AD928" s="86">
        <v>19261000</v>
      </c>
      <c r="AE928" s="87">
        <f t="shared" si="98"/>
        <v>0</v>
      </c>
      <c r="AF928" s="85">
        <v>2842</v>
      </c>
      <c r="AG928" s="81">
        <v>43354</v>
      </c>
      <c r="AH928" s="86">
        <v>19261000</v>
      </c>
      <c r="AI928" s="63" t="s">
        <v>1358</v>
      </c>
      <c r="AJ928" s="63">
        <v>573</v>
      </c>
      <c r="AK928" s="87">
        <f t="shared" si="100"/>
        <v>0</v>
      </c>
      <c r="AL928" s="86">
        <v>0</v>
      </c>
      <c r="AM928" s="86">
        <f t="shared" si="101"/>
        <v>19261000</v>
      </c>
      <c r="AN928" s="63" t="s">
        <v>1155</v>
      </c>
      <c r="AO928" s="86">
        <f t="shared" si="102"/>
        <v>0</v>
      </c>
      <c r="AP928" s="63"/>
      <c r="AQ928" s="81">
        <v>43341</v>
      </c>
      <c r="AR928" s="63" t="s">
        <v>2109</v>
      </c>
      <c r="AS928" s="81">
        <v>43342</v>
      </c>
      <c r="AT928" s="63" t="s">
        <v>1453</v>
      </c>
      <c r="AU928" s="220"/>
      <c r="AV928" s="220"/>
      <c r="AW928" s="220"/>
    </row>
    <row r="929" spans="1:49" s="221" customFormat="1" ht="299.25" x14ac:dyDescent="0.25">
      <c r="A929" s="63">
        <v>515</v>
      </c>
      <c r="B929" s="63" t="str">
        <f t="shared" si="99"/>
        <v>3075-515</v>
      </c>
      <c r="C929" s="76" t="s">
        <v>1141</v>
      </c>
      <c r="D929" s="76" t="s">
        <v>1142</v>
      </c>
      <c r="E929" s="76" t="s">
        <v>1143</v>
      </c>
      <c r="F929" s="76" t="s">
        <v>1158</v>
      </c>
      <c r="G929" s="77" t="s">
        <v>1159</v>
      </c>
      <c r="H929" s="78" t="s">
        <v>1160</v>
      </c>
      <c r="I929" s="76" t="s">
        <v>1147</v>
      </c>
      <c r="J929" s="76" t="s">
        <v>1148</v>
      </c>
      <c r="K929" s="76">
        <v>80111600</v>
      </c>
      <c r="L929" s="63" t="s">
        <v>1149</v>
      </c>
      <c r="M929" s="63" t="s">
        <v>58</v>
      </c>
      <c r="N929" s="63" t="s">
        <v>59</v>
      </c>
      <c r="O929" s="76" t="s">
        <v>1213</v>
      </c>
      <c r="P929" s="76" t="s">
        <v>2632</v>
      </c>
      <c r="Q929" s="83">
        <v>5253000</v>
      </c>
      <c r="R929" s="63">
        <v>1</v>
      </c>
      <c r="S929" s="80">
        <v>19261000</v>
      </c>
      <c r="T929" s="63" t="s">
        <v>888</v>
      </c>
      <c r="U929" s="63" t="s">
        <v>1163</v>
      </c>
      <c r="V929" s="81" t="s">
        <v>875</v>
      </c>
      <c r="W929" s="82" t="s">
        <v>2625</v>
      </c>
      <c r="X929" s="63" t="s">
        <v>2633</v>
      </c>
      <c r="Y929" s="81">
        <v>43342</v>
      </c>
      <c r="Z929" s="83">
        <v>19261000</v>
      </c>
      <c r="AA929" s="84" t="s">
        <v>2627</v>
      </c>
      <c r="AB929" s="85">
        <v>1139</v>
      </c>
      <c r="AC929" s="81">
        <v>43343</v>
      </c>
      <c r="AD929" s="86">
        <v>19261000</v>
      </c>
      <c r="AE929" s="87">
        <f t="shared" si="98"/>
        <v>0</v>
      </c>
      <c r="AF929" s="85">
        <v>2854</v>
      </c>
      <c r="AG929" s="81">
        <v>43355</v>
      </c>
      <c r="AH929" s="86">
        <v>19261000</v>
      </c>
      <c r="AI929" s="63" t="s">
        <v>1396</v>
      </c>
      <c r="AJ929" s="63">
        <v>569</v>
      </c>
      <c r="AK929" s="87">
        <f t="shared" si="100"/>
        <v>0</v>
      </c>
      <c r="AL929" s="86">
        <v>0</v>
      </c>
      <c r="AM929" s="86">
        <f t="shared" si="101"/>
        <v>19261000</v>
      </c>
      <c r="AN929" s="63" t="s">
        <v>1155</v>
      </c>
      <c r="AO929" s="86">
        <f t="shared" si="102"/>
        <v>0</v>
      </c>
      <c r="AP929" s="63"/>
      <c r="AQ929" s="81">
        <v>43341</v>
      </c>
      <c r="AR929" s="63" t="s">
        <v>2109</v>
      </c>
      <c r="AS929" s="81">
        <v>43342</v>
      </c>
      <c r="AT929" s="63" t="s">
        <v>1453</v>
      </c>
      <c r="AU929" s="220"/>
      <c r="AV929" s="220"/>
      <c r="AW929" s="220"/>
    </row>
    <row r="930" spans="1:49" s="221" customFormat="1" ht="299.25" x14ac:dyDescent="0.25">
      <c r="A930" s="63">
        <v>516</v>
      </c>
      <c r="B930" s="63" t="str">
        <f t="shared" si="99"/>
        <v>3075-516</v>
      </c>
      <c r="C930" s="76" t="s">
        <v>1141</v>
      </c>
      <c r="D930" s="76" t="s">
        <v>1142</v>
      </c>
      <c r="E930" s="76" t="s">
        <v>1143</v>
      </c>
      <c r="F930" s="76" t="s">
        <v>1158</v>
      </c>
      <c r="G930" s="77" t="s">
        <v>1159</v>
      </c>
      <c r="H930" s="78" t="s">
        <v>1160</v>
      </c>
      <c r="I930" s="76" t="s">
        <v>1147</v>
      </c>
      <c r="J930" s="76" t="s">
        <v>1148</v>
      </c>
      <c r="K930" s="76">
        <v>93141506</v>
      </c>
      <c r="L930" s="63" t="s">
        <v>1149</v>
      </c>
      <c r="M930" s="63" t="s">
        <v>58</v>
      </c>
      <c r="N930" s="63" t="s">
        <v>59</v>
      </c>
      <c r="O930" s="76" t="s">
        <v>1213</v>
      </c>
      <c r="P930" s="76" t="s">
        <v>1287</v>
      </c>
      <c r="Q930" s="83">
        <v>5253000</v>
      </c>
      <c r="R930" s="63">
        <v>1</v>
      </c>
      <c r="S930" s="80">
        <v>19261000</v>
      </c>
      <c r="T930" s="63" t="s">
        <v>888</v>
      </c>
      <c r="U930" s="63" t="s">
        <v>1163</v>
      </c>
      <c r="V930" s="81" t="s">
        <v>875</v>
      </c>
      <c r="W930" s="82" t="s">
        <v>2625</v>
      </c>
      <c r="X930" s="63" t="s">
        <v>2634</v>
      </c>
      <c r="Y930" s="81">
        <v>43342</v>
      </c>
      <c r="Z930" s="83">
        <v>19261000</v>
      </c>
      <c r="AA930" s="84" t="s">
        <v>2627</v>
      </c>
      <c r="AB930" s="85">
        <v>1129</v>
      </c>
      <c r="AC930" s="81">
        <v>43343</v>
      </c>
      <c r="AD930" s="86">
        <v>19261000</v>
      </c>
      <c r="AE930" s="87">
        <f t="shared" si="98"/>
        <v>0</v>
      </c>
      <c r="AF930" s="85">
        <v>2865</v>
      </c>
      <c r="AG930" s="81">
        <v>43357</v>
      </c>
      <c r="AH930" s="86">
        <v>19261000</v>
      </c>
      <c r="AI930" s="63" t="s">
        <v>2244</v>
      </c>
      <c r="AJ930" s="63">
        <v>575</v>
      </c>
      <c r="AK930" s="87">
        <f t="shared" si="100"/>
        <v>0</v>
      </c>
      <c r="AL930" s="86">
        <v>0</v>
      </c>
      <c r="AM930" s="86">
        <f t="shared" si="101"/>
        <v>19261000</v>
      </c>
      <c r="AN930" s="63" t="s">
        <v>1155</v>
      </c>
      <c r="AO930" s="86">
        <f t="shared" si="102"/>
        <v>0</v>
      </c>
      <c r="AP930" s="63"/>
      <c r="AQ930" s="81">
        <v>43341</v>
      </c>
      <c r="AR930" s="63" t="s">
        <v>2109</v>
      </c>
      <c r="AS930" s="81">
        <v>43342</v>
      </c>
      <c r="AT930" s="63" t="s">
        <v>1453</v>
      </c>
      <c r="AU930" s="220"/>
      <c r="AV930" s="220"/>
      <c r="AW930" s="220"/>
    </row>
    <row r="931" spans="1:49" s="221" customFormat="1" ht="299.25" x14ac:dyDescent="0.25">
      <c r="A931" s="63">
        <v>517</v>
      </c>
      <c r="B931" s="63" t="str">
        <f t="shared" si="99"/>
        <v>3075-517</v>
      </c>
      <c r="C931" s="76" t="s">
        <v>1141</v>
      </c>
      <c r="D931" s="76" t="s">
        <v>1142</v>
      </c>
      <c r="E931" s="76" t="s">
        <v>1143</v>
      </c>
      <c r="F931" s="76" t="s">
        <v>1158</v>
      </c>
      <c r="G931" s="77" t="s">
        <v>1159</v>
      </c>
      <c r="H931" s="78" t="s">
        <v>1160</v>
      </c>
      <c r="I931" s="76" t="s">
        <v>1147</v>
      </c>
      <c r="J931" s="76" t="s">
        <v>1148</v>
      </c>
      <c r="K931" s="76">
        <v>80111600</v>
      </c>
      <c r="L931" s="63" t="s">
        <v>1149</v>
      </c>
      <c r="M931" s="63" t="s">
        <v>58</v>
      </c>
      <c r="N931" s="63" t="s">
        <v>59</v>
      </c>
      <c r="O931" s="76" t="s">
        <v>1213</v>
      </c>
      <c r="P931" s="76" t="s">
        <v>1219</v>
      </c>
      <c r="Q931" s="83">
        <v>1545000</v>
      </c>
      <c r="R931" s="63">
        <v>1</v>
      </c>
      <c r="S931" s="80">
        <v>5665000</v>
      </c>
      <c r="T931" s="63" t="s">
        <v>928</v>
      </c>
      <c r="U931" s="63" t="s">
        <v>1163</v>
      </c>
      <c r="V931" s="81" t="s">
        <v>875</v>
      </c>
      <c r="W931" s="82" t="s">
        <v>2625</v>
      </c>
      <c r="X931" s="63" t="s">
        <v>2635</v>
      </c>
      <c r="Y931" s="81">
        <v>43342</v>
      </c>
      <c r="Z931" s="83">
        <v>5665000</v>
      </c>
      <c r="AA931" s="84" t="s">
        <v>2627</v>
      </c>
      <c r="AB931" s="85">
        <v>1134</v>
      </c>
      <c r="AC931" s="81">
        <v>43343</v>
      </c>
      <c r="AD931" s="86">
        <v>5665000</v>
      </c>
      <c r="AE931" s="87">
        <f t="shared" si="98"/>
        <v>0</v>
      </c>
      <c r="AF931" s="85">
        <v>2836</v>
      </c>
      <c r="AG931" s="81">
        <v>43353</v>
      </c>
      <c r="AH931" s="86">
        <v>5665000</v>
      </c>
      <c r="AI931" s="63" t="s">
        <v>1545</v>
      </c>
      <c r="AJ931" s="63">
        <v>574</v>
      </c>
      <c r="AK931" s="87">
        <f t="shared" si="100"/>
        <v>0</v>
      </c>
      <c r="AL931" s="86">
        <v>0</v>
      </c>
      <c r="AM931" s="86">
        <f t="shared" si="101"/>
        <v>5665000</v>
      </c>
      <c r="AN931" s="63" t="s">
        <v>1155</v>
      </c>
      <c r="AO931" s="86">
        <f t="shared" si="102"/>
        <v>0</v>
      </c>
      <c r="AP931" s="63"/>
      <c r="AQ931" s="81">
        <v>43341</v>
      </c>
      <c r="AR931" s="63" t="s">
        <v>2109</v>
      </c>
      <c r="AS931" s="81">
        <v>43342</v>
      </c>
      <c r="AT931" s="63" t="s">
        <v>1453</v>
      </c>
      <c r="AU931" s="220"/>
      <c r="AV931" s="220"/>
      <c r="AW931" s="220"/>
    </row>
    <row r="932" spans="1:49" s="221" customFormat="1" ht="299.25" x14ac:dyDescent="0.25">
      <c r="A932" s="63">
        <v>518</v>
      </c>
      <c r="B932" s="63" t="str">
        <f t="shared" si="99"/>
        <v>3075-518</v>
      </c>
      <c r="C932" s="76" t="s">
        <v>1141</v>
      </c>
      <c r="D932" s="76" t="s">
        <v>1142</v>
      </c>
      <c r="E932" s="76" t="s">
        <v>1143</v>
      </c>
      <c r="F932" s="76" t="s">
        <v>1158</v>
      </c>
      <c r="G932" s="77" t="s">
        <v>1159</v>
      </c>
      <c r="H932" s="78" t="s">
        <v>1160</v>
      </c>
      <c r="I932" s="76" t="s">
        <v>1147</v>
      </c>
      <c r="J932" s="76" t="s">
        <v>1148</v>
      </c>
      <c r="K932" s="76">
        <v>80111600</v>
      </c>
      <c r="L932" s="63" t="s">
        <v>1149</v>
      </c>
      <c r="M932" s="63" t="s">
        <v>58</v>
      </c>
      <c r="N932" s="63" t="s">
        <v>59</v>
      </c>
      <c r="O932" s="76" t="s">
        <v>1213</v>
      </c>
      <c r="P932" s="76" t="s">
        <v>2636</v>
      </c>
      <c r="Q932" s="83">
        <v>3326900</v>
      </c>
      <c r="R932" s="63">
        <v>1</v>
      </c>
      <c r="S932" s="80">
        <v>12198633</v>
      </c>
      <c r="T932" s="63" t="s">
        <v>928</v>
      </c>
      <c r="U932" s="63" t="s">
        <v>1163</v>
      </c>
      <c r="V932" s="81" t="s">
        <v>875</v>
      </c>
      <c r="W932" s="82" t="s">
        <v>2625</v>
      </c>
      <c r="X932" s="63" t="s">
        <v>2637</v>
      </c>
      <c r="Y932" s="81">
        <v>43342</v>
      </c>
      <c r="Z932" s="83">
        <v>12198633</v>
      </c>
      <c r="AA932" s="84" t="s">
        <v>2627</v>
      </c>
      <c r="AB932" s="85">
        <v>1138</v>
      </c>
      <c r="AC932" s="81">
        <v>43343</v>
      </c>
      <c r="AD932" s="86">
        <v>12198633</v>
      </c>
      <c r="AE932" s="87">
        <f t="shared" si="98"/>
        <v>0</v>
      </c>
      <c r="AF932" s="85">
        <v>2860</v>
      </c>
      <c r="AG932" s="81">
        <v>43356</v>
      </c>
      <c r="AH932" s="86">
        <v>12198633</v>
      </c>
      <c r="AI932" s="63" t="s">
        <v>2638</v>
      </c>
      <c r="AJ932" s="63">
        <v>567</v>
      </c>
      <c r="AK932" s="87">
        <f t="shared" si="100"/>
        <v>0</v>
      </c>
      <c r="AL932" s="86">
        <v>0</v>
      </c>
      <c r="AM932" s="86">
        <f t="shared" si="101"/>
        <v>12198633</v>
      </c>
      <c r="AN932" s="63" t="s">
        <v>1155</v>
      </c>
      <c r="AO932" s="86">
        <f t="shared" si="102"/>
        <v>0</v>
      </c>
      <c r="AP932" s="63"/>
      <c r="AQ932" s="81">
        <v>43341</v>
      </c>
      <c r="AR932" s="63" t="s">
        <v>2109</v>
      </c>
      <c r="AS932" s="81">
        <v>43342</v>
      </c>
      <c r="AT932" s="63" t="s">
        <v>1453</v>
      </c>
      <c r="AU932" s="220"/>
      <c r="AV932" s="220"/>
      <c r="AW932" s="220"/>
    </row>
    <row r="933" spans="1:49" s="221" customFormat="1" ht="299.25" x14ac:dyDescent="0.25">
      <c r="A933" s="63">
        <v>519</v>
      </c>
      <c r="B933" s="63" t="str">
        <f t="shared" si="99"/>
        <v>3075-519</v>
      </c>
      <c r="C933" s="76" t="s">
        <v>1141</v>
      </c>
      <c r="D933" s="76" t="s">
        <v>1142</v>
      </c>
      <c r="E933" s="76" t="s">
        <v>1143</v>
      </c>
      <c r="F933" s="76" t="s">
        <v>1158</v>
      </c>
      <c r="G933" s="77" t="s">
        <v>1159</v>
      </c>
      <c r="H933" s="78" t="s">
        <v>1160</v>
      </c>
      <c r="I933" s="76" t="s">
        <v>1147</v>
      </c>
      <c r="J933" s="76" t="s">
        <v>1148</v>
      </c>
      <c r="K933" s="76">
        <v>93141506</v>
      </c>
      <c r="L933" s="63" t="s">
        <v>1149</v>
      </c>
      <c r="M933" s="63" t="s">
        <v>58</v>
      </c>
      <c r="N933" s="63" t="s">
        <v>59</v>
      </c>
      <c r="O933" s="76" t="s">
        <v>1213</v>
      </c>
      <c r="P933" s="76" t="s">
        <v>2639</v>
      </c>
      <c r="Q933" s="83">
        <v>8240000</v>
      </c>
      <c r="R933" s="63">
        <v>1</v>
      </c>
      <c r="S933" s="80">
        <v>30213333</v>
      </c>
      <c r="T933" s="63" t="s">
        <v>888</v>
      </c>
      <c r="U933" s="63" t="s">
        <v>1163</v>
      </c>
      <c r="V933" s="81" t="s">
        <v>875</v>
      </c>
      <c r="W933" s="82" t="s">
        <v>2625</v>
      </c>
      <c r="X933" s="63" t="s">
        <v>2640</v>
      </c>
      <c r="Y933" s="81">
        <v>43342</v>
      </c>
      <c r="Z933" s="83">
        <v>30213333</v>
      </c>
      <c r="AA933" s="84" t="s">
        <v>2627</v>
      </c>
      <c r="AB933" s="85">
        <v>1128</v>
      </c>
      <c r="AC933" s="81">
        <v>43343</v>
      </c>
      <c r="AD933" s="86">
        <v>30213333</v>
      </c>
      <c r="AE933" s="87">
        <f t="shared" si="98"/>
        <v>0</v>
      </c>
      <c r="AF933" s="85">
        <v>2792</v>
      </c>
      <c r="AG933" s="81">
        <v>43347</v>
      </c>
      <c r="AH933" s="86">
        <v>30213333</v>
      </c>
      <c r="AI933" s="63" t="s">
        <v>2641</v>
      </c>
      <c r="AJ933" s="63">
        <v>555</v>
      </c>
      <c r="AK933" s="87">
        <f t="shared" si="100"/>
        <v>0</v>
      </c>
      <c r="AL933" s="86">
        <v>0</v>
      </c>
      <c r="AM933" s="86">
        <f t="shared" si="101"/>
        <v>30213333</v>
      </c>
      <c r="AN933" s="63" t="s">
        <v>1155</v>
      </c>
      <c r="AO933" s="86">
        <f t="shared" si="102"/>
        <v>0</v>
      </c>
      <c r="AP933" s="63"/>
      <c r="AQ933" s="81">
        <v>43341</v>
      </c>
      <c r="AR933" s="63" t="s">
        <v>2109</v>
      </c>
      <c r="AS933" s="81">
        <v>43342</v>
      </c>
      <c r="AT933" s="63" t="s">
        <v>1453</v>
      </c>
      <c r="AU933" s="220"/>
      <c r="AV933" s="220"/>
      <c r="AW933" s="220"/>
    </row>
    <row r="934" spans="1:49" s="221" customFormat="1" ht="299.25" x14ac:dyDescent="0.25">
      <c r="A934" s="63">
        <v>520</v>
      </c>
      <c r="B934" s="63" t="str">
        <f t="shared" si="99"/>
        <v>3075-520</v>
      </c>
      <c r="C934" s="76" t="s">
        <v>1141</v>
      </c>
      <c r="D934" s="76" t="s">
        <v>1142</v>
      </c>
      <c r="E934" s="76" t="s">
        <v>1143</v>
      </c>
      <c r="F934" s="76" t="s">
        <v>1158</v>
      </c>
      <c r="G934" s="77" t="s">
        <v>1159</v>
      </c>
      <c r="H934" s="78" t="s">
        <v>1160</v>
      </c>
      <c r="I934" s="76" t="s">
        <v>1147</v>
      </c>
      <c r="J934" s="76" t="s">
        <v>1148</v>
      </c>
      <c r="K934" s="76">
        <v>93141506</v>
      </c>
      <c r="L934" s="63" t="s">
        <v>1149</v>
      </c>
      <c r="M934" s="63" t="s">
        <v>58</v>
      </c>
      <c r="N934" s="63" t="s">
        <v>59</v>
      </c>
      <c r="O934" s="76" t="s">
        <v>1213</v>
      </c>
      <c r="P934" s="76" t="s">
        <v>1287</v>
      </c>
      <c r="Q934" s="83">
        <v>5036700</v>
      </c>
      <c r="R934" s="63">
        <v>1</v>
      </c>
      <c r="S934" s="80">
        <v>18467900</v>
      </c>
      <c r="T934" s="63" t="s">
        <v>888</v>
      </c>
      <c r="U934" s="63" t="s">
        <v>1163</v>
      </c>
      <c r="V934" s="81" t="s">
        <v>875</v>
      </c>
      <c r="W934" s="82" t="s">
        <v>2625</v>
      </c>
      <c r="X934" s="63" t="s">
        <v>2642</v>
      </c>
      <c r="Y934" s="81">
        <v>43342</v>
      </c>
      <c r="Z934" s="83">
        <v>18467900</v>
      </c>
      <c r="AA934" s="84" t="s">
        <v>2627</v>
      </c>
      <c r="AB934" s="85">
        <v>1130</v>
      </c>
      <c r="AC934" s="81">
        <v>43343</v>
      </c>
      <c r="AD934" s="86">
        <v>18467900</v>
      </c>
      <c r="AE934" s="87">
        <f t="shared" si="98"/>
        <v>0</v>
      </c>
      <c r="AF934" s="85">
        <v>2851</v>
      </c>
      <c r="AG934" s="81">
        <v>43355</v>
      </c>
      <c r="AH934" s="86">
        <v>18467900</v>
      </c>
      <c r="AI934" s="63" t="s">
        <v>2643</v>
      </c>
      <c r="AJ934" s="63">
        <v>570</v>
      </c>
      <c r="AK934" s="87">
        <f t="shared" si="100"/>
        <v>0</v>
      </c>
      <c r="AL934" s="86">
        <v>0</v>
      </c>
      <c r="AM934" s="86">
        <f t="shared" si="101"/>
        <v>18467900</v>
      </c>
      <c r="AN934" s="63" t="s">
        <v>1155</v>
      </c>
      <c r="AO934" s="86">
        <f t="shared" si="102"/>
        <v>0</v>
      </c>
      <c r="AP934" s="63"/>
      <c r="AQ934" s="81">
        <v>43341</v>
      </c>
      <c r="AR934" s="63" t="s">
        <v>2109</v>
      </c>
      <c r="AS934" s="81">
        <v>43342</v>
      </c>
      <c r="AT934" s="63" t="s">
        <v>1453</v>
      </c>
      <c r="AU934" s="220"/>
      <c r="AV934" s="220"/>
      <c r="AW934" s="220"/>
    </row>
    <row r="935" spans="1:49" s="221" customFormat="1" ht="299.25" x14ac:dyDescent="0.25">
      <c r="A935" s="63">
        <v>521</v>
      </c>
      <c r="B935" s="63" t="str">
        <f t="shared" si="99"/>
        <v>3075-521</v>
      </c>
      <c r="C935" s="76" t="s">
        <v>1141</v>
      </c>
      <c r="D935" s="76" t="s">
        <v>1142</v>
      </c>
      <c r="E935" s="76" t="s">
        <v>1143</v>
      </c>
      <c r="F935" s="76" t="s">
        <v>1158</v>
      </c>
      <c r="G935" s="77" t="s">
        <v>1159</v>
      </c>
      <c r="H935" s="78" t="s">
        <v>1160</v>
      </c>
      <c r="I935" s="76" t="s">
        <v>1147</v>
      </c>
      <c r="J935" s="76" t="s">
        <v>1148</v>
      </c>
      <c r="K935" s="76">
        <v>80111600</v>
      </c>
      <c r="L935" s="63" t="s">
        <v>1149</v>
      </c>
      <c r="M935" s="63" t="s">
        <v>58</v>
      </c>
      <c r="N935" s="63" t="s">
        <v>59</v>
      </c>
      <c r="O935" s="76" t="s">
        <v>1213</v>
      </c>
      <c r="P935" s="76" t="s">
        <v>2594</v>
      </c>
      <c r="Q935" s="83">
        <v>4120000</v>
      </c>
      <c r="R935" s="63">
        <v>1</v>
      </c>
      <c r="S935" s="80">
        <f>Q935*R935*W935</f>
        <v>12360000</v>
      </c>
      <c r="T935" s="63"/>
      <c r="U935" s="63" t="s">
        <v>1163</v>
      </c>
      <c r="V935" s="81" t="s">
        <v>875</v>
      </c>
      <c r="W935" s="82">
        <v>3</v>
      </c>
      <c r="X935" s="63" t="s">
        <v>2644</v>
      </c>
      <c r="Y935" s="81">
        <v>43348</v>
      </c>
      <c r="Z935" s="83">
        <v>12360000</v>
      </c>
      <c r="AA935" s="84" t="s">
        <v>2627</v>
      </c>
      <c r="AB935" s="85">
        <v>1151</v>
      </c>
      <c r="AC935" s="81">
        <v>43353</v>
      </c>
      <c r="AD935" s="86">
        <v>12360000</v>
      </c>
      <c r="AE935" s="87">
        <f t="shared" si="98"/>
        <v>0</v>
      </c>
      <c r="AF935" s="85"/>
      <c r="AG935" s="81"/>
      <c r="AH935" s="86"/>
      <c r="AI935" s="86"/>
      <c r="AJ935" s="86"/>
      <c r="AK935" s="87">
        <f t="shared" si="100"/>
        <v>12360000</v>
      </c>
      <c r="AL935" s="86"/>
      <c r="AM935" s="86">
        <f t="shared" si="101"/>
        <v>0</v>
      </c>
      <c r="AN935" s="63" t="s">
        <v>1155</v>
      </c>
      <c r="AO935" s="86">
        <f t="shared" si="102"/>
        <v>12360000</v>
      </c>
      <c r="AP935" s="63"/>
      <c r="AQ935" s="81">
        <v>43347</v>
      </c>
      <c r="AR935" s="63" t="s">
        <v>2109</v>
      </c>
      <c r="AS935" s="81">
        <v>43348</v>
      </c>
      <c r="AT935" s="63" t="s">
        <v>1453</v>
      </c>
      <c r="AU935" s="220"/>
      <c r="AV935" s="220"/>
      <c r="AW935" s="220"/>
    </row>
    <row r="936" spans="1:49" s="221" customFormat="1" ht="327.75" x14ac:dyDescent="0.25">
      <c r="A936" s="63">
        <v>522</v>
      </c>
      <c r="B936" s="63" t="str">
        <f t="shared" si="99"/>
        <v>3075-522</v>
      </c>
      <c r="C936" s="76" t="s">
        <v>1141</v>
      </c>
      <c r="D936" s="76" t="s">
        <v>1142</v>
      </c>
      <c r="E936" s="76" t="s">
        <v>1174</v>
      </c>
      <c r="F936" s="76" t="s">
        <v>1175</v>
      </c>
      <c r="G936" s="77" t="s">
        <v>1176</v>
      </c>
      <c r="H936" s="78" t="s">
        <v>1177</v>
      </c>
      <c r="I936" s="76" t="s">
        <v>1191</v>
      </c>
      <c r="J936" s="76" t="s">
        <v>1192</v>
      </c>
      <c r="K936" s="76" t="s">
        <v>439</v>
      </c>
      <c r="L936" s="63" t="s">
        <v>1149</v>
      </c>
      <c r="M936" s="63" t="s">
        <v>58</v>
      </c>
      <c r="N936" s="63" t="s">
        <v>59</v>
      </c>
      <c r="O936" s="76" t="s">
        <v>1169</v>
      </c>
      <c r="P936" s="76" t="s">
        <v>2645</v>
      </c>
      <c r="Q936" s="79">
        <v>39062100</v>
      </c>
      <c r="R936" s="63">
        <v>1</v>
      </c>
      <c r="S936" s="80">
        <f>Q936*R936*W936</f>
        <v>39062100</v>
      </c>
      <c r="T936" s="63"/>
      <c r="U936" s="63" t="s">
        <v>1171</v>
      </c>
      <c r="V936" s="81" t="s">
        <v>875</v>
      </c>
      <c r="W936" s="82">
        <v>1</v>
      </c>
      <c r="X936" s="90" t="s">
        <v>2646</v>
      </c>
      <c r="Y936" s="81">
        <v>43349</v>
      </c>
      <c r="Z936" s="83">
        <v>39062100</v>
      </c>
      <c r="AA936" s="84" t="s">
        <v>2164</v>
      </c>
      <c r="AB936" s="85">
        <v>1152</v>
      </c>
      <c r="AC936" s="81">
        <v>43353</v>
      </c>
      <c r="AD936" s="86">
        <v>39062100</v>
      </c>
      <c r="AE936" s="87">
        <f t="shared" si="98"/>
        <v>0</v>
      </c>
      <c r="AF936" s="85"/>
      <c r="AG936" s="81"/>
      <c r="AH936" s="86"/>
      <c r="AI936" s="63"/>
      <c r="AJ936" s="63"/>
      <c r="AK936" s="87">
        <f t="shared" si="100"/>
        <v>39062100</v>
      </c>
      <c r="AL936" s="86"/>
      <c r="AM936" s="86">
        <f t="shared" si="101"/>
        <v>0</v>
      </c>
      <c r="AN936" s="63" t="s">
        <v>1155</v>
      </c>
      <c r="AO936" s="86">
        <f t="shared" si="102"/>
        <v>39062100</v>
      </c>
      <c r="AP936" s="63"/>
      <c r="AQ936" s="81">
        <v>43348</v>
      </c>
      <c r="AR936" s="63" t="s">
        <v>2109</v>
      </c>
      <c r="AS936" s="81">
        <v>43349</v>
      </c>
      <c r="AT936" s="76" t="s">
        <v>2645</v>
      </c>
      <c r="AU936" s="220"/>
      <c r="AV936" s="220"/>
      <c r="AW936" s="220"/>
    </row>
    <row r="937" spans="1:49" s="221" customFormat="1" ht="228" x14ac:dyDescent="0.25">
      <c r="A937" s="63">
        <v>523</v>
      </c>
      <c r="B937" s="63" t="str">
        <f t="shared" si="99"/>
        <v>3075-523</v>
      </c>
      <c r="C937" s="76" t="s">
        <v>1141</v>
      </c>
      <c r="D937" s="76" t="s">
        <v>1142</v>
      </c>
      <c r="E937" s="76" t="s">
        <v>1174</v>
      </c>
      <c r="F937" s="76" t="s">
        <v>1175</v>
      </c>
      <c r="G937" s="77" t="s">
        <v>1176</v>
      </c>
      <c r="H937" s="78" t="s">
        <v>1177</v>
      </c>
      <c r="I937" s="76" t="s">
        <v>1147</v>
      </c>
      <c r="J937" s="76" t="s">
        <v>1178</v>
      </c>
      <c r="K937" s="76" t="s">
        <v>439</v>
      </c>
      <c r="L937" s="63" t="s">
        <v>1149</v>
      </c>
      <c r="M937" s="63" t="s">
        <v>58</v>
      </c>
      <c r="N937" s="63" t="s">
        <v>59</v>
      </c>
      <c r="O937" s="76" t="s">
        <v>1169</v>
      </c>
      <c r="P937" s="76" t="s">
        <v>2647</v>
      </c>
      <c r="Q937" s="79">
        <v>39062100</v>
      </c>
      <c r="R937" s="63">
        <v>1</v>
      </c>
      <c r="S937" s="80">
        <f>Q937*R937*W937</f>
        <v>39062100</v>
      </c>
      <c r="T937" s="63"/>
      <c r="U937" s="63" t="s">
        <v>1171</v>
      </c>
      <c r="V937" s="81" t="s">
        <v>875</v>
      </c>
      <c r="W937" s="82">
        <v>1</v>
      </c>
      <c r="X937" s="90" t="s">
        <v>2648</v>
      </c>
      <c r="Y937" s="89">
        <v>43357</v>
      </c>
      <c r="Z937" s="83">
        <v>39062100</v>
      </c>
      <c r="AA937" s="84" t="s">
        <v>2649</v>
      </c>
      <c r="AB937" s="85">
        <v>1164</v>
      </c>
      <c r="AC937" s="81">
        <v>43360</v>
      </c>
      <c r="AD937" s="86">
        <v>39062100</v>
      </c>
      <c r="AE937" s="87">
        <f t="shared" si="98"/>
        <v>0</v>
      </c>
      <c r="AF937" s="85"/>
      <c r="AG937" s="81"/>
      <c r="AH937" s="86"/>
      <c r="AI937" s="63"/>
      <c r="AJ937" s="63"/>
      <c r="AK937" s="87">
        <f t="shared" si="100"/>
        <v>39062100</v>
      </c>
      <c r="AL937" s="86"/>
      <c r="AM937" s="86">
        <f t="shared" si="101"/>
        <v>0</v>
      </c>
      <c r="AN937" s="63" t="s">
        <v>1155</v>
      </c>
      <c r="AO937" s="86">
        <f t="shared" si="102"/>
        <v>39062100</v>
      </c>
      <c r="AP937" s="63"/>
      <c r="AQ937" s="81">
        <v>43356</v>
      </c>
      <c r="AR937" s="63" t="s">
        <v>2109</v>
      </c>
      <c r="AS937" s="81">
        <v>43357</v>
      </c>
      <c r="AT937" s="63" t="s">
        <v>2647</v>
      </c>
      <c r="AU937" s="220"/>
      <c r="AV937" s="220"/>
      <c r="AW937" s="220"/>
    </row>
    <row r="938" spans="1:49" s="221" customFormat="1" ht="285" x14ac:dyDescent="0.25">
      <c r="A938" s="63">
        <v>524</v>
      </c>
      <c r="B938" s="63" t="str">
        <f t="shared" si="99"/>
        <v>3075-524</v>
      </c>
      <c r="C938" s="76" t="s">
        <v>1141</v>
      </c>
      <c r="D938" s="76" t="s">
        <v>1142</v>
      </c>
      <c r="E938" s="76" t="s">
        <v>1174</v>
      </c>
      <c r="F938" s="76" t="s">
        <v>1175</v>
      </c>
      <c r="G938" s="77" t="s">
        <v>1176</v>
      </c>
      <c r="H938" s="78" t="s">
        <v>1177</v>
      </c>
      <c r="I938" s="76" t="s">
        <v>1147</v>
      </c>
      <c r="J938" s="76" t="s">
        <v>1178</v>
      </c>
      <c r="K938" s="76" t="s">
        <v>439</v>
      </c>
      <c r="L938" s="63" t="s">
        <v>1149</v>
      </c>
      <c r="M938" s="63" t="s">
        <v>58</v>
      </c>
      <c r="N938" s="63" t="s">
        <v>59</v>
      </c>
      <c r="O938" s="76" t="s">
        <v>1169</v>
      </c>
      <c r="P938" s="76" t="s">
        <v>2650</v>
      </c>
      <c r="Q938" s="79">
        <v>54686940</v>
      </c>
      <c r="R938" s="63">
        <v>1</v>
      </c>
      <c r="S938" s="80">
        <f>Q938*R938*W938</f>
        <v>54686940</v>
      </c>
      <c r="T938" s="63"/>
      <c r="U938" s="63" t="s">
        <v>1171</v>
      </c>
      <c r="V938" s="81" t="s">
        <v>875</v>
      </c>
      <c r="W938" s="82">
        <v>1</v>
      </c>
      <c r="X938" s="90" t="s">
        <v>2651</v>
      </c>
      <c r="Y938" s="89">
        <v>43357</v>
      </c>
      <c r="Z938" s="83">
        <v>54686940</v>
      </c>
      <c r="AA938" s="84" t="s">
        <v>2649</v>
      </c>
      <c r="AB938" s="85">
        <v>1165</v>
      </c>
      <c r="AC938" s="81">
        <v>43360</v>
      </c>
      <c r="AD938" s="86">
        <v>54686940</v>
      </c>
      <c r="AE938" s="87">
        <f t="shared" si="98"/>
        <v>0</v>
      </c>
      <c r="AF938" s="85"/>
      <c r="AG938" s="81"/>
      <c r="AH938" s="86"/>
      <c r="AI938" s="63"/>
      <c r="AJ938" s="63"/>
      <c r="AK938" s="87">
        <f t="shared" si="100"/>
        <v>54686940</v>
      </c>
      <c r="AL938" s="86"/>
      <c r="AM938" s="86">
        <f t="shared" si="101"/>
        <v>0</v>
      </c>
      <c r="AN938" s="63" t="s">
        <v>1155</v>
      </c>
      <c r="AO938" s="86">
        <f t="shared" si="102"/>
        <v>54686940</v>
      </c>
      <c r="AP938" s="63"/>
      <c r="AQ938" s="81">
        <v>43356</v>
      </c>
      <c r="AR938" s="63" t="s">
        <v>2109</v>
      </c>
      <c r="AS938" s="81">
        <v>43357</v>
      </c>
      <c r="AT938" s="63" t="s">
        <v>2650</v>
      </c>
      <c r="AU938" s="220"/>
      <c r="AV938" s="220"/>
      <c r="AW938" s="220"/>
    </row>
    <row r="939" spans="1:49" s="221" customFormat="1" ht="199.5" x14ac:dyDescent="0.25">
      <c r="A939" s="63">
        <v>525</v>
      </c>
      <c r="B939" s="63" t="str">
        <f t="shared" si="99"/>
        <v>3075-525</v>
      </c>
      <c r="C939" s="76" t="s">
        <v>1141</v>
      </c>
      <c r="D939" s="76" t="s">
        <v>1142</v>
      </c>
      <c r="E939" s="76" t="s">
        <v>1174</v>
      </c>
      <c r="F939" s="76" t="s">
        <v>1175</v>
      </c>
      <c r="G939" s="77" t="s">
        <v>1176</v>
      </c>
      <c r="H939" s="78" t="s">
        <v>1177</v>
      </c>
      <c r="I939" s="76" t="s">
        <v>1191</v>
      </c>
      <c r="J939" s="76" t="s">
        <v>1192</v>
      </c>
      <c r="K939" s="76" t="s">
        <v>439</v>
      </c>
      <c r="L939" s="63" t="s">
        <v>1149</v>
      </c>
      <c r="M939" s="63" t="s">
        <v>58</v>
      </c>
      <c r="N939" s="63" t="s">
        <v>59</v>
      </c>
      <c r="O939" s="76" t="s">
        <v>1169</v>
      </c>
      <c r="P939" s="76" t="s">
        <v>2652</v>
      </c>
      <c r="Q939" s="80">
        <v>90000</v>
      </c>
      <c r="R939" s="63">
        <v>1</v>
      </c>
      <c r="S939" s="80">
        <v>90000</v>
      </c>
      <c r="T939" s="63"/>
      <c r="U939" s="63" t="s">
        <v>1171</v>
      </c>
      <c r="V939" s="81" t="s">
        <v>875</v>
      </c>
      <c r="W939" s="82" t="s">
        <v>439</v>
      </c>
      <c r="X939" s="90" t="s">
        <v>2653</v>
      </c>
      <c r="Y939" s="81">
        <v>43361</v>
      </c>
      <c r="Z939" s="80">
        <v>90000</v>
      </c>
      <c r="AA939" s="84" t="s">
        <v>2654</v>
      </c>
      <c r="AB939" s="85">
        <v>1173</v>
      </c>
      <c r="AC939" s="81">
        <v>43363</v>
      </c>
      <c r="AD939" s="86">
        <v>90000</v>
      </c>
      <c r="AE939" s="87">
        <f t="shared" si="98"/>
        <v>0</v>
      </c>
      <c r="AF939" s="85"/>
      <c r="AG939" s="81"/>
      <c r="AH939" s="86"/>
      <c r="AI939" s="63"/>
      <c r="AJ939" s="63"/>
      <c r="AK939" s="87">
        <f t="shared" si="100"/>
        <v>90000</v>
      </c>
      <c r="AL939" s="86"/>
      <c r="AM939" s="86">
        <f t="shared" si="101"/>
        <v>0</v>
      </c>
      <c r="AN939" s="63" t="s">
        <v>1155</v>
      </c>
      <c r="AO939" s="86">
        <f t="shared" si="102"/>
        <v>90000</v>
      </c>
      <c r="AP939" s="63"/>
      <c r="AQ939" s="81">
        <v>43361</v>
      </c>
      <c r="AR939" s="63" t="s">
        <v>2109</v>
      </c>
      <c r="AS939" s="81">
        <v>43361</v>
      </c>
      <c r="AT939" s="63"/>
      <c r="AU939" s="220"/>
      <c r="AV939" s="220"/>
      <c r="AW939" s="220"/>
    </row>
    <row r="940" spans="1:49" s="221" customFormat="1" ht="342" x14ac:dyDescent="0.25">
      <c r="A940" s="63">
        <v>526</v>
      </c>
      <c r="B940" s="63" t="str">
        <f t="shared" si="99"/>
        <v>3075-526</v>
      </c>
      <c r="C940" s="76" t="s">
        <v>1141</v>
      </c>
      <c r="D940" s="76" t="s">
        <v>1142</v>
      </c>
      <c r="E940" s="76" t="s">
        <v>1143</v>
      </c>
      <c r="F940" s="76" t="s">
        <v>1158</v>
      </c>
      <c r="G940" s="77" t="s">
        <v>1159</v>
      </c>
      <c r="H940" s="78" t="s">
        <v>1160</v>
      </c>
      <c r="I940" s="76" t="s">
        <v>1147</v>
      </c>
      <c r="J940" s="76" t="s">
        <v>1148</v>
      </c>
      <c r="K940" s="76">
        <v>80111600</v>
      </c>
      <c r="L940" s="63" t="s">
        <v>1149</v>
      </c>
      <c r="M940" s="63" t="s">
        <v>58</v>
      </c>
      <c r="N940" s="63" t="s">
        <v>59</v>
      </c>
      <c r="O940" s="76" t="s">
        <v>1213</v>
      </c>
      <c r="P940" s="76" t="s">
        <v>2655</v>
      </c>
      <c r="Q940" s="83">
        <f>(S940/W940)/R940</f>
        <v>3553500</v>
      </c>
      <c r="R940" s="63">
        <v>1</v>
      </c>
      <c r="S940" s="80">
        <f>11371200</f>
        <v>11371200</v>
      </c>
      <c r="T940" s="63" t="s">
        <v>888</v>
      </c>
      <c r="U940" s="63" t="s">
        <v>1163</v>
      </c>
      <c r="V940" s="81" t="s">
        <v>875</v>
      </c>
      <c r="W940" s="82">
        <v>3.2</v>
      </c>
      <c r="X940" s="63" t="s">
        <v>2656</v>
      </c>
      <c r="Y940" s="81">
        <v>43364</v>
      </c>
      <c r="Z940" s="80">
        <f>11371200</f>
        <v>11371200</v>
      </c>
      <c r="AA940" s="84" t="s">
        <v>2657</v>
      </c>
      <c r="AB940" s="85">
        <v>1176</v>
      </c>
      <c r="AC940" s="81">
        <v>43364</v>
      </c>
      <c r="AD940" s="86">
        <v>11371200</v>
      </c>
      <c r="AE940" s="87">
        <f t="shared" si="98"/>
        <v>0</v>
      </c>
      <c r="AF940" s="85">
        <v>2928</v>
      </c>
      <c r="AG940" s="81">
        <v>43367</v>
      </c>
      <c r="AH940" s="86">
        <v>11371200</v>
      </c>
      <c r="AI940" s="63" t="s">
        <v>1383</v>
      </c>
      <c r="AJ940" s="63">
        <v>370</v>
      </c>
      <c r="AK940" s="87"/>
      <c r="AL940" s="86">
        <v>0</v>
      </c>
      <c r="AM940" s="86">
        <f t="shared" si="101"/>
        <v>11371200</v>
      </c>
      <c r="AN940" s="63" t="s">
        <v>1155</v>
      </c>
      <c r="AO940" s="86">
        <f t="shared" si="102"/>
        <v>0</v>
      </c>
      <c r="AP940" s="63"/>
      <c r="AQ940" s="81">
        <v>43364</v>
      </c>
      <c r="AR940" s="63" t="s">
        <v>2109</v>
      </c>
      <c r="AS940" s="81">
        <v>43364</v>
      </c>
      <c r="AT940" s="63"/>
      <c r="AU940" s="220"/>
      <c r="AV940" s="220"/>
      <c r="AW940" s="220"/>
    </row>
    <row r="941" spans="1:49" s="221" customFormat="1" ht="299.25" x14ac:dyDescent="0.25">
      <c r="A941" s="63">
        <v>527</v>
      </c>
      <c r="B941" s="63" t="str">
        <f t="shared" si="99"/>
        <v>3075-527</v>
      </c>
      <c r="C941" s="76" t="s">
        <v>1141</v>
      </c>
      <c r="D941" s="76" t="s">
        <v>1142</v>
      </c>
      <c r="E941" s="76" t="s">
        <v>1143</v>
      </c>
      <c r="F941" s="76" t="s">
        <v>1158</v>
      </c>
      <c r="G941" s="77" t="s">
        <v>1159</v>
      </c>
      <c r="H941" s="78" t="s">
        <v>1160</v>
      </c>
      <c r="I941" s="76" t="s">
        <v>1147</v>
      </c>
      <c r="J941" s="76" t="s">
        <v>1148</v>
      </c>
      <c r="K941" s="76">
        <v>93141506</v>
      </c>
      <c r="L941" s="63" t="s">
        <v>1149</v>
      </c>
      <c r="M941" s="63" t="s">
        <v>58</v>
      </c>
      <c r="N941" s="63" t="s">
        <v>59</v>
      </c>
      <c r="O941" s="76" t="s">
        <v>1213</v>
      </c>
      <c r="P941" s="76" t="s">
        <v>1287</v>
      </c>
      <c r="Q941" s="83">
        <v>3553500</v>
      </c>
      <c r="R941" s="63">
        <v>1</v>
      </c>
      <c r="S941" s="80">
        <v>11252750</v>
      </c>
      <c r="T941" s="63"/>
      <c r="U941" s="63" t="s">
        <v>1163</v>
      </c>
      <c r="V941" s="81" t="s">
        <v>875</v>
      </c>
      <c r="W941" s="82">
        <v>3</v>
      </c>
      <c r="X941" s="63" t="s">
        <v>2658</v>
      </c>
      <c r="Y941" s="81">
        <v>43368</v>
      </c>
      <c r="Z941" s="83">
        <v>11252750</v>
      </c>
      <c r="AA941" s="84" t="s">
        <v>2627</v>
      </c>
      <c r="AB941" s="85">
        <v>1195</v>
      </c>
      <c r="AC941" s="81">
        <v>43369</v>
      </c>
      <c r="AD941" s="86">
        <v>11252750</v>
      </c>
      <c r="AE941" s="87">
        <f t="shared" si="98"/>
        <v>0</v>
      </c>
      <c r="AF941" s="85"/>
      <c r="AG941" s="81"/>
      <c r="AH941" s="86"/>
      <c r="AI941" s="86"/>
      <c r="AJ941" s="86"/>
      <c r="AK941" s="87">
        <f>AD941-AH941</f>
        <v>11252750</v>
      </c>
      <c r="AL941" s="86"/>
      <c r="AM941" s="86">
        <f t="shared" si="101"/>
        <v>0</v>
      </c>
      <c r="AN941" s="63" t="s">
        <v>1155</v>
      </c>
      <c r="AO941" s="86">
        <f t="shared" si="102"/>
        <v>11252750</v>
      </c>
      <c r="AP941" s="63"/>
      <c r="AQ941" s="81">
        <v>43367</v>
      </c>
      <c r="AR941" s="63" t="s">
        <v>2109</v>
      </c>
      <c r="AS941" s="81">
        <v>43367</v>
      </c>
      <c r="AT941" s="63" t="s">
        <v>1453</v>
      </c>
      <c r="AU941" s="220"/>
      <c r="AV941" s="220"/>
      <c r="AW941" s="220"/>
    </row>
    <row r="942" spans="1:49" s="221" customFormat="1" ht="299.25" x14ac:dyDescent="0.25">
      <c r="A942" s="63">
        <v>528</v>
      </c>
      <c r="B942" s="63" t="str">
        <f t="shared" si="99"/>
        <v>3075-528</v>
      </c>
      <c r="C942" s="76" t="s">
        <v>1141</v>
      </c>
      <c r="D942" s="76" t="s">
        <v>1142</v>
      </c>
      <c r="E942" s="76" t="s">
        <v>1143</v>
      </c>
      <c r="F942" s="76" t="s">
        <v>1158</v>
      </c>
      <c r="G942" s="77" t="s">
        <v>1159</v>
      </c>
      <c r="H942" s="78" t="s">
        <v>1160</v>
      </c>
      <c r="I942" s="76" t="s">
        <v>1147</v>
      </c>
      <c r="J942" s="76" t="s">
        <v>1148</v>
      </c>
      <c r="K942" s="76">
        <v>93141506</v>
      </c>
      <c r="L942" s="63" t="s">
        <v>1149</v>
      </c>
      <c r="M942" s="63" t="s">
        <v>58</v>
      </c>
      <c r="N942" s="63" t="s">
        <v>59</v>
      </c>
      <c r="O942" s="76" t="s">
        <v>1213</v>
      </c>
      <c r="P942" s="76" t="s">
        <v>2659</v>
      </c>
      <c r="Q942" s="83">
        <v>5036700</v>
      </c>
      <c r="R942" s="63">
        <v>1</v>
      </c>
      <c r="S942" s="80">
        <v>15949550</v>
      </c>
      <c r="T942" s="63"/>
      <c r="U942" s="63" t="s">
        <v>1163</v>
      </c>
      <c r="V942" s="81" t="s">
        <v>875</v>
      </c>
      <c r="W942" s="82">
        <v>9</v>
      </c>
      <c r="X942" s="63" t="s">
        <v>2660</v>
      </c>
      <c r="Y942" s="81">
        <v>43368</v>
      </c>
      <c r="Z942" s="83">
        <v>15949550</v>
      </c>
      <c r="AA942" s="84" t="s">
        <v>2661</v>
      </c>
      <c r="AB942" s="85">
        <v>1194</v>
      </c>
      <c r="AC942" s="81">
        <v>43369</v>
      </c>
      <c r="AD942" s="86">
        <v>15949550</v>
      </c>
      <c r="AE942" s="87">
        <f t="shared" si="98"/>
        <v>0</v>
      </c>
      <c r="AF942" s="85"/>
      <c r="AG942" s="81"/>
      <c r="AH942" s="86"/>
      <c r="AI942" s="63"/>
      <c r="AJ942" s="63"/>
      <c r="AK942" s="87">
        <f>AD942-AH942</f>
        <v>15949550</v>
      </c>
      <c r="AL942" s="86"/>
      <c r="AM942" s="86">
        <f t="shared" si="101"/>
        <v>0</v>
      </c>
      <c r="AN942" s="63" t="s">
        <v>1155</v>
      </c>
      <c r="AO942" s="86">
        <f t="shared" si="102"/>
        <v>15949550</v>
      </c>
      <c r="AP942" s="63"/>
      <c r="AQ942" s="81">
        <v>43367</v>
      </c>
      <c r="AR942" s="63" t="s">
        <v>2109</v>
      </c>
      <c r="AS942" s="81">
        <v>43367</v>
      </c>
      <c r="AT942" s="63" t="s">
        <v>1453</v>
      </c>
      <c r="AU942" s="220"/>
      <c r="AV942" s="220"/>
      <c r="AW942" s="220"/>
    </row>
    <row r="943" spans="1:49" s="221" customFormat="1" ht="342" x14ac:dyDescent="0.25">
      <c r="A943" s="63">
        <v>529</v>
      </c>
      <c r="B943" s="63" t="str">
        <f t="shared" si="99"/>
        <v>3075-529</v>
      </c>
      <c r="C943" s="76" t="s">
        <v>1141</v>
      </c>
      <c r="D943" s="76" t="s">
        <v>1142</v>
      </c>
      <c r="E943" s="76" t="s">
        <v>1143</v>
      </c>
      <c r="F943" s="76" t="s">
        <v>1158</v>
      </c>
      <c r="G943" s="77" t="s">
        <v>1159</v>
      </c>
      <c r="H943" s="78" t="s">
        <v>1160</v>
      </c>
      <c r="I943" s="76" t="s">
        <v>1147</v>
      </c>
      <c r="J943" s="76" t="s">
        <v>1148</v>
      </c>
      <c r="K943" s="76">
        <v>80111600</v>
      </c>
      <c r="L943" s="63" t="s">
        <v>1149</v>
      </c>
      <c r="M943" s="63" t="s">
        <v>58</v>
      </c>
      <c r="N943" s="63" t="s">
        <v>59</v>
      </c>
      <c r="O943" s="76" t="s">
        <v>1213</v>
      </c>
      <c r="P943" s="76" t="s">
        <v>2662</v>
      </c>
      <c r="Q943" s="83">
        <v>3326900</v>
      </c>
      <c r="R943" s="63">
        <v>1</v>
      </c>
      <c r="S943" s="80">
        <v>10535183</v>
      </c>
      <c r="T943" s="63"/>
      <c r="U943" s="63" t="s">
        <v>1163</v>
      </c>
      <c r="V943" s="81" t="s">
        <v>875</v>
      </c>
      <c r="W943" s="82">
        <v>9</v>
      </c>
      <c r="X943" s="63" t="s">
        <v>2663</v>
      </c>
      <c r="Y943" s="81">
        <v>43368</v>
      </c>
      <c r="Z943" s="83">
        <v>10535183</v>
      </c>
      <c r="AA943" s="84" t="s">
        <v>2661</v>
      </c>
      <c r="AB943" s="85">
        <v>1193</v>
      </c>
      <c r="AC943" s="81">
        <v>43369</v>
      </c>
      <c r="AD943" s="86">
        <v>10535183</v>
      </c>
      <c r="AE943" s="87">
        <f t="shared" si="98"/>
        <v>0</v>
      </c>
      <c r="AF943" s="85"/>
      <c r="AG943" s="81"/>
      <c r="AH943" s="86"/>
      <c r="AI943" s="63"/>
      <c r="AJ943" s="63"/>
      <c r="AK943" s="87">
        <f>AD943-AH943</f>
        <v>10535183</v>
      </c>
      <c r="AL943" s="86"/>
      <c r="AM943" s="86">
        <f t="shared" si="101"/>
        <v>0</v>
      </c>
      <c r="AN943" s="63" t="s">
        <v>1155</v>
      </c>
      <c r="AO943" s="86">
        <f t="shared" si="102"/>
        <v>10535183</v>
      </c>
      <c r="AP943" s="63"/>
      <c r="AQ943" s="81">
        <v>43367</v>
      </c>
      <c r="AR943" s="63" t="s">
        <v>2109</v>
      </c>
      <c r="AS943" s="81">
        <v>43367</v>
      </c>
      <c r="AT943" s="63" t="s">
        <v>1453</v>
      </c>
      <c r="AU943" s="220"/>
      <c r="AV943" s="220"/>
      <c r="AW943" s="220"/>
    </row>
    <row r="944" spans="1:49" s="221" customFormat="1" ht="299.25" x14ac:dyDescent="0.25">
      <c r="A944" s="63">
        <v>530</v>
      </c>
      <c r="B944" s="63" t="str">
        <f t="shared" si="99"/>
        <v>3075-530</v>
      </c>
      <c r="C944" s="76" t="s">
        <v>1141</v>
      </c>
      <c r="D944" s="76" t="s">
        <v>1142</v>
      </c>
      <c r="E944" s="76" t="s">
        <v>1143</v>
      </c>
      <c r="F944" s="76" t="s">
        <v>1158</v>
      </c>
      <c r="G944" s="77" t="s">
        <v>1159</v>
      </c>
      <c r="H944" s="78" t="s">
        <v>1160</v>
      </c>
      <c r="I944" s="76" t="s">
        <v>1147</v>
      </c>
      <c r="J944" s="76" t="s">
        <v>1148</v>
      </c>
      <c r="K944" s="76">
        <v>80111600</v>
      </c>
      <c r="L944" s="63" t="s">
        <v>1149</v>
      </c>
      <c r="M944" s="63" t="s">
        <v>58</v>
      </c>
      <c r="N944" s="63" t="s">
        <v>59</v>
      </c>
      <c r="O944" s="76" t="s">
        <v>1213</v>
      </c>
      <c r="P944" s="76" t="s">
        <v>2664</v>
      </c>
      <c r="Q944" s="83">
        <f>(S944/W944)/R944</f>
        <v>5036700.5925530111</v>
      </c>
      <c r="R944" s="63">
        <v>1</v>
      </c>
      <c r="S944" s="80">
        <v>14270650</v>
      </c>
      <c r="T944" s="63"/>
      <c r="U944" s="63" t="s">
        <v>1163</v>
      </c>
      <c r="V944" s="81" t="s">
        <v>875</v>
      </c>
      <c r="W944" s="82">
        <v>2.8333330000000001</v>
      </c>
      <c r="X944" s="63" t="s">
        <v>2665</v>
      </c>
      <c r="Y944" s="81">
        <v>43367</v>
      </c>
      <c r="Z944" s="83">
        <v>14270650</v>
      </c>
      <c r="AA944" s="84" t="s">
        <v>2666</v>
      </c>
      <c r="AB944" s="85">
        <v>1196</v>
      </c>
      <c r="AC944" s="81">
        <v>43369</v>
      </c>
      <c r="AD944" s="86">
        <v>14270650</v>
      </c>
      <c r="AE944" s="87">
        <f t="shared" si="98"/>
        <v>0</v>
      </c>
      <c r="AF944" s="85"/>
      <c r="AG944" s="81"/>
      <c r="AH944" s="86"/>
      <c r="AI944" s="63"/>
      <c r="AJ944" s="63"/>
      <c r="AK944" s="87"/>
      <c r="AL944" s="86"/>
      <c r="AM944" s="86">
        <f t="shared" si="101"/>
        <v>0</v>
      </c>
      <c r="AN944" s="63" t="s">
        <v>1155</v>
      </c>
      <c r="AO944" s="86">
        <f t="shared" si="102"/>
        <v>14270650</v>
      </c>
      <c r="AP944" s="63"/>
      <c r="AQ944" s="81">
        <v>43367</v>
      </c>
      <c r="AR944" s="63" t="s">
        <v>2109</v>
      </c>
      <c r="AS944" s="81">
        <v>43367</v>
      </c>
      <c r="AT944" s="63" t="s">
        <v>1453</v>
      </c>
      <c r="AU944" s="220"/>
      <c r="AV944" s="220"/>
      <c r="AW944" s="220"/>
    </row>
    <row r="945" spans="1:49" s="221" customFormat="1" ht="299.25" x14ac:dyDescent="0.25">
      <c r="A945" s="63">
        <v>531</v>
      </c>
      <c r="B945" s="63" t="str">
        <f t="shared" si="99"/>
        <v>3075-531</v>
      </c>
      <c r="C945" s="76" t="s">
        <v>1141</v>
      </c>
      <c r="D945" s="76" t="s">
        <v>1142</v>
      </c>
      <c r="E945" s="76" t="s">
        <v>1143</v>
      </c>
      <c r="F945" s="76" t="s">
        <v>1158</v>
      </c>
      <c r="G945" s="77" t="s">
        <v>1159</v>
      </c>
      <c r="H945" s="78" t="s">
        <v>1160</v>
      </c>
      <c r="I945" s="76" t="s">
        <v>1147</v>
      </c>
      <c r="J945" s="76" t="s">
        <v>1148</v>
      </c>
      <c r="K945" s="76">
        <v>80111600</v>
      </c>
      <c r="L945" s="63" t="s">
        <v>1149</v>
      </c>
      <c r="M945" s="63" t="s">
        <v>58</v>
      </c>
      <c r="N945" s="63" t="s">
        <v>59</v>
      </c>
      <c r="O945" s="76" t="s">
        <v>1213</v>
      </c>
      <c r="P945" s="76" t="s">
        <v>2667</v>
      </c>
      <c r="Q945" s="83">
        <v>1545000</v>
      </c>
      <c r="R945" s="63">
        <v>1</v>
      </c>
      <c r="S945" s="80">
        <v>4892500</v>
      </c>
      <c r="T945" s="63"/>
      <c r="U945" s="63" t="s">
        <v>1163</v>
      </c>
      <c r="V945" s="81" t="s">
        <v>875</v>
      </c>
      <c r="W945" s="82">
        <v>3</v>
      </c>
      <c r="X945" s="63" t="s">
        <v>2668</v>
      </c>
      <c r="Y945" s="81">
        <v>43368</v>
      </c>
      <c r="Z945" s="83">
        <v>4892500</v>
      </c>
      <c r="AA945" s="84" t="s">
        <v>2669</v>
      </c>
      <c r="AB945" s="85">
        <v>1191</v>
      </c>
      <c r="AC945" s="81">
        <v>43369</v>
      </c>
      <c r="AD945" s="86">
        <v>4892500</v>
      </c>
      <c r="AE945" s="87">
        <f t="shared" si="98"/>
        <v>0</v>
      </c>
      <c r="AF945" s="85"/>
      <c r="AG945" s="81"/>
      <c r="AH945" s="86"/>
      <c r="AI945" s="63"/>
      <c r="AJ945" s="63"/>
      <c r="AK945" s="87">
        <f t="shared" ref="AK945:AK1009" si="103">AD945-AH945</f>
        <v>4892500</v>
      </c>
      <c r="AL945" s="86"/>
      <c r="AM945" s="86">
        <f t="shared" si="101"/>
        <v>0</v>
      </c>
      <c r="AN945" s="63" t="s">
        <v>1155</v>
      </c>
      <c r="AO945" s="86">
        <f t="shared" si="102"/>
        <v>4892500</v>
      </c>
      <c r="AP945" s="63"/>
      <c r="AQ945" s="81">
        <v>43367</v>
      </c>
      <c r="AR945" s="63" t="s">
        <v>2109</v>
      </c>
      <c r="AS945" s="81">
        <v>43368</v>
      </c>
      <c r="AT945" s="63" t="s">
        <v>1453</v>
      </c>
      <c r="AU945" s="220"/>
      <c r="AV945" s="220"/>
      <c r="AW945" s="220"/>
    </row>
    <row r="946" spans="1:49" s="221" customFormat="1" ht="299.25" x14ac:dyDescent="0.25">
      <c r="A946" s="63">
        <v>532</v>
      </c>
      <c r="B946" s="63" t="str">
        <f t="shared" si="99"/>
        <v>3075-532</v>
      </c>
      <c r="C946" s="76" t="s">
        <v>1141</v>
      </c>
      <c r="D946" s="76" t="s">
        <v>1142</v>
      </c>
      <c r="E946" s="76" t="s">
        <v>1143</v>
      </c>
      <c r="F946" s="76" t="s">
        <v>1158</v>
      </c>
      <c r="G946" s="77" t="s">
        <v>1159</v>
      </c>
      <c r="H946" s="78" t="s">
        <v>1160</v>
      </c>
      <c r="I946" s="76" t="s">
        <v>1147</v>
      </c>
      <c r="J946" s="76" t="s">
        <v>1148</v>
      </c>
      <c r="K946" s="76">
        <v>80111600</v>
      </c>
      <c r="L946" s="63" t="s">
        <v>1149</v>
      </c>
      <c r="M946" s="63" t="s">
        <v>58</v>
      </c>
      <c r="N946" s="63" t="s">
        <v>59</v>
      </c>
      <c r="O946" s="76" t="s">
        <v>1213</v>
      </c>
      <c r="P946" s="76" t="s">
        <v>2670</v>
      </c>
      <c r="Q946" s="83">
        <v>4120000</v>
      </c>
      <c r="R946" s="63">
        <v>1</v>
      </c>
      <c r="S946" s="80">
        <v>13046667</v>
      </c>
      <c r="T946" s="63"/>
      <c r="U946" s="63" t="s">
        <v>1163</v>
      </c>
      <c r="V946" s="81" t="s">
        <v>875</v>
      </c>
      <c r="W946" s="82">
        <v>3</v>
      </c>
      <c r="X946" s="63" t="s">
        <v>2671</v>
      </c>
      <c r="Y946" s="81">
        <v>43368</v>
      </c>
      <c r="Z946" s="83">
        <v>13046667</v>
      </c>
      <c r="AA946" s="84" t="s">
        <v>2669</v>
      </c>
      <c r="AB946" s="85">
        <v>1189</v>
      </c>
      <c r="AC946" s="81">
        <v>43369</v>
      </c>
      <c r="AD946" s="86">
        <v>13046667</v>
      </c>
      <c r="AE946" s="87">
        <f t="shared" si="98"/>
        <v>0</v>
      </c>
      <c r="AF946" s="85"/>
      <c r="AG946" s="81"/>
      <c r="AH946" s="86"/>
      <c r="AI946" s="63"/>
      <c r="AJ946" s="63"/>
      <c r="AK946" s="87">
        <f t="shared" si="103"/>
        <v>13046667</v>
      </c>
      <c r="AL946" s="86"/>
      <c r="AM946" s="86">
        <f t="shared" si="101"/>
        <v>0</v>
      </c>
      <c r="AN946" s="63" t="s">
        <v>1155</v>
      </c>
      <c r="AO946" s="86">
        <f t="shared" si="102"/>
        <v>13046667</v>
      </c>
      <c r="AP946" s="63"/>
      <c r="AQ946" s="81">
        <v>43367</v>
      </c>
      <c r="AR946" s="63" t="s">
        <v>2109</v>
      </c>
      <c r="AS946" s="81">
        <v>43368</v>
      </c>
      <c r="AT946" s="63" t="s">
        <v>1453</v>
      </c>
      <c r="AU946" s="220"/>
      <c r="AV946" s="220"/>
      <c r="AW946" s="220"/>
    </row>
    <row r="947" spans="1:49" s="221" customFormat="1" ht="299.25" x14ac:dyDescent="0.25">
      <c r="A947" s="63">
        <v>533</v>
      </c>
      <c r="B947" s="63" t="str">
        <f t="shared" si="99"/>
        <v>3075-533</v>
      </c>
      <c r="C947" s="76" t="s">
        <v>1141</v>
      </c>
      <c r="D947" s="76" t="s">
        <v>1142</v>
      </c>
      <c r="E947" s="76" t="s">
        <v>1143</v>
      </c>
      <c r="F947" s="76" t="s">
        <v>1158</v>
      </c>
      <c r="G947" s="77" t="s">
        <v>1159</v>
      </c>
      <c r="H947" s="78" t="s">
        <v>1160</v>
      </c>
      <c r="I947" s="76" t="s">
        <v>1147</v>
      </c>
      <c r="J947" s="76" t="s">
        <v>1148</v>
      </c>
      <c r="K947" s="76">
        <v>80111600</v>
      </c>
      <c r="L947" s="63" t="s">
        <v>1149</v>
      </c>
      <c r="M947" s="63" t="s">
        <v>58</v>
      </c>
      <c r="N947" s="63" t="s">
        <v>59</v>
      </c>
      <c r="O947" s="76" t="s">
        <v>1213</v>
      </c>
      <c r="P947" s="76" t="s">
        <v>2672</v>
      </c>
      <c r="Q947" s="83">
        <v>5036700</v>
      </c>
      <c r="R947" s="63">
        <v>1</v>
      </c>
      <c r="S947" s="80">
        <v>15949550</v>
      </c>
      <c r="T947" s="63"/>
      <c r="U947" s="63" t="s">
        <v>1163</v>
      </c>
      <c r="V947" s="81" t="s">
        <v>875</v>
      </c>
      <c r="W947" s="82">
        <v>3</v>
      </c>
      <c r="X947" s="63" t="s">
        <v>2673</v>
      </c>
      <c r="Y947" s="81">
        <v>43368</v>
      </c>
      <c r="Z947" s="83">
        <v>15949550</v>
      </c>
      <c r="AA947" s="84" t="s">
        <v>2666</v>
      </c>
      <c r="AB947" s="85">
        <v>1187</v>
      </c>
      <c r="AC947" s="81">
        <v>43369</v>
      </c>
      <c r="AD947" s="86">
        <v>15949550</v>
      </c>
      <c r="AE947" s="87">
        <f t="shared" si="98"/>
        <v>0</v>
      </c>
      <c r="AF947" s="85"/>
      <c r="AG947" s="81"/>
      <c r="AH947" s="86"/>
      <c r="AI947" s="63"/>
      <c r="AJ947" s="63"/>
      <c r="AK947" s="87">
        <f t="shared" si="103"/>
        <v>15949550</v>
      </c>
      <c r="AL947" s="86"/>
      <c r="AM947" s="86">
        <f t="shared" si="101"/>
        <v>0</v>
      </c>
      <c r="AN947" s="63" t="s">
        <v>1155</v>
      </c>
      <c r="AO947" s="86">
        <f t="shared" si="102"/>
        <v>15949550</v>
      </c>
      <c r="AP947" s="63"/>
      <c r="AQ947" s="81">
        <v>43367</v>
      </c>
      <c r="AR947" s="63" t="s">
        <v>2109</v>
      </c>
      <c r="AS947" s="81">
        <v>43368</v>
      </c>
      <c r="AT947" s="63" t="s">
        <v>1453</v>
      </c>
      <c r="AU947" s="220"/>
      <c r="AV947" s="220"/>
      <c r="AW947" s="220"/>
    </row>
    <row r="948" spans="1:49" s="221" customFormat="1" ht="299.25" x14ac:dyDescent="0.25">
      <c r="A948" s="63">
        <v>534</v>
      </c>
      <c r="B948" s="63" t="str">
        <f t="shared" si="99"/>
        <v>3075-534</v>
      </c>
      <c r="C948" s="76" t="s">
        <v>1141</v>
      </c>
      <c r="D948" s="76" t="s">
        <v>1142</v>
      </c>
      <c r="E948" s="76" t="s">
        <v>1143</v>
      </c>
      <c r="F948" s="76" t="s">
        <v>1158</v>
      </c>
      <c r="G948" s="77" t="s">
        <v>1159</v>
      </c>
      <c r="H948" s="78" t="s">
        <v>1160</v>
      </c>
      <c r="I948" s="76" t="s">
        <v>1147</v>
      </c>
      <c r="J948" s="76" t="s">
        <v>1148</v>
      </c>
      <c r="K948" s="76">
        <v>80111600</v>
      </c>
      <c r="L948" s="63" t="s">
        <v>1149</v>
      </c>
      <c r="M948" s="63" t="s">
        <v>58</v>
      </c>
      <c r="N948" s="63" t="s">
        <v>59</v>
      </c>
      <c r="O948" s="76" t="s">
        <v>1213</v>
      </c>
      <c r="P948" s="76" t="s">
        <v>1563</v>
      </c>
      <c r="Q948" s="83">
        <v>3399000</v>
      </c>
      <c r="R948" s="63">
        <v>1</v>
      </c>
      <c r="S948" s="80">
        <v>10763500</v>
      </c>
      <c r="T948" s="63"/>
      <c r="U948" s="63" t="s">
        <v>1163</v>
      </c>
      <c r="V948" s="81" t="s">
        <v>875</v>
      </c>
      <c r="W948" s="82">
        <v>3</v>
      </c>
      <c r="X948" s="63" t="s">
        <v>2674</v>
      </c>
      <c r="Y948" s="81">
        <v>43368</v>
      </c>
      <c r="Z948" s="83">
        <v>10763500</v>
      </c>
      <c r="AA948" s="84" t="s">
        <v>2666</v>
      </c>
      <c r="AB948" s="85">
        <v>1184</v>
      </c>
      <c r="AC948" s="81">
        <v>43369</v>
      </c>
      <c r="AD948" s="86">
        <v>10763500</v>
      </c>
      <c r="AE948" s="87">
        <f t="shared" si="98"/>
        <v>0</v>
      </c>
      <c r="AF948" s="85"/>
      <c r="AG948" s="81"/>
      <c r="AH948" s="86"/>
      <c r="AI948" s="63"/>
      <c r="AJ948" s="63"/>
      <c r="AK948" s="87">
        <f t="shared" si="103"/>
        <v>10763500</v>
      </c>
      <c r="AL948" s="86"/>
      <c r="AM948" s="86">
        <f t="shared" si="101"/>
        <v>0</v>
      </c>
      <c r="AN948" s="63" t="s">
        <v>1155</v>
      </c>
      <c r="AO948" s="86">
        <f t="shared" si="102"/>
        <v>10763500</v>
      </c>
      <c r="AP948" s="63"/>
      <c r="AQ948" s="81">
        <v>43367</v>
      </c>
      <c r="AR948" s="63" t="s">
        <v>2109</v>
      </c>
      <c r="AS948" s="81">
        <v>43368</v>
      </c>
      <c r="AT948" s="63" t="s">
        <v>1453</v>
      </c>
      <c r="AU948" s="220"/>
      <c r="AV948" s="220"/>
      <c r="AW948" s="220"/>
    </row>
    <row r="949" spans="1:49" s="221" customFormat="1" ht="299.25" x14ac:dyDescent="0.25">
      <c r="A949" s="63">
        <v>535</v>
      </c>
      <c r="B949" s="63" t="str">
        <f t="shared" si="99"/>
        <v>3075-535</v>
      </c>
      <c r="C949" s="76" t="s">
        <v>1141</v>
      </c>
      <c r="D949" s="76" t="s">
        <v>1142</v>
      </c>
      <c r="E949" s="76" t="s">
        <v>1143</v>
      </c>
      <c r="F949" s="76" t="s">
        <v>1158</v>
      </c>
      <c r="G949" s="77" t="s">
        <v>1159</v>
      </c>
      <c r="H949" s="78" t="s">
        <v>1160</v>
      </c>
      <c r="I949" s="76" t="s">
        <v>1147</v>
      </c>
      <c r="J949" s="76" t="s">
        <v>1148</v>
      </c>
      <c r="K949" s="76">
        <v>80111600</v>
      </c>
      <c r="L949" s="63" t="s">
        <v>1149</v>
      </c>
      <c r="M949" s="63" t="s">
        <v>58</v>
      </c>
      <c r="N949" s="63" t="s">
        <v>59</v>
      </c>
      <c r="O949" s="76" t="s">
        <v>1213</v>
      </c>
      <c r="P949" s="76" t="s">
        <v>1566</v>
      </c>
      <c r="Q949" s="83">
        <v>5665000</v>
      </c>
      <c r="R949" s="63">
        <v>1</v>
      </c>
      <c r="S949" s="80">
        <v>17939167</v>
      </c>
      <c r="T949" s="63"/>
      <c r="U949" s="63" t="s">
        <v>1163</v>
      </c>
      <c r="V949" s="81" t="s">
        <v>875</v>
      </c>
      <c r="W949" s="82">
        <v>3</v>
      </c>
      <c r="X949" s="63" t="s">
        <v>2675</v>
      </c>
      <c r="Y949" s="81">
        <v>43368</v>
      </c>
      <c r="Z949" s="83">
        <v>17939167</v>
      </c>
      <c r="AA949" s="84" t="s">
        <v>2676</v>
      </c>
      <c r="AB949" s="85">
        <v>1185</v>
      </c>
      <c r="AC949" s="81">
        <v>43369</v>
      </c>
      <c r="AD949" s="86">
        <v>17939167</v>
      </c>
      <c r="AE949" s="87">
        <f t="shared" si="98"/>
        <v>0</v>
      </c>
      <c r="AF949" s="85"/>
      <c r="AG949" s="81"/>
      <c r="AH949" s="86"/>
      <c r="AI949" s="63"/>
      <c r="AJ949" s="63"/>
      <c r="AK949" s="87">
        <f t="shared" si="103"/>
        <v>17939167</v>
      </c>
      <c r="AL949" s="86"/>
      <c r="AM949" s="86">
        <f t="shared" si="101"/>
        <v>0</v>
      </c>
      <c r="AN949" s="63" t="s">
        <v>1155</v>
      </c>
      <c r="AO949" s="86">
        <f t="shared" si="102"/>
        <v>17939167</v>
      </c>
      <c r="AP949" s="63"/>
      <c r="AQ949" s="81">
        <v>43367</v>
      </c>
      <c r="AR949" s="63" t="s">
        <v>2109</v>
      </c>
      <c r="AS949" s="81">
        <v>43368</v>
      </c>
      <c r="AT949" s="63" t="s">
        <v>1453</v>
      </c>
      <c r="AU949" s="220"/>
      <c r="AV949" s="220"/>
      <c r="AW949" s="220"/>
    </row>
    <row r="950" spans="1:49" s="221" customFormat="1" ht="299.25" x14ac:dyDescent="0.25">
      <c r="A950" s="63">
        <v>536</v>
      </c>
      <c r="B950" s="63" t="str">
        <f t="shared" si="99"/>
        <v>3075-536</v>
      </c>
      <c r="C950" s="76" t="s">
        <v>1141</v>
      </c>
      <c r="D950" s="76" t="s">
        <v>1142</v>
      </c>
      <c r="E950" s="76" t="s">
        <v>1143</v>
      </c>
      <c r="F950" s="76" t="s">
        <v>1158</v>
      </c>
      <c r="G950" s="77" t="s">
        <v>1159</v>
      </c>
      <c r="H950" s="78" t="s">
        <v>1160</v>
      </c>
      <c r="I950" s="76" t="s">
        <v>1147</v>
      </c>
      <c r="J950" s="76" t="s">
        <v>1148</v>
      </c>
      <c r="K950" s="76">
        <v>80111600</v>
      </c>
      <c r="L950" s="63" t="s">
        <v>1149</v>
      </c>
      <c r="M950" s="63" t="s">
        <v>58</v>
      </c>
      <c r="N950" s="63" t="s">
        <v>59</v>
      </c>
      <c r="O950" s="76" t="s">
        <v>1213</v>
      </c>
      <c r="P950" s="76" t="s">
        <v>2677</v>
      </c>
      <c r="Q950" s="83">
        <v>7210000</v>
      </c>
      <c r="R950" s="63">
        <v>1</v>
      </c>
      <c r="S950" s="80">
        <v>22831667</v>
      </c>
      <c r="T950" s="63"/>
      <c r="U950" s="63" t="s">
        <v>1163</v>
      </c>
      <c r="V950" s="81" t="s">
        <v>875</v>
      </c>
      <c r="W950" s="82">
        <v>3</v>
      </c>
      <c r="X950" s="63" t="s">
        <v>2678</v>
      </c>
      <c r="Y950" s="81">
        <v>43368</v>
      </c>
      <c r="Z950" s="83">
        <v>22831667</v>
      </c>
      <c r="AA950" s="84" t="s">
        <v>2676</v>
      </c>
      <c r="AB950" s="85">
        <v>1186</v>
      </c>
      <c r="AC950" s="81">
        <v>43369</v>
      </c>
      <c r="AD950" s="86">
        <v>22831667</v>
      </c>
      <c r="AE950" s="87">
        <f t="shared" si="98"/>
        <v>0</v>
      </c>
      <c r="AF950" s="85"/>
      <c r="AG950" s="81"/>
      <c r="AH950" s="86"/>
      <c r="AI950" s="63"/>
      <c r="AJ950" s="63"/>
      <c r="AK950" s="87">
        <f t="shared" si="103"/>
        <v>22831667</v>
      </c>
      <c r="AL950" s="86"/>
      <c r="AM950" s="86">
        <f t="shared" si="101"/>
        <v>0</v>
      </c>
      <c r="AN950" s="63" t="s">
        <v>1155</v>
      </c>
      <c r="AO950" s="86">
        <f t="shared" si="102"/>
        <v>22831667</v>
      </c>
      <c r="AP950" s="63"/>
      <c r="AQ950" s="81">
        <v>43367</v>
      </c>
      <c r="AR950" s="63" t="s">
        <v>2109</v>
      </c>
      <c r="AS950" s="81">
        <v>43368</v>
      </c>
      <c r="AT950" s="63" t="s">
        <v>1453</v>
      </c>
      <c r="AU950" s="220"/>
      <c r="AV950" s="220"/>
      <c r="AW950" s="220"/>
    </row>
    <row r="951" spans="1:49" s="221" customFormat="1" ht="299.25" x14ac:dyDescent="0.25">
      <c r="A951" s="63">
        <v>537</v>
      </c>
      <c r="B951" s="63" t="str">
        <f t="shared" si="99"/>
        <v>3075-537</v>
      </c>
      <c r="C951" s="76" t="s">
        <v>1141</v>
      </c>
      <c r="D951" s="76" t="s">
        <v>1142</v>
      </c>
      <c r="E951" s="76" t="s">
        <v>1143</v>
      </c>
      <c r="F951" s="76" t="s">
        <v>1158</v>
      </c>
      <c r="G951" s="77" t="s">
        <v>1159</v>
      </c>
      <c r="H951" s="78" t="s">
        <v>1160</v>
      </c>
      <c r="I951" s="76" t="s">
        <v>1147</v>
      </c>
      <c r="J951" s="76" t="s">
        <v>1148</v>
      </c>
      <c r="K951" s="76">
        <v>80111600</v>
      </c>
      <c r="L951" s="63" t="s">
        <v>1149</v>
      </c>
      <c r="M951" s="63" t="s">
        <v>58</v>
      </c>
      <c r="N951" s="63" t="s">
        <v>59</v>
      </c>
      <c r="O951" s="76" t="s">
        <v>1213</v>
      </c>
      <c r="P951" s="76" t="s">
        <v>1496</v>
      </c>
      <c r="Q951" s="83">
        <v>7210000</v>
      </c>
      <c r="R951" s="63">
        <v>1</v>
      </c>
      <c r="S951" s="80">
        <v>22831667</v>
      </c>
      <c r="T951" s="63"/>
      <c r="U951" s="63" t="s">
        <v>1163</v>
      </c>
      <c r="V951" s="81" t="s">
        <v>875</v>
      </c>
      <c r="W951" s="82">
        <v>3</v>
      </c>
      <c r="X951" s="63" t="s">
        <v>2679</v>
      </c>
      <c r="Y951" s="81">
        <v>43368</v>
      </c>
      <c r="Z951" s="83">
        <v>22831667</v>
      </c>
      <c r="AA951" s="84" t="s">
        <v>2680</v>
      </c>
      <c r="AB951" s="85">
        <v>1188</v>
      </c>
      <c r="AC951" s="81">
        <v>43369</v>
      </c>
      <c r="AD951" s="86">
        <v>22831667</v>
      </c>
      <c r="AE951" s="87">
        <f t="shared" si="98"/>
        <v>0</v>
      </c>
      <c r="AF951" s="85"/>
      <c r="AG951" s="81"/>
      <c r="AH951" s="86"/>
      <c r="AI951" s="63"/>
      <c r="AJ951" s="63"/>
      <c r="AK951" s="87">
        <f t="shared" si="103"/>
        <v>22831667</v>
      </c>
      <c r="AL951" s="86"/>
      <c r="AM951" s="86">
        <f t="shared" si="101"/>
        <v>0</v>
      </c>
      <c r="AN951" s="63" t="s">
        <v>1155</v>
      </c>
      <c r="AO951" s="86">
        <f t="shared" si="102"/>
        <v>22831667</v>
      </c>
      <c r="AP951" s="63"/>
      <c r="AQ951" s="81">
        <v>43367</v>
      </c>
      <c r="AR951" s="63" t="s">
        <v>2109</v>
      </c>
      <c r="AS951" s="81">
        <v>43368</v>
      </c>
      <c r="AT951" s="63" t="s">
        <v>1453</v>
      </c>
      <c r="AU951" s="220"/>
      <c r="AV951" s="220"/>
      <c r="AW951" s="220"/>
    </row>
    <row r="952" spans="1:49" s="221" customFormat="1" ht="299.25" x14ac:dyDescent="0.25">
      <c r="A952" s="63">
        <v>538</v>
      </c>
      <c r="B952" s="63" t="str">
        <f t="shared" si="99"/>
        <v>3075-538</v>
      </c>
      <c r="C952" s="76" t="s">
        <v>1141</v>
      </c>
      <c r="D952" s="76" t="s">
        <v>1142</v>
      </c>
      <c r="E952" s="76" t="s">
        <v>1143</v>
      </c>
      <c r="F952" s="76" t="s">
        <v>1158</v>
      </c>
      <c r="G952" s="77" t="s">
        <v>1159</v>
      </c>
      <c r="H952" s="78" t="s">
        <v>1160</v>
      </c>
      <c r="I952" s="76" t="s">
        <v>1147</v>
      </c>
      <c r="J952" s="76" t="s">
        <v>1148</v>
      </c>
      <c r="K952" s="76">
        <v>80111600</v>
      </c>
      <c r="L952" s="63" t="s">
        <v>1149</v>
      </c>
      <c r="M952" s="63" t="s">
        <v>58</v>
      </c>
      <c r="N952" s="63" t="s">
        <v>59</v>
      </c>
      <c r="O952" s="76" t="s">
        <v>1213</v>
      </c>
      <c r="P952" s="76" t="s">
        <v>1276</v>
      </c>
      <c r="Q952" s="83">
        <v>2472000</v>
      </c>
      <c r="R952" s="63">
        <v>1</v>
      </c>
      <c r="S952" s="80">
        <v>7828000</v>
      </c>
      <c r="T952" s="63"/>
      <c r="U952" s="63" t="s">
        <v>1163</v>
      </c>
      <c r="V952" s="81" t="s">
        <v>875</v>
      </c>
      <c r="W952" s="82">
        <v>3</v>
      </c>
      <c r="X952" s="90" t="s">
        <v>2681</v>
      </c>
      <c r="Y952" s="81">
        <v>43368</v>
      </c>
      <c r="Z952" s="83">
        <v>7828000</v>
      </c>
      <c r="AA952" s="84" t="s">
        <v>2682</v>
      </c>
      <c r="AB952" s="85">
        <v>1190</v>
      </c>
      <c r="AC952" s="81">
        <v>43369</v>
      </c>
      <c r="AD952" s="86">
        <v>7828000</v>
      </c>
      <c r="AE952" s="87">
        <f t="shared" si="98"/>
        <v>0</v>
      </c>
      <c r="AF952" s="85"/>
      <c r="AG952" s="81"/>
      <c r="AH952" s="86"/>
      <c r="AI952" s="63"/>
      <c r="AJ952" s="63"/>
      <c r="AK952" s="87">
        <f t="shared" si="103"/>
        <v>7828000</v>
      </c>
      <c r="AL952" s="86">
        <v>0</v>
      </c>
      <c r="AM952" s="86">
        <f t="shared" si="101"/>
        <v>0</v>
      </c>
      <c r="AN952" s="63" t="s">
        <v>1155</v>
      </c>
      <c r="AO952" s="86">
        <f t="shared" si="102"/>
        <v>7828000</v>
      </c>
      <c r="AP952" s="63"/>
      <c r="AQ952" s="81">
        <v>43367</v>
      </c>
      <c r="AR952" s="63" t="s">
        <v>2109</v>
      </c>
      <c r="AS952" s="81">
        <v>43368</v>
      </c>
      <c r="AT952" s="63" t="s">
        <v>1453</v>
      </c>
      <c r="AU952" s="220"/>
      <c r="AV952" s="220"/>
      <c r="AW952" s="220"/>
    </row>
    <row r="953" spans="1:49" s="221" customFormat="1" ht="299.25" x14ac:dyDescent="0.25">
      <c r="A953" s="63">
        <v>539</v>
      </c>
      <c r="B953" s="63" t="str">
        <f t="shared" si="99"/>
        <v>3075-539</v>
      </c>
      <c r="C953" s="76" t="s">
        <v>1141</v>
      </c>
      <c r="D953" s="76" t="s">
        <v>1142</v>
      </c>
      <c r="E953" s="76" t="s">
        <v>1143</v>
      </c>
      <c r="F953" s="76" t="s">
        <v>1158</v>
      </c>
      <c r="G953" s="77" t="s">
        <v>1159</v>
      </c>
      <c r="H953" s="78" t="s">
        <v>1160</v>
      </c>
      <c r="I953" s="76" t="s">
        <v>1147</v>
      </c>
      <c r="J953" s="76" t="s">
        <v>1148</v>
      </c>
      <c r="K953" s="76">
        <v>93141506</v>
      </c>
      <c r="L953" s="63" t="s">
        <v>1149</v>
      </c>
      <c r="M953" s="63" t="s">
        <v>58</v>
      </c>
      <c r="N953" s="63" t="s">
        <v>59</v>
      </c>
      <c r="O953" s="76" t="s">
        <v>1213</v>
      </c>
      <c r="P953" s="76" t="s">
        <v>2683</v>
      </c>
      <c r="Q953" s="83">
        <v>3326900</v>
      </c>
      <c r="R953" s="63">
        <v>1</v>
      </c>
      <c r="S953" s="80">
        <v>10535183</v>
      </c>
      <c r="T953" s="63"/>
      <c r="U953" s="63" t="s">
        <v>1163</v>
      </c>
      <c r="V953" s="81" t="s">
        <v>875</v>
      </c>
      <c r="W953" s="82">
        <v>3</v>
      </c>
      <c r="X953" s="63" t="s">
        <v>2684</v>
      </c>
      <c r="Y953" s="81">
        <v>43368</v>
      </c>
      <c r="Z953" s="83">
        <v>10535183</v>
      </c>
      <c r="AA953" s="84" t="s">
        <v>2685</v>
      </c>
      <c r="AB953" s="85">
        <v>1192</v>
      </c>
      <c r="AC953" s="81">
        <v>43369</v>
      </c>
      <c r="AD953" s="86">
        <v>10535183</v>
      </c>
      <c r="AE953" s="87">
        <f t="shared" si="98"/>
        <v>0</v>
      </c>
      <c r="AF953" s="85"/>
      <c r="AG953" s="81"/>
      <c r="AH953" s="86"/>
      <c r="AI953" s="63"/>
      <c r="AJ953" s="63"/>
      <c r="AK953" s="87">
        <f t="shared" si="103"/>
        <v>10535183</v>
      </c>
      <c r="AL953" s="86">
        <v>0</v>
      </c>
      <c r="AM953" s="86">
        <f t="shared" si="101"/>
        <v>0</v>
      </c>
      <c r="AN953" s="63" t="s">
        <v>1155</v>
      </c>
      <c r="AO953" s="86">
        <f t="shared" si="102"/>
        <v>10535183</v>
      </c>
      <c r="AP953" s="63"/>
      <c r="AQ953" s="81">
        <v>43367</v>
      </c>
      <c r="AR953" s="63" t="s">
        <v>2109</v>
      </c>
      <c r="AS953" s="81">
        <v>43368</v>
      </c>
      <c r="AT953" s="63" t="s">
        <v>1453</v>
      </c>
      <c r="AU953" s="220"/>
      <c r="AV953" s="220"/>
      <c r="AW953" s="220"/>
    </row>
    <row r="954" spans="1:49" s="221" customFormat="1" ht="299.25" x14ac:dyDescent="0.25">
      <c r="A954" s="63">
        <v>540</v>
      </c>
      <c r="B954" s="63" t="str">
        <f t="shared" si="99"/>
        <v>3075-540</v>
      </c>
      <c r="C954" s="76" t="s">
        <v>1141</v>
      </c>
      <c r="D954" s="76" t="s">
        <v>1142</v>
      </c>
      <c r="E954" s="76" t="s">
        <v>1143</v>
      </c>
      <c r="F954" s="76" t="s">
        <v>1158</v>
      </c>
      <c r="G954" s="77" t="s">
        <v>1159</v>
      </c>
      <c r="H954" s="78" t="s">
        <v>1160</v>
      </c>
      <c r="I954" s="76" t="s">
        <v>1147</v>
      </c>
      <c r="J954" s="76" t="s">
        <v>1148</v>
      </c>
      <c r="K954" s="76">
        <v>80111600</v>
      </c>
      <c r="L954" s="63" t="s">
        <v>1149</v>
      </c>
      <c r="M954" s="63" t="s">
        <v>58</v>
      </c>
      <c r="N954" s="63" t="s">
        <v>59</v>
      </c>
      <c r="O954" s="76" t="s">
        <v>1213</v>
      </c>
      <c r="P954" s="76" t="s">
        <v>1566</v>
      </c>
      <c r="Q954" s="83">
        <v>5665000</v>
      </c>
      <c r="R954" s="63">
        <v>1</v>
      </c>
      <c r="S954" s="80">
        <v>16050833</v>
      </c>
      <c r="T954" s="63"/>
      <c r="U954" s="63" t="s">
        <v>1163</v>
      </c>
      <c r="V954" s="81" t="s">
        <v>875</v>
      </c>
      <c r="W954" s="82">
        <v>3</v>
      </c>
      <c r="X954" s="63" t="s">
        <v>2686</v>
      </c>
      <c r="Y954" s="81">
        <v>43368</v>
      </c>
      <c r="Z954" s="83">
        <v>16050833</v>
      </c>
      <c r="AA954" s="84" t="s">
        <v>2687</v>
      </c>
      <c r="AB954" s="85">
        <v>1183</v>
      </c>
      <c r="AC954" s="81">
        <v>43369</v>
      </c>
      <c r="AD954" s="86">
        <v>16050833</v>
      </c>
      <c r="AE954" s="87">
        <f t="shared" si="98"/>
        <v>0</v>
      </c>
      <c r="AF954" s="85"/>
      <c r="AG954" s="81"/>
      <c r="AH954" s="86"/>
      <c r="AI954" s="63"/>
      <c r="AJ954" s="63"/>
      <c r="AK954" s="87">
        <f t="shared" si="103"/>
        <v>16050833</v>
      </c>
      <c r="AL954" s="86"/>
      <c r="AM954" s="86">
        <f t="shared" si="101"/>
        <v>0</v>
      </c>
      <c r="AN954" s="63" t="s">
        <v>1155</v>
      </c>
      <c r="AO954" s="86">
        <f t="shared" si="102"/>
        <v>16050833</v>
      </c>
      <c r="AP954" s="63"/>
      <c r="AQ954" s="81">
        <v>43368</v>
      </c>
      <c r="AR954" s="63" t="s">
        <v>2109</v>
      </c>
      <c r="AS954" s="81">
        <v>43368</v>
      </c>
      <c r="AT954" s="63" t="s">
        <v>1453</v>
      </c>
      <c r="AU954" s="220"/>
      <c r="AV954" s="220"/>
      <c r="AW954" s="220"/>
    </row>
    <row r="955" spans="1:49" s="221" customFormat="1" ht="356.25" x14ac:dyDescent="0.25">
      <c r="A955" s="63">
        <v>541</v>
      </c>
      <c r="B955" s="63" t="str">
        <f t="shared" si="99"/>
        <v>3075-541</v>
      </c>
      <c r="C955" s="76" t="s">
        <v>1141</v>
      </c>
      <c r="D955" s="76" t="s">
        <v>1142</v>
      </c>
      <c r="E955" s="76" t="s">
        <v>1143</v>
      </c>
      <c r="F955" s="76" t="s">
        <v>1158</v>
      </c>
      <c r="G955" s="77" t="s">
        <v>1159</v>
      </c>
      <c r="H955" s="78" t="s">
        <v>1160</v>
      </c>
      <c r="I955" s="76" t="s">
        <v>1147</v>
      </c>
      <c r="J955" s="76" t="s">
        <v>1148</v>
      </c>
      <c r="K955" s="76">
        <v>93151501</v>
      </c>
      <c r="L955" s="63" t="s">
        <v>1149</v>
      </c>
      <c r="M955" s="63" t="s">
        <v>58</v>
      </c>
      <c r="N955" s="63" t="s">
        <v>59</v>
      </c>
      <c r="O955" s="76" t="s">
        <v>1213</v>
      </c>
      <c r="P955" s="76" t="s">
        <v>2688</v>
      </c>
      <c r="Q955" s="79">
        <v>4532000</v>
      </c>
      <c r="R955" s="63">
        <v>1</v>
      </c>
      <c r="S955" s="80">
        <f t="shared" ref="S955:S974" si="104">Q955*R955*W955</f>
        <v>27192000</v>
      </c>
      <c r="T955" s="63"/>
      <c r="U955" s="63" t="s">
        <v>1163</v>
      </c>
      <c r="V955" s="81" t="s">
        <v>875</v>
      </c>
      <c r="W955" s="82">
        <v>6</v>
      </c>
      <c r="X955" s="63" t="s">
        <v>2689</v>
      </c>
      <c r="Y955" s="81">
        <v>43369</v>
      </c>
      <c r="Z955" s="83">
        <v>27192000</v>
      </c>
      <c r="AA955" s="84" t="s">
        <v>2185</v>
      </c>
      <c r="AB955" s="85">
        <v>1222</v>
      </c>
      <c r="AC955" s="81">
        <v>43370</v>
      </c>
      <c r="AD955" s="86">
        <v>27192000</v>
      </c>
      <c r="AE955" s="87">
        <f t="shared" si="98"/>
        <v>0</v>
      </c>
      <c r="AF955" s="85"/>
      <c r="AG955" s="81"/>
      <c r="AH955" s="86"/>
      <c r="AI955" s="63"/>
      <c r="AJ955" s="63"/>
      <c r="AK955" s="87">
        <f t="shared" si="103"/>
        <v>27192000</v>
      </c>
      <c r="AL955" s="86"/>
      <c r="AM955" s="86">
        <f t="shared" si="101"/>
        <v>0</v>
      </c>
      <c r="AN955" s="63" t="s">
        <v>1155</v>
      </c>
      <c r="AO955" s="86">
        <f t="shared" si="102"/>
        <v>27192000</v>
      </c>
      <c r="AP955" s="63"/>
      <c r="AQ955" s="81">
        <v>43368</v>
      </c>
      <c r="AR955" s="63" t="s">
        <v>2109</v>
      </c>
      <c r="AS955" s="81">
        <v>43369</v>
      </c>
      <c r="AT955" s="63" t="s">
        <v>1453</v>
      </c>
      <c r="AU955" s="220"/>
      <c r="AV955" s="220"/>
      <c r="AW955" s="220"/>
    </row>
    <row r="956" spans="1:49" s="221" customFormat="1" ht="409.5" x14ac:dyDescent="0.25">
      <c r="A956" s="63">
        <v>542</v>
      </c>
      <c r="B956" s="63" t="str">
        <f t="shared" si="99"/>
        <v>3075-542</v>
      </c>
      <c r="C956" s="76" t="s">
        <v>1141</v>
      </c>
      <c r="D956" s="76" t="s">
        <v>1142</v>
      </c>
      <c r="E956" s="76" t="s">
        <v>1143</v>
      </c>
      <c r="F956" s="76" t="s">
        <v>1158</v>
      </c>
      <c r="G956" s="77" t="s">
        <v>1159</v>
      </c>
      <c r="H956" s="78" t="s">
        <v>1160</v>
      </c>
      <c r="I956" s="76" t="s">
        <v>1147</v>
      </c>
      <c r="J956" s="76" t="s">
        <v>1148</v>
      </c>
      <c r="K956" s="76">
        <v>80111600</v>
      </c>
      <c r="L956" s="63" t="s">
        <v>1149</v>
      </c>
      <c r="M956" s="63" t="s">
        <v>58</v>
      </c>
      <c r="N956" s="63" t="s">
        <v>59</v>
      </c>
      <c r="O956" s="76" t="s">
        <v>1213</v>
      </c>
      <c r="P956" s="76" t="s">
        <v>2690</v>
      </c>
      <c r="Q956" s="79">
        <v>4532000</v>
      </c>
      <c r="R956" s="63">
        <v>1</v>
      </c>
      <c r="S956" s="80">
        <f t="shared" si="104"/>
        <v>27192000</v>
      </c>
      <c r="T956" s="63"/>
      <c r="U956" s="63" t="s">
        <v>1163</v>
      </c>
      <c r="V956" s="81" t="s">
        <v>875</v>
      </c>
      <c r="W956" s="82">
        <v>6</v>
      </c>
      <c r="X956" s="90" t="s">
        <v>2691</v>
      </c>
      <c r="Y956" s="81">
        <v>43369</v>
      </c>
      <c r="Z956" s="83">
        <v>27192000</v>
      </c>
      <c r="AA956" s="84" t="s">
        <v>2185</v>
      </c>
      <c r="AB956" s="85">
        <v>1225</v>
      </c>
      <c r="AC956" s="81">
        <v>43370</v>
      </c>
      <c r="AD956" s="86">
        <v>27192000</v>
      </c>
      <c r="AE956" s="87">
        <f t="shared" si="98"/>
        <v>0</v>
      </c>
      <c r="AF956" s="85"/>
      <c r="AG956" s="81"/>
      <c r="AH956" s="86"/>
      <c r="AI956" s="63"/>
      <c r="AJ956" s="63"/>
      <c r="AK956" s="87">
        <f t="shared" si="103"/>
        <v>27192000</v>
      </c>
      <c r="AL956" s="86"/>
      <c r="AM956" s="86">
        <f t="shared" si="101"/>
        <v>0</v>
      </c>
      <c r="AN956" s="63" t="s">
        <v>1155</v>
      </c>
      <c r="AO956" s="86">
        <f t="shared" si="102"/>
        <v>27192000</v>
      </c>
      <c r="AP956" s="63"/>
      <c r="AQ956" s="81">
        <v>43368</v>
      </c>
      <c r="AR956" s="63" t="s">
        <v>2109</v>
      </c>
      <c r="AS956" s="81">
        <v>43369</v>
      </c>
      <c r="AT956" s="63" t="s">
        <v>1453</v>
      </c>
      <c r="AU956" s="220"/>
      <c r="AV956" s="220"/>
      <c r="AW956" s="220"/>
    </row>
    <row r="957" spans="1:49" s="221" customFormat="1" ht="409.5" x14ac:dyDescent="0.25">
      <c r="A957" s="63">
        <v>543</v>
      </c>
      <c r="B957" s="63" t="str">
        <f t="shared" si="99"/>
        <v>3075-543</v>
      </c>
      <c r="C957" s="76" t="s">
        <v>1141</v>
      </c>
      <c r="D957" s="76" t="s">
        <v>1142</v>
      </c>
      <c r="E957" s="76" t="s">
        <v>1143</v>
      </c>
      <c r="F957" s="76" t="s">
        <v>1158</v>
      </c>
      <c r="G957" s="77" t="s">
        <v>1159</v>
      </c>
      <c r="H957" s="78" t="s">
        <v>1160</v>
      </c>
      <c r="I957" s="76" t="s">
        <v>1147</v>
      </c>
      <c r="J957" s="76" t="s">
        <v>1148</v>
      </c>
      <c r="K957" s="76">
        <v>80111600</v>
      </c>
      <c r="L957" s="63" t="s">
        <v>1149</v>
      </c>
      <c r="M957" s="63" t="s">
        <v>58</v>
      </c>
      <c r="N957" s="63" t="s">
        <v>59</v>
      </c>
      <c r="O957" s="76" t="s">
        <v>1213</v>
      </c>
      <c r="P957" s="76" t="s">
        <v>2692</v>
      </c>
      <c r="Q957" s="79">
        <v>4532000</v>
      </c>
      <c r="R957" s="63">
        <v>1</v>
      </c>
      <c r="S957" s="80">
        <f t="shared" si="104"/>
        <v>27192000</v>
      </c>
      <c r="T957" s="63"/>
      <c r="U957" s="63" t="s">
        <v>1163</v>
      </c>
      <c r="V957" s="81" t="s">
        <v>875</v>
      </c>
      <c r="W957" s="82">
        <v>6</v>
      </c>
      <c r="X957" s="63" t="s">
        <v>2693</v>
      </c>
      <c r="Y957" s="81">
        <v>43369</v>
      </c>
      <c r="Z957" s="83">
        <v>27192000</v>
      </c>
      <c r="AA957" s="84" t="s">
        <v>2185</v>
      </c>
      <c r="AB957" s="85">
        <v>1224</v>
      </c>
      <c r="AC957" s="81">
        <v>43370</v>
      </c>
      <c r="AD957" s="86">
        <v>27192000</v>
      </c>
      <c r="AE957" s="87">
        <f t="shared" si="98"/>
        <v>0</v>
      </c>
      <c r="AF957" s="85"/>
      <c r="AG957" s="81"/>
      <c r="AH957" s="86"/>
      <c r="AI957" s="63"/>
      <c r="AJ957" s="63"/>
      <c r="AK957" s="87">
        <f t="shared" si="103"/>
        <v>27192000</v>
      </c>
      <c r="AL957" s="86"/>
      <c r="AM957" s="86">
        <f t="shared" si="101"/>
        <v>0</v>
      </c>
      <c r="AN957" s="63" t="s">
        <v>1155</v>
      </c>
      <c r="AO957" s="86">
        <f t="shared" si="102"/>
        <v>27192000</v>
      </c>
      <c r="AP957" s="63"/>
      <c r="AQ957" s="81">
        <v>43368</v>
      </c>
      <c r="AR957" s="63" t="s">
        <v>2109</v>
      </c>
      <c r="AS957" s="81">
        <v>43369</v>
      </c>
      <c r="AT957" s="63" t="s">
        <v>1453</v>
      </c>
      <c r="AU957" s="220"/>
      <c r="AV957" s="220"/>
      <c r="AW957" s="220"/>
    </row>
    <row r="958" spans="1:49" s="221" customFormat="1" ht="409.5" x14ac:dyDescent="0.25">
      <c r="A958" s="63">
        <v>544</v>
      </c>
      <c r="B958" s="63" t="str">
        <f t="shared" si="99"/>
        <v>3075-544</v>
      </c>
      <c r="C958" s="76" t="s">
        <v>1141</v>
      </c>
      <c r="D958" s="76" t="s">
        <v>1142</v>
      </c>
      <c r="E958" s="76" t="s">
        <v>1143</v>
      </c>
      <c r="F958" s="76" t="s">
        <v>1158</v>
      </c>
      <c r="G958" s="77" t="s">
        <v>1159</v>
      </c>
      <c r="H958" s="78" t="s">
        <v>1160</v>
      </c>
      <c r="I958" s="76" t="s">
        <v>1147</v>
      </c>
      <c r="J958" s="76" t="s">
        <v>1148</v>
      </c>
      <c r="K958" s="76">
        <v>80111600</v>
      </c>
      <c r="L958" s="63" t="s">
        <v>1149</v>
      </c>
      <c r="M958" s="63" t="s">
        <v>58</v>
      </c>
      <c r="N958" s="63" t="s">
        <v>59</v>
      </c>
      <c r="O958" s="76" t="s">
        <v>1213</v>
      </c>
      <c r="P958" s="76" t="s">
        <v>2692</v>
      </c>
      <c r="Q958" s="79">
        <v>4532000</v>
      </c>
      <c r="R958" s="63">
        <v>1</v>
      </c>
      <c r="S958" s="80">
        <f t="shared" si="104"/>
        <v>27192000</v>
      </c>
      <c r="T958" s="63"/>
      <c r="U958" s="63" t="s">
        <v>1163</v>
      </c>
      <c r="V958" s="81" t="s">
        <v>875</v>
      </c>
      <c r="W958" s="82">
        <v>6</v>
      </c>
      <c r="X958" s="63" t="s">
        <v>2694</v>
      </c>
      <c r="Y958" s="81">
        <v>43369</v>
      </c>
      <c r="Z958" s="83">
        <v>27192000</v>
      </c>
      <c r="AA958" s="84" t="s">
        <v>2185</v>
      </c>
      <c r="AB958" s="85">
        <v>1223</v>
      </c>
      <c r="AC958" s="81">
        <v>43370</v>
      </c>
      <c r="AD958" s="86">
        <v>27192000</v>
      </c>
      <c r="AE958" s="87">
        <f t="shared" si="98"/>
        <v>0</v>
      </c>
      <c r="AF958" s="85"/>
      <c r="AG958" s="81"/>
      <c r="AH958" s="86"/>
      <c r="AI958" s="63"/>
      <c r="AJ958" s="63"/>
      <c r="AK958" s="87">
        <f t="shared" si="103"/>
        <v>27192000</v>
      </c>
      <c r="AL958" s="86"/>
      <c r="AM958" s="86">
        <f t="shared" si="101"/>
        <v>0</v>
      </c>
      <c r="AN958" s="63" t="s">
        <v>1155</v>
      </c>
      <c r="AO958" s="86">
        <f t="shared" si="102"/>
        <v>27192000</v>
      </c>
      <c r="AP958" s="63"/>
      <c r="AQ958" s="81">
        <v>43368</v>
      </c>
      <c r="AR958" s="63" t="s">
        <v>2109</v>
      </c>
      <c r="AS958" s="81">
        <v>43369</v>
      </c>
      <c r="AT958" s="63" t="s">
        <v>1453</v>
      </c>
      <c r="AU958" s="220"/>
      <c r="AV958" s="220"/>
      <c r="AW958" s="220"/>
    </row>
    <row r="959" spans="1:49" s="221" customFormat="1" ht="399" x14ac:dyDescent="0.25">
      <c r="A959" s="63">
        <v>545</v>
      </c>
      <c r="B959" s="63" t="str">
        <f t="shared" si="99"/>
        <v>3075-545</v>
      </c>
      <c r="C959" s="76" t="s">
        <v>1141</v>
      </c>
      <c r="D959" s="76" t="s">
        <v>1142</v>
      </c>
      <c r="E959" s="76" t="s">
        <v>1143</v>
      </c>
      <c r="F959" s="76" t="s">
        <v>1158</v>
      </c>
      <c r="G959" s="77" t="s">
        <v>1159</v>
      </c>
      <c r="H959" s="78" t="s">
        <v>1160</v>
      </c>
      <c r="I959" s="76" t="s">
        <v>1147</v>
      </c>
      <c r="J959" s="76" t="s">
        <v>1148</v>
      </c>
      <c r="K959" s="76">
        <v>80111600</v>
      </c>
      <c r="L959" s="63" t="s">
        <v>1149</v>
      </c>
      <c r="M959" s="63" t="s">
        <v>58</v>
      </c>
      <c r="N959" s="63" t="s">
        <v>59</v>
      </c>
      <c r="O959" s="76" t="s">
        <v>1213</v>
      </c>
      <c r="P959" s="76" t="s">
        <v>2695</v>
      </c>
      <c r="Q959" s="79">
        <v>4120000</v>
      </c>
      <c r="R959" s="63">
        <v>1</v>
      </c>
      <c r="S959" s="80">
        <f t="shared" si="104"/>
        <v>24720000</v>
      </c>
      <c r="T959" s="63"/>
      <c r="U959" s="63" t="s">
        <v>1163</v>
      </c>
      <c r="V959" s="81" t="s">
        <v>875</v>
      </c>
      <c r="W959" s="82">
        <v>6</v>
      </c>
      <c r="X959" s="63" t="s">
        <v>2696</v>
      </c>
      <c r="Y959" s="81">
        <v>43369</v>
      </c>
      <c r="Z959" s="83">
        <v>24720000</v>
      </c>
      <c r="AA959" s="84" t="s">
        <v>2185</v>
      </c>
      <c r="AB959" s="85">
        <v>1226</v>
      </c>
      <c r="AC959" s="81">
        <v>43370</v>
      </c>
      <c r="AD959" s="86">
        <v>24720000</v>
      </c>
      <c r="AE959" s="87">
        <f t="shared" si="98"/>
        <v>0</v>
      </c>
      <c r="AF959" s="85"/>
      <c r="AG959" s="81"/>
      <c r="AH959" s="86"/>
      <c r="AI959" s="63"/>
      <c r="AJ959" s="63"/>
      <c r="AK959" s="87">
        <f t="shared" si="103"/>
        <v>24720000</v>
      </c>
      <c r="AL959" s="86"/>
      <c r="AM959" s="86">
        <f t="shared" si="101"/>
        <v>0</v>
      </c>
      <c r="AN959" s="63" t="s">
        <v>1155</v>
      </c>
      <c r="AO959" s="86">
        <f t="shared" si="102"/>
        <v>24720000</v>
      </c>
      <c r="AP959" s="63"/>
      <c r="AQ959" s="81">
        <v>43368</v>
      </c>
      <c r="AR959" s="63" t="s">
        <v>2109</v>
      </c>
      <c r="AS959" s="81">
        <v>43369</v>
      </c>
      <c r="AT959" s="63" t="s">
        <v>1453</v>
      </c>
      <c r="AU959" s="220"/>
      <c r="AV959" s="220"/>
      <c r="AW959" s="220"/>
    </row>
    <row r="960" spans="1:49" s="221" customFormat="1" ht="409.5" x14ac:dyDescent="0.25">
      <c r="A960" s="63">
        <v>546</v>
      </c>
      <c r="B960" s="63" t="str">
        <f t="shared" si="99"/>
        <v>3075-546</v>
      </c>
      <c r="C960" s="76" t="s">
        <v>1141</v>
      </c>
      <c r="D960" s="76" t="s">
        <v>1142</v>
      </c>
      <c r="E960" s="76" t="s">
        <v>1143</v>
      </c>
      <c r="F960" s="76" t="s">
        <v>1158</v>
      </c>
      <c r="G960" s="77" t="s">
        <v>1159</v>
      </c>
      <c r="H960" s="78" t="s">
        <v>1160</v>
      </c>
      <c r="I960" s="76" t="s">
        <v>1147</v>
      </c>
      <c r="J960" s="76" t="s">
        <v>1148</v>
      </c>
      <c r="K960" s="76">
        <v>80111600</v>
      </c>
      <c r="L960" s="63" t="s">
        <v>1149</v>
      </c>
      <c r="M960" s="63" t="s">
        <v>58</v>
      </c>
      <c r="N960" s="63" t="s">
        <v>59</v>
      </c>
      <c r="O960" s="76" t="s">
        <v>1213</v>
      </c>
      <c r="P960" s="76" t="s">
        <v>2697</v>
      </c>
      <c r="Q960" s="79">
        <v>1545000</v>
      </c>
      <c r="R960" s="63">
        <v>1</v>
      </c>
      <c r="S960" s="80">
        <f t="shared" si="104"/>
        <v>9270000</v>
      </c>
      <c r="T960" s="63"/>
      <c r="U960" s="63" t="s">
        <v>1163</v>
      </c>
      <c r="V960" s="81" t="s">
        <v>875</v>
      </c>
      <c r="W960" s="82">
        <v>6</v>
      </c>
      <c r="X960" s="90" t="s">
        <v>2698</v>
      </c>
      <c r="Y960" s="81">
        <v>43369</v>
      </c>
      <c r="Z960" s="83">
        <v>9270000</v>
      </c>
      <c r="AA960" s="84" t="s">
        <v>2185</v>
      </c>
      <c r="AB960" s="85">
        <v>1204</v>
      </c>
      <c r="AC960" s="81">
        <v>43370</v>
      </c>
      <c r="AD960" s="86">
        <v>9270000</v>
      </c>
      <c r="AE960" s="87">
        <f t="shared" si="98"/>
        <v>0</v>
      </c>
      <c r="AF960" s="85"/>
      <c r="AG960" s="81"/>
      <c r="AH960" s="86"/>
      <c r="AI960" s="63"/>
      <c r="AJ960" s="63"/>
      <c r="AK960" s="87">
        <f t="shared" si="103"/>
        <v>9270000</v>
      </c>
      <c r="AL960" s="86"/>
      <c r="AM960" s="86">
        <f t="shared" si="101"/>
        <v>0</v>
      </c>
      <c r="AN960" s="63" t="s">
        <v>1155</v>
      </c>
      <c r="AO960" s="86">
        <f t="shared" si="102"/>
        <v>9270000</v>
      </c>
      <c r="AP960" s="63"/>
      <c r="AQ960" s="81">
        <v>43368</v>
      </c>
      <c r="AR960" s="63" t="s">
        <v>2109</v>
      </c>
      <c r="AS960" s="81">
        <v>43369</v>
      </c>
      <c r="AT960" s="63" t="s">
        <v>1453</v>
      </c>
      <c r="AU960" s="220"/>
      <c r="AV960" s="220"/>
      <c r="AW960" s="220"/>
    </row>
    <row r="961" spans="1:49" s="221" customFormat="1" ht="399" x14ac:dyDescent="0.25">
      <c r="A961" s="63">
        <v>547</v>
      </c>
      <c r="B961" s="63" t="str">
        <f t="shared" si="99"/>
        <v>3075-547</v>
      </c>
      <c r="C961" s="76" t="s">
        <v>1141</v>
      </c>
      <c r="D961" s="76" t="s">
        <v>1142</v>
      </c>
      <c r="E961" s="76" t="s">
        <v>1143</v>
      </c>
      <c r="F961" s="76" t="s">
        <v>1158</v>
      </c>
      <c r="G961" s="77" t="s">
        <v>1159</v>
      </c>
      <c r="H961" s="78" t="s">
        <v>1160</v>
      </c>
      <c r="I961" s="76" t="s">
        <v>1147</v>
      </c>
      <c r="J961" s="76" t="s">
        <v>1148</v>
      </c>
      <c r="K961" s="76">
        <v>80111600</v>
      </c>
      <c r="L961" s="63" t="s">
        <v>1149</v>
      </c>
      <c r="M961" s="63" t="s">
        <v>58</v>
      </c>
      <c r="N961" s="63" t="s">
        <v>59</v>
      </c>
      <c r="O961" s="76" t="s">
        <v>1213</v>
      </c>
      <c r="P961" s="76" t="s">
        <v>2695</v>
      </c>
      <c r="Q961" s="79">
        <v>3553500</v>
      </c>
      <c r="R961" s="63">
        <v>1</v>
      </c>
      <c r="S961" s="80">
        <f t="shared" si="104"/>
        <v>21321000</v>
      </c>
      <c r="T961" s="63"/>
      <c r="U961" s="63" t="s">
        <v>1163</v>
      </c>
      <c r="V961" s="81" t="s">
        <v>875</v>
      </c>
      <c r="W961" s="82">
        <v>6</v>
      </c>
      <c r="X961" s="63" t="s">
        <v>2699</v>
      </c>
      <c r="Y961" s="81">
        <v>43369</v>
      </c>
      <c r="Z961" s="83">
        <v>21321000</v>
      </c>
      <c r="AA961" s="84" t="s">
        <v>2185</v>
      </c>
      <c r="AB961" s="85">
        <v>1217</v>
      </c>
      <c r="AC961" s="81">
        <v>43370</v>
      </c>
      <c r="AD961" s="86">
        <v>21321000</v>
      </c>
      <c r="AE961" s="87">
        <f t="shared" si="98"/>
        <v>0</v>
      </c>
      <c r="AF961" s="85"/>
      <c r="AG961" s="81"/>
      <c r="AH961" s="86"/>
      <c r="AI961" s="63"/>
      <c r="AJ961" s="63"/>
      <c r="AK961" s="87">
        <f t="shared" si="103"/>
        <v>21321000</v>
      </c>
      <c r="AL961" s="86"/>
      <c r="AM961" s="86">
        <f t="shared" si="101"/>
        <v>0</v>
      </c>
      <c r="AN961" s="63" t="s">
        <v>1155</v>
      </c>
      <c r="AO961" s="86">
        <f t="shared" si="102"/>
        <v>21321000</v>
      </c>
      <c r="AP961" s="63"/>
      <c r="AQ961" s="81">
        <v>43368</v>
      </c>
      <c r="AR961" s="63" t="s">
        <v>2109</v>
      </c>
      <c r="AS961" s="81">
        <v>43369</v>
      </c>
      <c r="AT961" s="63" t="s">
        <v>1453</v>
      </c>
      <c r="AU961" s="220"/>
      <c r="AV961" s="220"/>
      <c r="AW961" s="220"/>
    </row>
    <row r="962" spans="1:49" s="221" customFormat="1" ht="399" x14ac:dyDescent="0.25">
      <c r="A962" s="63">
        <v>548</v>
      </c>
      <c r="B962" s="63" t="str">
        <f t="shared" si="99"/>
        <v>3075-548</v>
      </c>
      <c r="C962" s="76" t="s">
        <v>1141</v>
      </c>
      <c r="D962" s="76" t="s">
        <v>1142</v>
      </c>
      <c r="E962" s="76" t="s">
        <v>1143</v>
      </c>
      <c r="F962" s="76" t="s">
        <v>1158</v>
      </c>
      <c r="G962" s="77" t="s">
        <v>1159</v>
      </c>
      <c r="H962" s="78" t="s">
        <v>1160</v>
      </c>
      <c r="I962" s="76" t="s">
        <v>1147</v>
      </c>
      <c r="J962" s="76" t="s">
        <v>1148</v>
      </c>
      <c r="K962" s="76">
        <v>80111600</v>
      </c>
      <c r="L962" s="63" t="s">
        <v>1149</v>
      </c>
      <c r="M962" s="63" t="s">
        <v>58</v>
      </c>
      <c r="N962" s="63" t="s">
        <v>59</v>
      </c>
      <c r="O962" s="76" t="s">
        <v>1213</v>
      </c>
      <c r="P962" s="76" t="s">
        <v>2695</v>
      </c>
      <c r="Q962" s="79">
        <v>4120000</v>
      </c>
      <c r="R962" s="63">
        <v>1</v>
      </c>
      <c r="S962" s="80">
        <f t="shared" si="104"/>
        <v>24720000</v>
      </c>
      <c r="T962" s="63"/>
      <c r="U962" s="63" t="s">
        <v>1163</v>
      </c>
      <c r="V962" s="81" t="s">
        <v>875</v>
      </c>
      <c r="W962" s="82">
        <v>6</v>
      </c>
      <c r="X962" s="63" t="s">
        <v>2700</v>
      </c>
      <c r="Y962" s="81">
        <v>43369</v>
      </c>
      <c r="Z962" s="83">
        <v>24720000</v>
      </c>
      <c r="AA962" s="84" t="s">
        <v>2185</v>
      </c>
      <c r="AB962" s="85">
        <v>1229</v>
      </c>
      <c r="AC962" s="81">
        <v>43370</v>
      </c>
      <c r="AD962" s="86">
        <v>24720000</v>
      </c>
      <c r="AE962" s="87">
        <f t="shared" si="98"/>
        <v>0</v>
      </c>
      <c r="AF962" s="85"/>
      <c r="AG962" s="81"/>
      <c r="AH962" s="86"/>
      <c r="AI962" s="63"/>
      <c r="AJ962" s="63"/>
      <c r="AK962" s="87">
        <f t="shared" si="103"/>
        <v>24720000</v>
      </c>
      <c r="AL962" s="86"/>
      <c r="AM962" s="86">
        <f t="shared" si="101"/>
        <v>0</v>
      </c>
      <c r="AN962" s="63" t="s">
        <v>1155</v>
      </c>
      <c r="AO962" s="86">
        <f t="shared" si="102"/>
        <v>24720000</v>
      </c>
      <c r="AP962" s="63"/>
      <c r="AQ962" s="81">
        <v>43368</v>
      </c>
      <c r="AR962" s="63" t="s">
        <v>2109</v>
      </c>
      <c r="AS962" s="81">
        <v>43369</v>
      </c>
      <c r="AT962" s="63" t="s">
        <v>1453</v>
      </c>
      <c r="AU962" s="220"/>
      <c r="AV962" s="220"/>
      <c r="AW962" s="220"/>
    </row>
    <row r="963" spans="1:49" s="221" customFormat="1" ht="327.75" x14ac:dyDescent="0.25">
      <c r="A963" s="63">
        <v>549</v>
      </c>
      <c r="B963" s="63" t="str">
        <f t="shared" si="99"/>
        <v>3075-549</v>
      </c>
      <c r="C963" s="76" t="s">
        <v>1141</v>
      </c>
      <c r="D963" s="76" t="s">
        <v>1142</v>
      </c>
      <c r="E963" s="76" t="s">
        <v>1143</v>
      </c>
      <c r="F963" s="76" t="s">
        <v>1158</v>
      </c>
      <c r="G963" s="77" t="s">
        <v>1159</v>
      </c>
      <c r="H963" s="78" t="s">
        <v>1160</v>
      </c>
      <c r="I963" s="76" t="s">
        <v>1147</v>
      </c>
      <c r="J963" s="76" t="s">
        <v>1148</v>
      </c>
      <c r="K963" s="76">
        <v>93151501</v>
      </c>
      <c r="L963" s="63" t="s">
        <v>1149</v>
      </c>
      <c r="M963" s="63" t="s">
        <v>58</v>
      </c>
      <c r="N963" s="63" t="s">
        <v>59</v>
      </c>
      <c r="O963" s="76" t="s">
        <v>1213</v>
      </c>
      <c r="P963" s="76" t="s">
        <v>2701</v>
      </c>
      <c r="Q963" s="79">
        <v>4120000</v>
      </c>
      <c r="R963" s="63">
        <v>1</v>
      </c>
      <c r="S963" s="80">
        <f t="shared" si="104"/>
        <v>24720000</v>
      </c>
      <c r="T963" s="63"/>
      <c r="U963" s="63" t="s">
        <v>1163</v>
      </c>
      <c r="V963" s="81" t="s">
        <v>875</v>
      </c>
      <c r="W963" s="82">
        <v>6</v>
      </c>
      <c r="X963" s="63" t="s">
        <v>2702</v>
      </c>
      <c r="Y963" s="81">
        <v>43369</v>
      </c>
      <c r="Z963" s="83">
        <v>24720000</v>
      </c>
      <c r="AA963" s="84" t="s">
        <v>2185</v>
      </c>
      <c r="AB963" s="85">
        <v>1205</v>
      </c>
      <c r="AC963" s="81">
        <v>43370</v>
      </c>
      <c r="AD963" s="86">
        <v>24720000</v>
      </c>
      <c r="AE963" s="87">
        <f t="shared" si="98"/>
        <v>0</v>
      </c>
      <c r="AF963" s="85"/>
      <c r="AG963" s="81"/>
      <c r="AH963" s="86"/>
      <c r="AI963" s="63"/>
      <c r="AJ963" s="63"/>
      <c r="AK963" s="87">
        <f t="shared" si="103"/>
        <v>24720000</v>
      </c>
      <c r="AL963" s="86"/>
      <c r="AM963" s="86">
        <f t="shared" si="101"/>
        <v>0</v>
      </c>
      <c r="AN963" s="63" t="s">
        <v>1155</v>
      </c>
      <c r="AO963" s="86">
        <f t="shared" si="102"/>
        <v>24720000</v>
      </c>
      <c r="AP963" s="63"/>
      <c r="AQ963" s="81">
        <v>43368</v>
      </c>
      <c r="AR963" s="63" t="s">
        <v>2109</v>
      </c>
      <c r="AS963" s="81">
        <v>43369</v>
      </c>
      <c r="AT963" s="63" t="s">
        <v>1453</v>
      </c>
      <c r="AU963" s="220"/>
      <c r="AV963" s="220"/>
      <c r="AW963" s="220"/>
    </row>
    <row r="964" spans="1:49" s="221" customFormat="1" ht="399" x14ac:dyDescent="0.25">
      <c r="A964" s="63">
        <v>550</v>
      </c>
      <c r="B964" s="63" t="str">
        <f t="shared" si="99"/>
        <v>3075-550</v>
      </c>
      <c r="C964" s="76" t="s">
        <v>1141</v>
      </c>
      <c r="D964" s="76" t="s">
        <v>1142</v>
      </c>
      <c r="E964" s="76" t="s">
        <v>1143</v>
      </c>
      <c r="F964" s="76" t="s">
        <v>1158</v>
      </c>
      <c r="G964" s="77" t="s">
        <v>1159</v>
      </c>
      <c r="H964" s="78" t="s">
        <v>1160</v>
      </c>
      <c r="I964" s="76" t="s">
        <v>1147</v>
      </c>
      <c r="J964" s="76" t="s">
        <v>1148</v>
      </c>
      <c r="K964" s="76">
        <v>80111600</v>
      </c>
      <c r="L964" s="63" t="s">
        <v>1149</v>
      </c>
      <c r="M964" s="63" t="s">
        <v>58</v>
      </c>
      <c r="N964" s="63" t="s">
        <v>59</v>
      </c>
      <c r="O964" s="76" t="s">
        <v>1213</v>
      </c>
      <c r="P964" s="76" t="s">
        <v>2695</v>
      </c>
      <c r="Q964" s="79">
        <v>4120000</v>
      </c>
      <c r="R964" s="63">
        <v>1</v>
      </c>
      <c r="S964" s="80">
        <f t="shared" si="104"/>
        <v>24720000</v>
      </c>
      <c r="T964" s="63"/>
      <c r="U964" s="63" t="s">
        <v>1163</v>
      </c>
      <c r="V964" s="81" t="s">
        <v>875</v>
      </c>
      <c r="W964" s="82">
        <v>6</v>
      </c>
      <c r="X964" s="90" t="s">
        <v>2703</v>
      </c>
      <c r="Y964" s="81">
        <v>43369</v>
      </c>
      <c r="Z964" s="83">
        <v>24720000</v>
      </c>
      <c r="AA964" s="84" t="s">
        <v>2185</v>
      </c>
      <c r="AB964" s="85">
        <v>1227</v>
      </c>
      <c r="AC964" s="81">
        <v>43370</v>
      </c>
      <c r="AD964" s="86">
        <v>24720000</v>
      </c>
      <c r="AE964" s="87">
        <f t="shared" si="98"/>
        <v>0</v>
      </c>
      <c r="AF964" s="85"/>
      <c r="AG964" s="81"/>
      <c r="AH964" s="86"/>
      <c r="AI964" s="63"/>
      <c r="AJ964" s="63"/>
      <c r="AK964" s="87">
        <f t="shared" si="103"/>
        <v>24720000</v>
      </c>
      <c r="AL964" s="86"/>
      <c r="AM964" s="86">
        <f t="shared" si="101"/>
        <v>0</v>
      </c>
      <c r="AN964" s="63" t="s">
        <v>1155</v>
      </c>
      <c r="AO964" s="86">
        <f t="shared" si="102"/>
        <v>24720000</v>
      </c>
      <c r="AP964" s="63"/>
      <c r="AQ964" s="81">
        <v>43368</v>
      </c>
      <c r="AR964" s="63" t="s">
        <v>2109</v>
      </c>
      <c r="AS964" s="81">
        <v>43369</v>
      </c>
      <c r="AT964" s="63" t="s">
        <v>1453</v>
      </c>
      <c r="AU964" s="220"/>
      <c r="AV964" s="220"/>
      <c r="AW964" s="220"/>
    </row>
    <row r="965" spans="1:49" s="221" customFormat="1" ht="409.5" x14ac:dyDescent="0.25">
      <c r="A965" s="63">
        <v>551</v>
      </c>
      <c r="B965" s="63" t="str">
        <f t="shared" si="99"/>
        <v>3075-551</v>
      </c>
      <c r="C965" s="76" t="s">
        <v>1141</v>
      </c>
      <c r="D965" s="76" t="s">
        <v>1142</v>
      </c>
      <c r="E965" s="76" t="s">
        <v>1143</v>
      </c>
      <c r="F965" s="76" t="s">
        <v>1158</v>
      </c>
      <c r="G965" s="77" t="s">
        <v>1159</v>
      </c>
      <c r="H965" s="78" t="s">
        <v>1160</v>
      </c>
      <c r="I965" s="76" t="s">
        <v>1147</v>
      </c>
      <c r="J965" s="76" t="s">
        <v>1148</v>
      </c>
      <c r="K965" s="76">
        <v>93141506</v>
      </c>
      <c r="L965" s="63" t="s">
        <v>1149</v>
      </c>
      <c r="M965" s="63" t="s">
        <v>58</v>
      </c>
      <c r="N965" s="63" t="s">
        <v>59</v>
      </c>
      <c r="O965" s="76" t="s">
        <v>1213</v>
      </c>
      <c r="P965" s="76" t="s">
        <v>2704</v>
      </c>
      <c r="Q965" s="79">
        <v>4120000</v>
      </c>
      <c r="R965" s="63">
        <v>1</v>
      </c>
      <c r="S965" s="80">
        <f t="shared" si="104"/>
        <v>24720000</v>
      </c>
      <c r="T965" s="63"/>
      <c r="U965" s="63" t="s">
        <v>1163</v>
      </c>
      <c r="V965" s="81" t="s">
        <v>875</v>
      </c>
      <c r="W965" s="82">
        <v>6</v>
      </c>
      <c r="X965" s="63" t="s">
        <v>2705</v>
      </c>
      <c r="Y965" s="81">
        <v>43369</v>
      </c>
      <c r="Z965" s="83">
        <v>24720000</v>
      </c>
      <c r="AA965" s="84" t="s">
        <v>2185</v>
      </c>
      <c r="AB965" s="85">
        <v>1216</v>
      </c>
      <c r="AC965" s="81">
        <v>43370</v>
      </c>
      <c r="AD965" s="86">
        <v>24720000</v>
      </c>
      <c r="AE965" s="87">
        <f t="shared" si="98"/>
        <v>0</v>
      </c>
      <c r="AF965" s="85"/>
      <c r="AG965" s="81"/>
      <c r="AH965" s="86"/>
      <c r="AI965" s="63"/>
      <c r="AJ965" s="63"/>
      <c r="AK965" s="87">
        <f t="shared" si="103"/>
        <v>24720000</v>
      </c>
      <c r="AL965" s="86"/>
      <c r="AM965" s="86">
        <f t="shared" si="101"/>
        <v>0</v>
      </c>
      <c r="AN965" s="63" t="s">
        <v>1155</v>
      </c>
      <c r="AO965" s="86">
        <f t="shared" si="102"/>
        <v>24720000</v>
      </c>
      <c r="AP965" s="63"/>
      <c r="AQ965" s="81">
        <v>43368</v>
      </c>
      <c r="AR965" s="63" t="s">
        <v>2109</v>
      </c>
      <c r="AS965" s="81">
        <v>43369</v>
      </c>
      <c r="AT965" s="63" t="s">
        <v>1453</v>
      </c>
      <c r="AU965" s="220"/>
      <c r="AV965" s="220"/>
      <c r="AW965" s="220"/>
    </row>
    <row r="966" spans="1:49" s="221" customFormat="1" ht="399" x14ac:dyDescent="0.25">
      <c r="A966" s="63">
        <v>552</v>
      </c>
      <c r="B966" s="63" t="str">
        <f t="shared" si="99"/>
        <v>3075-552</v>
      </c>
      <c r="C966" s="76" t="s">
        <v>1141</v>
      </c>
      <c r="D966" s="76" t="s">
        <v>1142</v>
      </c>
      <c r="E966" s="76" t="s">
        <v>1143</v>
      </c>
      <c r="F966" s="76" t="s">
        <v>1158</v>
      </c>
      <c r="G966" s="77" t="s">
        <v>1159</v>
      </c>
      <c r="H966" s="78" t="s">
        <v>1160</v>
      </c>
      <c r="I966" s="76" t="s">
        <v>1147</v>
      </c>
      <c r="J966" s="76" t="s">
        <v>1148</v>
      </c>
      <c r="K966" s="76">
        <v>80111600</v>
      </c>
      <c r="L966" s="63" t="s">
        <v>1149</v>
      </c>
      <c r="M966" s="63" t="s">
        <v>58</v>
      </c>
      <c r="N966" s="63" t="s">
        <v>59</v>
      </c>
      <c r="O966" s="76" t="s">
        <v>1213</v>
      </c>
      <c r="P966" s="76" t="s">
        <v>2695</v>
      </c>
      <c r="Q966" s="79">
        <v>4120000</v>
      </c>
      <c r="R966" s="63">
        <v>1</v>
      </c>
      <c r="S966" s="80">
        <f t="shared" si="104"/>
        <v>24720000</v>
      </c>
      <c r="T966" s="63"/>
      <c r="U966" s="63" t="s">
        <v>1163</v>
      </c>
      <c r="V966" s="81" t="s">
        <v>875</v>
      </c>
      <c r="W966" s="82">
        <v>6</v>
      </c>
      <c r="X966" s="63" t="s">
        <v>2706</v>
      </c>
      <c r="Y966" s="81">
        <v>43369</v>
      </c>
      <c r="Z966" s="83">
        <v>24720000</v>
      </c>
      <c r="AA966" s="84" t="s">
        <v>2185</v>
      </c>
      <c r="AB966" s="85">
        <v>1228</v>
      </c>
      <c r="AC966" s="81">
        <v>43370</v>
      </c>
      <c r="AD966" s="86">
        <v>24720000</v>
      </c>
      <c r="AE966" s="87">
        <f t="shared" si="98"/>
        <v>0</v>
      </c>
      <c r="AF966" s="85"/>
      <c r="AG966" s="81"/>
      <c r="AH966" s="86"/>
      <c r="AI966" s="63"/>
      <c r="AJ966" s="63"/>
      <c r="AK966" s="87">
        <f t="shared" si="103"/>
        <v>24720000</v>
      </c>
      <c r="AL966" s="86"/>
      <c r="AM966" s="86">
        <f t="shared" si="101"/>
        <v>0</v>
      </c>
      <c r="AN966" s="63" t="s">
        <v>1155</v>
      </c>
      <c r="AO966" s="86">
        <f t="shared" si="102"/>
        <v>24720000</v>
      </c>
      <c r="AP966" s="63"/>
      <c r="AQ966" s="81">
        <v>43368</v>
      </c>
      <c r="AR966" s="63" t="s">
        <v>2109</v>
      </c>
      <c r="AS966" s="81">
        <v>43369</v>
      </c>
      <c r="AT966" s="63" t="s">
        <v>1453</v>
      </c>
      <c r="AU966" s="220"/>
      <c r="AV966" s="220"/>
      <c r="AW966" s="220"/>
    </row>
    <row r="967" spans="1:49" s="221" customFormat="1" ht="409.5" x14ac:dyDescent="0.25">
      <c r="A967" s="63">
        <v>553</v>
      </c>
      <c r="B967" s="63" t="str">
        <f t="shared" si="99"/>
        <v>3075-553</v>
      </c>
      <c r="C967" s="76" t="s">
        <v>1141</v>
      </c>
      <c r="D967" s="76" t="s">
        <v>1142</v>
      </c>
      <c r="E967" s="76" t="s">
        <v>1143</v>
      </c>
      <c r="F967" s="76" t="s">
        <v>1158</v>
      </c>
      <c r="G967" s="77" t="s">
        <v>1159</v>
      </c>
      <c r="H967" s="78" t="s">
        <v>1160</v>
      </c>
      <c r="I967" s="76" t="s">
        <v>1147</v>
      </c>
      <c r="J967" s="76" t="s">
        <v>1148</v>
      </c>
      <c r="K967" s="76">
        <v>81101500</v>
      </c>
      <c r="L967" s="63" t="s">
        <v>1149</v>
      </c>
      <c r="M967" s="63" t="s">
        <v>58</v>
      </c>
      <c r="N967" s="63" t="s">
        <v>59</v>
      </c>
      <c r="O967" s="76" t="s">
        <v>1213</v>
      </c>
      <c r="P967" s="76" t="s">
        <v>2707</v>
      </c>
      <c r="Q967" s="79">
        <v>3399000</v>
      </c>
      <c r="R967" s="63">
        <v>1</v>
      </c>
      <c r="S967" s="80">
        <f t="shared" si="104"/>
        <v>20394000</v>
      </c>
      <c r="T967" s="63"/>
      <c r="U967" s="63" t="s">
        <v>1163</v>
      </c>
      <c r="V967" s="81" t="s">
        <v>875</v>
      </c>
      <c r="W967" s="82">
        <v>6</v>
      </c>
      <c r="X967" s="63" t="s">
        <v>2708</v>
      </c>
      <c r="Y967" s="81">
        <v>43369</v>
      </c>
      <c r="Z967" s="83">
        <v>20394000</v>
      </c>
      <c r="AA967" s="84" t="s">
        <v>2185</v>
      </c>
      <c r="AB967" s="85">
        <v>1215</v>
      </c>
      <c r="AC967" s="81">
        <v>43370</v>
      </c>
      <c r="AD967" s="86">
        <v>20394000</v>
      </c>
      <c r="AE967" s="87">
        <f t="shared" si="98"/>
        <v>0</v>
      </c>
      <c r="AF967" s="85"/>
      <c r="AG967" s="81"/>
      <c r="AH967" s="86"/>
      <c r="AI967" s="63"/>
      <c r="AJ967" s="63"/>
      <c r="AK967" s="87">
        <f t="shared" si="103"/>
        <v>20394000</v>
      </c>
      <c r="AL967" s="86"/>
      <c r="AM967" s="86">
        <f t="shared" si="101"/>
        <v>0</v>
      </c>
      <c r="AN967" s="63" t="s">
        <v>1155</v>
      </c>
      <c r="AO967" s="86">
        <f t="shared" si="102"/>
        <v>20394000</v>
      </c>
      <c r="AP967" s="63"/>
      <c r="AQ967" s="81">
        <v>43368</v>
      </c>
      <c r="AR967" s="63" t="s">
        <v>2109</v>
      </c>
      <c r="AS967" s="81">
        <v>43369</v>
      </c>
      <c r="AT967" s="63" t="s">
        <v>1453</v>
      </c>
      <c r="AU967" s="220"/>
      <c r="AV967" s="220"/>
      <c r="AW967" s="220"/>
    </row>
    <row r="968" spans="1:49" s="221" customFormat="1" ht="409.5" x14ac:dyDescent="0.25">
      <c r="A968" s="63">
        <v>554</v>
      </c>
      <c r="B968" s="63" t="str">
        <f t="shared" si="99"/>
        <v>3075-554</v>
      </c>
      <c r="C968" s="76" t="s">
        <v>1141</v>
      </c>
      <c r="D968" s="76" t="s">
        <v>1142</v>
      </c>
      <c r="E968" s="76" t="s">
        <v>1143</v>
      </c>
      <c r="F968" s="76" t="s">
        <v>1158</v>
      </c>
      <c r="G968" s="77" t="s">
        <v>1159</v>
      </c>
      <c r="H968" s="78" t="s">
        <v>1160</v>
      </c>
      <c r="I968" s="76" t="s">
        <v>1147</v>
      </c>
      <c r="J968" s="76" t="s">
        <v>1148</v>
      </c>
      <c r="K968" s="76">
        <v>93141506</v>
      </c>
      <c r="L968" s="63" t="s">
        <v>1149</v>
      </c>
      <c r="M968" s="63" t="s">
        <v>58</v>
      </c>
      <c r="N968" s="63" t="s">
        <v>59</v>
      </c>
      <c r="O968" s="76" t="s">
        <v>1213</v>
      </c>
      <c r="P968" s="76" t="s">
        <v>2709</v>
      </c>
      <c r="Q968" s="79">
        <v>4532000</v>
      </c>
      <c r="R968" s="63">
        <v>1</v>
      </c>
      <c r="S968" s="80">
        <f t="shared" si="104"/>
        <v>27192000</v>
      </c>
      <c r="T968" s="63"/>
      <c r="U968" s="63" t="s">
        <v>1163</v>
      </c>
      <c r="V968" s="81" t="s">
        <v>875</v>
      </c>
      <c r="W968" s="82">
        <v>6</v>
      </c>
      <c r="X968" s="90" t="s">
        <v>2710</v>
      </c>
      <c r="Y968" s="81">
        <v>43369</v>
      </c>
      <c r="Z968" s="83">
        <v>27192000</v>
      </c>
      <c r="AA968" s="84" t="s">
        <v>2185</v>
      </c>
      <c r="AB968" s="85">
        <v>1214</v>
      </c>
      <c r="AC968" s="81">
        <v>43370</v>
      </c>
      <c r="AD968" s="86">
        <v>27192000</v>
      </c>
      <c r="AE968" s="87">
        <f t="shared" ref="AE968:AE1031" si="105">S968-Z968</f>
        <v>0</v>
      </c>
      <c r="AF968" s="85"/>
      <c r="AG968" s="81"/>
      <c r="AH968" s="86"/>
      <c r="AI968" s="63"/>
      <c r="AJ968" s="63"/>
      <c r="AK968" s="87">
        <f t="shared" si="103"/>
        <v>27192000</v>
      </c>
      <c r="AL968" s="86"/>
      <c r="AM968" s="86">
        <f t="shared" si="101"/>
        <v>0</v>
      </c>
      <c r="AN968" s="63" t="s">
        <v>1155</v>
      </c>
      <c r="AO968" s="86">
        <f t="shared" si="102"/>
        <v>27192000</v>
      </c>
      <c r="AP968" s="63"/>
      <c r="AQ968" s="81">
        <v>43368</v>
      </c>
      <c r="AR968" s="63" t="s">
        <v>2109</v>
      </c>
      <c r="AS968" s="81">
        <v>43369</v>
      </c>
      <c r="AT968" s="63" t="s">
        <v>1453</v>
      </c>
      <c r="AU968" s="220"/>
      <c r="AV968" s="220"/>
      <c r="AW968" s="220"/>
    </row>
    <row r="969" spans="1:49" s="221" customFormat="1" ht="399" x14ac:dyDescent="0.25">
      <c r="A969" s="63">
        <v>555</v>
      </c>
      <c r="B969" s="63" t="str">
        <f t="shared" si="99"/>
        <v>3075-555</v>
      </c>
      <c r="C969" s="76" t="s">
        <v>1141</v>
      </c>
      <c r="D969" s="76" t="s">
        <v>1142</v>
      </c>
      <c r="E969" s="76" t="s">
        <v>1143</v>
      </c>
      <c r="F969" s="76" t="s">
        <v>1158</v>
      </c>
      <c r="G969" s="77" t="s">
        <v>1159</v>
      </c>
      <c r="H969" s="78" t="s">
        <v>1160</v>
      </c>
      <c r="I969" s="76" t="s">
        <v>1147</v>
      </c>
      <c r="J969" s="76" t="s">
        <v>1148</v>
      </c>
      <c r="K969" s="76">
        <v>80111600</v>
      </c>
      <c r="L969" s="63" t="s">
        <v>1149</v>
      </c>
      <c r="M969" s="63" t="s">
        <v>58</v>
      </c>
      <c r="N969" s="63" t="s">
        <v>59</v>
      </c>
      <c r="O969" s="76" t="s">
        <v>1213</v>
      </c>
      <c r="P969" s="76" t="s">
        <v>2711</v>
      </c>
      <c r="Q969" s="79">
        <v>3553500</v>
      </c>
      <c r="R969" s="63">
        <v>1</v>
      </c>
      <c r="S969" s="80">
        <f t="shared" si="104"/>
        <v>21321000</v>
      </c>
      <c r="T969" s="63"/>
      <c r="U969" s="63" t="s">
        <v>1163</v>
      </c>
      <c r="V969" s="81" t="s">
        <v>875</v>
      </c>
      <c r="W969" s="82">
        <v>6</v>
      </c>
      <c r="X969" s="63" t="s">
        <v>2712</v>
      </c>
      <c r="Y969" s="81">
        <v>43369</v>
      </c>
      <c r="Z969" s="83">
        <v>21321000</v>
      </c>
      <c r="AA969" s="84" t="s">
        <v>2185</v>
      </c>
      <c r="AB969" s="85">
        <v>1213</v>
      </c>
      <c r="AC969" s="81">
        <v>43370</v>
      </c>
      <c r="AD969" s="86">
        <v>21321000</v>
      </c>
      <c r="AE969" s="87">
        <f t="shared" si="105"/>
        <v>0</v>
      </c>
      <c r="AF969" s="85"/>
      <c r="AG969" s="81"/>
      <c r="AH969" s="86"/>
      <c r="AI969" s="63"/>
      <c r="AJ969" s="63"/>
      <c r="AK969" s="87">
        <f t="shared" si="103"/>
        <v>21321000</v>
      </c>
      <c r="AL969" s="86"/>
      <c r="AM969" s="86">
        <f t="shared" si="101"/>
        <v>0</v>
      </c>
      <c r="AN969" s="63" t="s">
        <v>1155</v>
      </c>
      <c r="AO969" s="86">
        <f t="shared" si="102"/>
        <v>21321000</v>
      </c>
      <c r="AP969" s="63"/>
      <c r="AQ969" s="81">
        <v>43368</v>
      </c>
      <c r="AR969" s="63" t="s">
        <v>2109</v>
      </c>
      <c r="AS969" s="81">
        <v>43369</v>
      </c>
      <c r="AT969" s="63" t="s">
        <v>1453</v>
      </c>
      <c r="AU969" s="220"/>
      <c r="AV969" s="220"/>
      <c r="AW969" s="220"/>
    </row>
    <row r="970" spans="1:49" s="221" customFormat="1" ht="409.5" x14ac:dyDescent="0.25">
      <c r="A970" s="63">
        <v>556</v>
      </c>
      <c r="B970" s="63" t="str">
        <f t="shared" si="99"/>
        <v>3075-556</v>
      </c>
      <c r="C970" s="76" t="s">
        <v>1141</v>
      </c>
      <c r="D970" s="76" t="s">
        <v>1142</v>
      </c>
      <c r="E970" s="76" t="s">
        <v>1143</v>
      </c>
      <c r="F970" s="76" t="s">
        <v>1158</v>
      </c>
      <c r="G970" s="77" t="s">
        <v>1159</v>
      </c>
      <c r="H970" s="78" t="s">
        <v>1160</v>
      </c>
      <c r="I970" s="76" t="s">
        <v>1147</v>
      </c>
      <c r="J970" s="76" t="s">
        <v>1148</v>
      </c>
      <c r="K970" s="76">
        <v>81101500</v>
      </c>
      <c r="L970" s="63" t="s">
        <v>1149</v>
      </c>
      <c r="M970" s="63" t="s">
        <v>58</v>
      </c>
      <c r="N970" s="63" t="s">
        <v>59</v>
      </c>
      <c r="O970" s="76" t="s">
        <v>1213</v>
      </c>
      <c r="P970" s="76" t="s">
        <v>2707</v>
      </c>
      <c r="Q970" s="79">
        <v>3399000</v>
      </c>
      <c r="R970" s="63">
        <v>1</v>
      </c>
      <c r="S970" s="80">
        <f t="shared" si="104"/>
        <v>20394000</v>
      </c>
      <c r="T970" s="63"/>
      <c r="U970" s="63" t="s">
        <v>1163</v>
      </c>
      <c r="V970" s="81" t="s">
        <v>875</v>
      </c>
      <c r="W970" s="82">
        <v>6</v>
      </c>
      <c r="X970" s="63" t="s">
        <v>2713</v>
      </c>
      <c r="Y970" s="81">
        <v>43369</v>
      </c>
      <c r="Z970" s="83">
        <v>20394000</v>
      </c>
      <c r="AA970" s="84" t="s">
        <v>2185</v>
      </c>
      <c r="AB970" s="85">
        <v>1212</v>
      </c>
      <c r="AC970" s="81">
        <v>43370</v>
      </c>
      <c r="AD970" s="86">
        <v>20394000</v>
      </c>
      <c r="AE970" s="87">
        <f t="shared" si="105"/>
        <v>0</v>
      </c>
      <c r="AF970" s="85"/>
      <c r="AG970" s="81"/>
      <c r="AH970" s="86"/>
      <c r="AI970" s="63"/>
      <c r="AJ970" s="63"/>
      <c r="AK970" s="87">
        <f t="shared" si="103"/>
        <v>20394000</v>
      </c>
      <c r="AL970" s="86"/>
      <c r="AM970" s="86">
        <f t="shared" si="101"/>
        <v>0</v>
      </c>
      <c r="AN970" s="63" t="s">
        <v>1155</v>
      </c>
      <c r="AO970" s="86">
        <f t="shared" si="102"/>
        <v>20394000</v>
      </c>
      <c r="AP970" s="63"/>
      <c r="AQ970" s="81">
        <v>43368</v>
      </c>
      <c r="AR970" s="63" t="s">
        <v>2109</v>
      </c>
      <c r="AS970" s="81">
        <v>43369</v>
      </c>
      <c r="AT970" s="63" t="s">
        <v>1453</v>
      </c>
      <c r="AU970" s="220"/>
      <c r="AV970" s="220"/>
      <c r="AW970" s="220"/>
    </row>
    <row r="971" spans="1:49" s="221" customFormat="1" ht="409.5" x14ac:dyDescent="0.25">
      <c r="A971" s="63">
        <v>557</v>
      </c>
      <c r="B971" s="63" t="str">
        <f t="shared" si="99"/>
        <v>3075-557</v>
      </c>
      <c r="C971" s="76" t="s">
        <v>1141</v>
      </c>
      <c r="D971" s="76" t="s">
        <v>1142</v>
      </c>
      <c r="E971" s="76" t="s">
        <v>1143</v>
      </c>
      <c r="F971" s="76" t="s">
        <v>1158</v>
      </c>
      <c r="G971" s="77" t="s">
        <v>1159</v>
      </c>
      <c r="H971" s="78" t="s">
        <v>1160</v>
      </c>
      <c r="I971" s="76" t="s">
        <v>1147</v>
      </c>
      <c r="J971" s="76" t="s">
        <v>1148</v>
      </c>
      <c r="K971" s="76">
        <v>81101500</v>
      </c>
      <c r="L971" s="63" t="s">
        <v>1149</v>
      </c>
      <c r="M971" s="63" t="s">
        <v>58</v>
      </c>
      <c r="N971" s="63" t="s">
        <v>59</v>
      </c>
      <c r="O971" s="76" t="s">
        <v>1213</v>
      </c>
      <c r="P971" s="76" t="s">
        <v>2707</v>
      </c>
      <c r="Q971" s="79">
        <v>4120000</v>
      </c>
      <c r="R971" s="63">
        <v>1</v>
      </c>
      <c r="S971" s="80">
        <f t="shared" si="104"/>
        <v>24720000</v>
      </c>
      <c r="T971" s="63"/>
      <c r="U971" s="63" t="s">
        <v>1163</v>
      </c>
      <c r="V971" s="81" t="s">
        <v>875</v>
      </c>
      <c r="W971" s="82">
        <v>6</v>
      </c>
      <c r="X971" s="63" t="s">
        <v>2714</v>
      </c>
      <c r="Y971" s="81">
        <v>43369</v>
      </c>
      <c r="Z971" s="83">
        <v>24720000</v>
      </c>
      <c r="AA971" s="84" t="s">
        <v>2185</v>
      </c>
      <c r="AB971" s="85">
        <v>1211</v>
      </c>
      <c r="AC971" s="81">
        <v>43370</v>
      </c>
      <c r="AD971" s="86">
        <v>24720000</v>
      </c>
      <c r="AE971" s="87">
        <f t="shared" si="105"/>
        <v>0</v>
      </c>
      <c r="AF971" s="85"/>
      <c r="AG971" s="81"/>
      <c r="AH971" s="86"/>
      <c r="AI971" s="63"/>
      <c r="AJ971" s="63"/>
      <c r="AK971" s="87">
        <f t="shared" si="103"/>
        <v>24720000</v>
      </c>
      <c r="AL971" s="86"/>
      <c r="AM971" s="86">
        <f t="shared" si="101"/>
        <v>0</v>
      </c>
      <c r="AN971" s="63" t="s">
        <v>1155</v>
      </c>
      <c r="AO971" s="86">
        <f t="shared" si="102"/>
        <v>24720000</v>
      </c>
      <c r="AP971" s="63"/>
      <c r="AQ971" s="81">
        <v>43368</v>
      </c>
      <c r="AR971" s="63" t="s">
        <v>2109</v>
      </c>
      <c r="AS971" s="81">
        <v>43369</v>
      </c>
      <c r="AT971" s="63" t="s">
        <v>1453</v>
      </c>
      <c r="AU971" s="220"/>
      <c r="AV971" s="220"/>
      <c r="AW971" s="220"/>
    </row>
    <row r="972" spans="1:49" s="221" customFormat="1" ht="399" x14ac:dyDescent="0.25">
      <c r="A972" s="63">
        <v>558</v>
      </c>
      <c r="B972" s="63" t="str">
        <f t="shared" si="99"/>
        <v>3075-558</v>
      </c>
      <c r="C972" s="76" t="s">
        <v>1141</v>
      </c>
      <c r="D972" s="76" t="s">
        <v>1142</v>
      </c>
      <c r="E972" s="76" t="s">
        <v>1143</v>
      </c>
      <c r="F972" s="76" t="s">
        <v>1158</v>
      </c>
      <c r="G972" s="77" t="s">
        <v>1159</v>
      </c>
      <c r="H972" s="78" t="s">
        <v>1160</v>
      </c>
      <c r="I972" s="76" t="s">
        <v>1147</v>
      </c>
      <c r="J972" s="76" t="s">
        <v>1148</v>
      </c>
      <c r="K972" s="76">
        <v>80111600</v>
      </c>
      <c r="L972" s="63" t="s">
        <v>1149</v>
      </c>
      <c r="M972" s="63" t="s">
        <v>58</v>
      </c>
      <c r="N972" s="63" t="s">
        <v>59</v>
      </c>
      <c r="O972" s="76" t="s">
        <v>1213</v>
      </c>
      <c r="P972" s="76" t="s">
        <v>2711</v>
      </c>
      <c r="Q972" s="79">
        <v>4120000</v>
      </c>
      <c r="R972" s="63">
        <v>1</v>
      </c>
      <c r="S972" s="80">
        <f t="shared" si="104"/>
        <v>24720000</v>
      </c>
      <c r="T972" s="63"/>
      <c r="U972" s="63" t="s">
        <v>1163</v>
      </c>
      <c r="V972" s="81" t="s">
        <v>875</v>
      </c>
      <c r="W972" s="82">
        <v>6</v>
      </c>
      <c r="X972" s="90" t="s">
        <v>2715</v>
      </c>
      <c r="Y972" s="81">
        <v>43369</v>
      </c>
      <c r="Z972" s="83">
        <v>24720000</v>
      </c>
      <c r="AA972" s="84" t="s">
        <v>2185</v>
      </c>
      <c r="AB972" s="85">
        <v>1210</v>
      </c>
      <c r="AC972" s="81">
        <v>43370</v>
      </c>
      <c r="AD972" s="86">
        <v>24720000</v>
      </c>
      <c r="AE972" s="87">
        <f t="shared" si="105"/>
        <v>0</v>
      </c>
      <c r="AF972" s="85"/>
      <c r="AG972" s="81"/>
      <c r="AH972" s="86"/>
      <c r="AI972" s="63"/>
      <c r="AJ972" s="63"/>
      <c r="AK972" s="87">
        <f t="shared" si="103"/>
        <v>24720000</v>
      </c>
      <c r="AL972" s="86"/>
      <c r="AM972" s="86">
        <f t="shared" si="101"/>
        <v>0</v>
      </c>
      <c r="AN972" s="63" t="s">
        <v>1155</v>
      </c>
      <c r="AO972" s="86">
        <f t="shared" si="102"/>
        <v>24720000</v>
      </c>
      <c r="AP972" s="63"/>
      <c r="AQ972" s="81">
        <v>43368</v>
      </c>
      <c r="AR972" s="63" t="s">
        <v>2109</v>
      </c>
      <c r="AS972" s="81">
        <v>43369</v>
      </c>
      <c r="AT972" s="63" t="s">
        <v>1453</v>
      </c>
      <c r="AU972" s="220"/>
      <c r="AV972" s="220"/>
      <c r="AW972" s="220"/>
    </row>
    <row r="973" spans="1:49" s="221" customFormat="1" ht="399" x14ac:dyDescent="0.25">
      <c r="A973" s="63">
        <v>559</v>
      </c>
      <c r="B973" s="63" t="str">
        <f t="shared" si="99"/>
        <v>3075-559</v>
      </c>
      <c r="C973" s="76" t="s">
        <v>1141</v>
      </c>
      <c r="D973" s="76" t="s">
        <v>1142</v>
      </c>
      <c r="E973" s="76" t="s">
        <v>1143</v>
      </c>
      <c r="F973" s="76" t="s">
        <v>1158</v>
      </c>
      <c r="G973" s="77" t="s">
        <v>1159</v>
      </c>
      <c r="H973" s="78" t="s">
        <v>1160</v>
      </c>
      <c r="I973" s="76" t="s">
        <v>1147</v>
      </c>
      <c r="J973" s="76" t="s">
        <v>1148</v>
      </c>
      <c r="K973" s="76">
        <v>80111600</v>
      </c>
      <c r="L973" s="63" t="s">
        <v>1149</v>
      </c>
      <c r="M973" s="63" t="s">
        <v>58</v>
      </c>
      <c r="N973" s="63" t="s">
        <v>59</v>
      </c>
      <c r="O973" s="76" t="s">
        <v>1213</v>
      </c>
      <c r="P973" s="76" t="s">
        <v>2711</v>
      </c>
      <c r="Q973" s="79">
        <v>4120000</v>
      </c>
      <c r="R973" s="63">
        <v>1</v>
      </c>
      <c r="S973" s="80">
        <f t="shared" si="104"/>
        <v>24720000</v>
      </c>
      <c r="T973" s="63"/>
      <c r="U973" s="63" t="s">
        <v>1163</v>
      </c>
      <c r="V973" s="81" t="s">
        <v>875</v>
      </c>
      <c r="W973" s="82">
        <v>6</v>
      </c>
      <c r="X973" s="63" t="s">
        <v>2716</v>
      </c>
      <c r="Y973" s="81">
        <v>43369</v>
      </c>
      <c r="Z973" s="80">
        <v>24720000</v>
      </c>
      <c r="AA973" s="84" t="s">
        <v>2185</v>
      </c>
      <c r="AB973" s="85">
        <v>1230</v>
      </c>
      <c r="AC973" s="81">
        <v>43370</v>
      </c>
      <c r="AD973" s="86">
        <v>24720000</v>
      </c>
      <c r="AE973" s="87">
        <f t="shared" si="105"/>
        <v>0</v>
      </c>
      <c r="AF973" s="85"/>
      <c r="AG973" s="81"/>
      <c r="AH973" s="86"/>
      <c r="AI973" s="63"/>
      <c r="AJ973" s="63"/>
      <c r="AK973" s="87">
        <f t="shared" si="103"/>
        <v>24720000</v>
      </c>
      <c r="AL973" s="86"/>
      <c r="AM973" s="86">
        <f t="shared" si="101"/>
        <v>0</v>
      </c>
      <c r="AN973" s="63" t="s">
        <v>1155</v>
      </c>
      <c r="AO973" s="86">
        <f t="shared" si="102"/>
        <v>24720000</v>
      </c>
      <c r="AP973" s="63"/>
      <c r="AQ973" s="81">
        <v>43368</v>
      </c>
      <c r="AR973" s="63" t="s">
        <v>2109</v>
      </c>
      <c r="AS973" s="81">
        <v>43369</v>
      </c>
      <c r="AT973" s="63" t="s">
        <v>1453</v>
      </c>
      <c r="AU973" s="220"/>
      <c r="AV973" s="220"/>
      <c r="AW973" s="220"/>
    </row>
    <row r="974" spans="1:49" s="221" customFormat="1" ht="409.5" x14ac:dyDescent="0.25">
      <c r="A974" s="63">
        <v>560</v>
      </c>
      <c r="B974" s="63" t="str">
        <f t="shared" si="99"/>
        <v>3075-560</v>
      </c>
      <c r="C974" s="76" t="s">
        <v>1141</v>
      </c>
      <c r="D974" s="76" t="s">
        <v>1142</v>
      </c>
      <c r="E974" s="76" t="s">
        <v>1143</v>
      </c>
      <c r="F974" s="76" t="s">
        <v>1158</v>
      </c>
      <c r="G974" s="77" t="s">
        <v>1159</v>
      </c>
      <c r="H974" s="78" t="s">
        <v>1160</v>
      </c>
      <c r="I974" s="76" t="s">
        <v>1147</v>
      </c>
      <c r="J974" s="76" t="s">
        <v>1148</v>
      </c>
      <c r="K974" s="76">
        <v>80111600</v>
      </c>
      <c r="L974" s="63" t="s">
        <v>1149</v>
      </c>
      <c r="M974" s="63" t="s">
        <v>58</v>
      </c>
      <c r="N974" s="63" t="s">
        <v>59</v>
      </c>
      <c r="O974" s="76" t="s">
        <v>1213</v>
      </c>
      <c r="P974" s="76" t="s">
        <v>2717</v>
      </c>
      <c r="Q974" s="79">
        <v>1545000</v>
      </c>
      <c r="R974" s="63">
        <v>1</v>
      </c>
      <c r="S974" s="80">
        <f t="shared" si="104"/>
        <v>9270000</v>
      </c>
      <c r="T974" s="63"/>
      <c r="U974" s="63" t="s">
        <v>1163</v>
      </c>
      <c r="V974" s="81" t="s">
        <v>875</v>
      </c>
      <c r="W974" s="82">
        <v>6</v>
      </c>
      <c r="X974" s="63" t="s">
        <v>2718</v>
      </c>
      <c r="Y974" s="81">
        <v>43369</v>
      </c>
      <c r="Z974" s="80">
        <v>9270000</v>
      </c>
      <c r="AA974" s="84" t="s">
        <v>2185</v>
      </c>
      <c r="AB974" s="85">
        <v>1208</v>
      </c>
      <c r="AC974" s="81">
        <v>43370</v>
      </c>
      <c r="AD974" s="86">
        <v>9270000</v>
      </c>
      <c r="AE974" s="87">
        <f t="shared" si="105"/>
        <v>0</v>
      </c>
      <c r="AF974" s="85"/>
      <c r="AG974" s="81"/>
      <c r="AH974" s="86"/>
      <c r="AI974" s="63"/>
      <c r="AJ974" s="63"/>
      <c r="AK974" s="87">
        <f t="shared" si="103"/>
        <v>9270000</v>
      </c>
      <c r="AL974" s="86"/>
      <c r="AM974" s="86">
        <f t="shared" si="101"/>
        <v>0</v>
      </c>
      <c r="AN974" s="63" t="s">
        <v>1155</v>
      </c>
      <c r="AO974" s="86">
        <f t="shared" si="102"/>
        <v>9270000</v>
      </c>
      <c r="AP974" s="63"/>
      <c r="AQ974" s="81">
        <v>43368</v>
      </c>
      <c r="AR974" s="63" t="s">
        <v>2109</v>
      </c>
      <c r="AS974" s="81">
        <v>43369</v>
      </c>
      <c r="AT974" s="63" t="s">
        <v>1453</v>
      </c>
      <c r="AU974" s="220"/>
      <c r="AV974" s="220"/>
      <c r="AW974" s="220"/>
    </row>
    <row r="975" spans="1:49" s="221" customFormat="1" ht="199.5" x14ac:dyDescent="0.25">
      <c r="A975" s="63">
        <v>561</v>
      </c>
      <c r="B975" s="63" t="str">
        <f t="shared" si="99"/>
        <v>3075-561</v>
      </c>
      <c r="C975" s="76" t="s">
        <v>1141</v>
      </c>
      <c r="D975" s="76" t="s">
        <v>1142</v>
      </c>
      <c r="E975" s="76" t="s">
        <v>1174</v>
      </c>
      <c r="F975" s="76" t="s">
        <v>1175</v>
      </c>
      <c r="G975" s="77" t="s">
        <v>1176</v>
      </c>
      <c r="H975" s="78" t="s">
        <v>1177</v>
      </c>
      <c r="I975" s="76" t="s">
        <v>1147</v>
      </c>
      <c r="J975" s="76" t="s">
        <v>1178</v>
      </c>
      <c r="K975" s="76" t="s">
        <v>439</v>
      </c>
      <c r="L975" s="63" t="s">
        <v>1149</v>
      </c>
      <c r="M975" s="63" t="s">
        <v>58</v>
      </c>
      <c r="N975" s="63" t="s">
        <v>59</v>
      </c>
      <c r="O975" s="76" t="s">
        <v>1169</v>
      </c>
      <c r="P975" s="76" t="s">
        <v>2719</v>
      </c>
      <c r="Q975" s="79">
        <v>39062100</v>
      </c>
      <c r="R975" s="63">
        <v>1</v>
      </c>
      <c r="S975" s="80">
        <v>39062100</v>
      </c>
      <c r="T975" s="63"/>
      <c r="U975" s="63" t="s">
        <v>1171</v>
      </c>
      <c r="V975" s="81" t="s">
        <v>875</v>
      </c>
      <c r="W975" s="82" t="s">
        <v>439</v>
      </c>
      <c r="X975" s="90" t="s">
        <v>2720</v>
      </c>
      <c r="Y975" s="81">
        <v>43369</v>
      </c>
      <c r="Z975" s="80">
        <v>39062100</v>
      </c>
      <c r="AA975" s="84" t="s">
        <v>2649</v>
      </c>
      <c r="AB975" s="85">
        <v>1236</v>
      </c>
      <c r="AC975" s="81">
        <v>43371</v>
      </c>
      <c r="AD975" s="86">
        <v>39062100</v>
      </c>
      <c r="AE975" s="87">
        <f t="shared" si="105"/>
        <v>0</v>
      </c>
      <c r="AF975" s="85"/>
      <c r="AG975" s="81"/>
      <c r="AH975" s="86"/>
      <c r="AI975" s="63"/>
      <c r="AJ975" s="63"/>
      <c r="AK975" s="87">
        <f t="shared" si="103"/>
        <v>39062100</v>
      </c>
      <c r="AL975" s="86"/>
      <c r="AM975" s="86">
        <f t="shared" si="101"/>
        <v>0</v>
      </c>
      <c r="AN975" s="63" t="s">
        <v>1155</v>
      </c>
      <c r="AO975" s="86">
        <f t="shared" si="102"/>
        <v>39062100</v>
      </c>
      <c r="AP975" s="63"/>
      <c r="AQ975" s="81">
        <v>43369</v>
      </c>
      <c r="AR975" s="63" t="s">
        <v>2109</v>
      </c>
      <c r="AS975" s="81">
        <v>43369</v>
      </c>
      <c r="AT975" s="76" t="s">
        <v>2719</v>
      </c>
      <c r="AU975" s="220"/>
      <c r="AV975" s="220"/>
      <c r="AW975" s="220"/>
    </row>
    <row r="976" spans="1:49" s="221" customFormat="1" ht="409.5" x14ac:dyDescent="0.25">
      <c r="A976" s="63">
        <v>562</v>
      </c>
      <c r="B976" s="63" t="str">
        <f t="shared" si="99"/>
        <v>3075-562</v>
      </c>
      <c r="C976" s="76" t="s">
        <v>1141</v>
      </c>
      <c r="D976" s="76" t="s">
        <v>1142</v>
      </c>
      <c r="E976" s="76" t="s">
        <v>1143</v>
      </c>
      <c r="F976" s="76" t="s">
        <v>1158</v>
      </c>
      <c r="G976" s="77" t="s">
        <v>1159</v>
      </c>
      <c r="H976" s="78" t="s">
        <v>1160</v>
      </c>
      <c r="I976" s="76" t="s">
        <v>1147</v>
      </c>
      <c r="J976" s="76" t="s">
        <v>1148</v>
      </c>
      <c r="K976" s="76">
        <v>80111600</v>
      </c>
      <c r="L976" s="63" t="s">
        <v>1149</v>
      </c>
      <c r="M976" s="63" t="s">
        <v>58</v>
      </c>
      <c r="N976" s="63" t="s">
        <v>59</v>
      </c>
      <c r="O976" s="76" t="s">
        <v>1169</v>
      </c>
      <c r="P976" s="76" t="s">
        <v>2721</v>
      </c>
      <c r="Q976" s="79">
        <v>2472000</v>
      </c>
      <c r="R976" s="63">
        <v>1</v>
      </c>
      <c r="S976" s="80">
        <f t="shared" ref="S976:S986" si="106">Q976*R976*W976</f>
        <v>14832000</v>
      </c>
      <c r="T976" s="63"/>
      <c r="U976" s="63" t="s">
        <v>1163</v>
      </c>
      <c r="V976" s="81" t="s">
        <v>875</v>
      </c>
      <c r="W976" s="82">
        <v>6</v>
      </c>
      <c r="X976" s="63" t="s">
        <v>2722</v>
      </c>
      <c r="Y976" s="81">
        <v>43370</v>
      </c>
      <c r="Z976" s="83">
        <v>14832000</v>
      </c>
      <c r="AA976" s="84" t="s">
        <v>2185</v>
      </c>
      <c r="AB976" s="85">
        <v>1202</v>
      </c>
      <c r="AC976" s="81">
        <v>43370</v>
      </c>
      <c r="AD976" s="86">
        <v>14832000</v>
      </c>
      <c r="AE976" s="87">
        <f t="shared" si="105"/>
        <v>0</v>
      </c>
      <c r="AF976" s="85"/>
      <c r="AG976" s="81"/>
      <c r="AH976" s="86"/>
      <c r="AI976" s="63"/>
      <c r="AJ976" s="63"/>
      <c r="AK976" s="87">
        <f t="shared" si="103"/>
        <v>14832000</v>
      </c>
      <c r="AL976" s="86"/>
      <c r="AM976" s="86">
        <f t="shared" si="101"/>
        <v>0</v>
      </c>
      <c r="AN976" s="63" t="s">
        <v>1155</v>
      </c>
      <c r="AO976" s="86">
        <f t="shared" si="102"/>
        <v>14832000</v>
      </c>
      <c r="AP976" s="63"/>
      <c r="AQ976" s="81">
        <v>43370</v>
      </c>
      <c r="AR976" s="63" t="s">
        <v>2109</v>
      </c>
      <c r="AS976" s="81">
        <v>43370</v>
      </c>
      <c r="AT976" s="63" t="s">
        <v>1453</v>
      </c>
      <c r="AU976" s="220"/>
      <c r="AV976" s="220"/>
      <c r="AW976" s="220"/>
    </row>
    <row r="977" spans="1:49" s="221" customFormat="1" ht="409.5" x14ac:dyDescent="0.25">
      <c r="A977" s="63">
        <v>563</v>
      </c>
      <c r="B977" s="63" t="str">
        <f t="shared" si="99"/>
        <v>3075-563</v>
      </c>
      <c r="C977" s="76" t="s">
        <v>1141</v>
      </c>
      <c r="D977" s="76" t="s">
        <v>1142</v>
      </c>
      <c r="E977" s="76" t="s">
        <v>1143</v>
      </c>
      <c r="F977" s="76" t="s">
        <v>1158</v>
      </c>
      <c r="G977" s="77" t="s">
        <v>1159</v>
      </c>
      <c r="H977" s="78" t="s">
        <v>1160</v>
      </c>
      <c r="I977" s="76" t="s">
        <v>1147</v>
      </c>
      <c r="J977" s="76" t="s">
        <v>1148</v>
      </c>
      <c r="K977" s="76">
        <v>93141506</v>
      </c>
      <c r="L977" s="63" t="s">
        <v>1149</v>
      </c>
      <c r="M977" s="63" t="s">
        <v>58</v>
      </c>
      <c r="N977" s="63" t="s">
        <v>59</v>
      </c>
      <c r="O977" s="76" t="s">
        <v>1169</v>
      </c>
      <c r="P977" s="76" t="s">
        <v>2723</v>
      </c>
      <c r="Q977" s="79">
        <v>3553500</v>
      </c>
      <c r="R977" s="63">
        <v>1</v>
      </c>
      <c r="S977" s="80">
        <f t="shared" si="106"/>
        <v>21321000</v>
      </c>
      <c r="T977" s="63"/>
      <c r="U977" s="63" t="s">
        <v>1163</v>
      </c>
      <c r="V977" s="81" t="s">
        <v>875</v>
      </c>
      <c r="W977" s="82">
        <v>6</v>
      </c>
      <c r="X977" s="63" t="s">
        <v>2724</v>
      </c>
      <c r="Y977" s="81">
        <v>43370</v>
      </c>
      <c r="Z977" s="83">
        <v>21321000</v>
      </c>
      <c r="AA977" s="84" t="s">
        <v>2185</v>
      </c>
      <c r="AB977" s="85">
        <v>1207</v>
      </c>
      <c r="AC977" s="81">
        <v>43370</v>
      </c>
      <c r="AD977" s="86">
        <v>21321000</v>
      </c>
      <c r="AE977" s="87">
        <f t="shared" si="105"/>
        <v>0</v>
      </c>
      <c r="AF977" s="85"/>
      <c r="AG977" s="81"/>
      <c r="AH977" s="86"/>
      <c r="AI977" s="63"/>
      <c r="AJ977" s="63"/>
      <c r="AK977" s="87">
        <f t="shared" si="103"/>
        <v>21321000</v>
      </c>
      <c r="AL977" s="86"/>
      <c r="AM977" s="86">
        <f t="shared" si="101"/>
        <v>0</v>
      </c>
      <c r="AN977" s="63" t="s">
        <v>1155</v>
      </c>
      <c r="AO977" s="86">
        <f t="shared" si="102"/>
        <v>21321000</v>
      </c>
      <c r="AP977" s="63"/>
      <c r="AQ977" s="81">
        <v>43370</v>
      </c>
      <c r="AR977" s="63" t="s">
        <v>2109</v>
      </c>
      <c r="AS977" s="81">
        <v>43370</v>
      </c>
      <c r="AT977" s="63" t="s">
        <v>1453</v>
      </c>
      <c r="AU977" s="220"/>
      <c r="AV977" s="220"/>
      <c r="AW977" s="220"/>
    </row>
    <row r="978" spans="1:49" s="221" customFormat="1" ht="409.5" x14ac:dyDescent="0.25">
      <c r="A978" s="63">
        <v>564</v>
      </c>
      <c r="B978" s="63" t="str">
        <f t="shared" si="99"/>
        <v>3075-564</v>
      </c>
      <c r="C978" s="76" t="s">
        <v>1141</v>
      </c>
      <c r="D978" s="76" t="s">
        <v>1142</v>
      </c>
      <c r="E978" s="76" t="s">
        <v>1143</v>
      </c>
      <c r="F978" s="76" t="s">
        <v>1158</v>
      </c>
      <c r="G978" s="77" t="s">
        <v>1159</v>
      </c>
      <c r="H978" s="78" t="s">
        <v>1160</v>
      </c>
      <c r="I978" s="76" t="s">
        <v>1147</v>
      </c>
      <c r="J978" s="76" t="s">
        <v>1148</v>
      </c>
      <c r="K978" s="76">
        <v>81101500</v>
      </c>
      <c r="L978" s="63" t="s">
        <v>1149</v>
      </c>
      <c r="M978" s="63" t="s">
        <v>58</v>
      </c>
      <c r="N978" s="63" t="s">
        <v>59</v>
      </c>
      <c r="O978" s="76" t="s">
        <v>1169</v>
      </c>
      <c r="P978" s="76" t="s">
        <v>2707</v>
      </c>
      <c r="Q978" s="79">
        <v>3399000</v>
      </c>
      <c r="R978" s="63">
        <v>1</v>
      </c>
      <c r="S978" s="80">
        <f t="shared" si="106"/>
        <v>20394000</v>
      </c>
      <c r="T978" s="63"/>
      <c r="U978" s="63" t="s">
        <v>1163</v>
      </c>
      <c r="V978" s="81" t="s">
        <v>875</v>
      </c>
      <c r="W978" s="82">
        <v>6</v>
      </c>
      <c r="X978" s="90" t="s">
        <v>2725</v>
      </c>
      <c r="Y978" s="81">
        <v>43370</v>
      </c>
      <c r="Z978" s="83">
        <v>20394000</v>
      </c>
      <c r="AA978" s="84" t="s">
        <v>2185</v>
      </c>
      <c r="AB978" s="85">
        <v>1220</v>
      </c>
      <c r="AC978" s="81">
        <v>43370</v>
      </c>
      <c r="AD978" s="86">
        <v>20394000</v>
      </c>
      <c r="AE978" s="87">
        <f t="shared" si="105"/>
        <v>0</v>
      </c>
      <c r="AF978" s="85"/>
      <c r="AG978" s="81"/>
      <c r="AH978" s="86"/>
      <c r="AI978" s="63"/>
      <c r="AJ978" s="63"/>
      <c r="AK978" s="87">
        <f t="shared" si="103"/>
        <v>20394000</v>
      </c>
      <c r="AL978" s="86"/>
      <c r="AM978" s="86">
        <f t="shared" si="101"/>
        <v>0</v>
      </c>
      <c r="AN978" s="63" t="s">
        <v>1155</v>
      </c>
      <c r="AO978" s="86">
        <f t="shared" si="102"/>
        <v>20394000</v>
      </c>
      <c r="AP978" s="63"/>
      <c r="AQ978" s="81">
        <v>43370</v>
      </c>
      <c r="AR978" s="63" t="s">
        <v>2109</v>
      </c>
      <c r="AS978" s="81">
        <v>43370</v>
      </c>
      <c r="AT978" s="63" t="s">
        <v>1453</v>
      </c>
      <c r="AU978" s="220"/>
      <c r="AV978" s="220"/>
      <c r="AW978" s="220"/>
    </row>
    <row r="979" spans="1:49" s="221" customFormat="1" ht="409.5" x14ac:dyDescent="0.25">
      <c r="A979" s="63">
        <v>565</v>
      </c>
      <c r="B979" s="63" t="str">
        <f t="shared" si="99"/>
        <v>3075-565</v>
      </c>
      <c r="C979" s="76" t="s">
        <v>1141</v>
      </c>
      <c r="D979" s="76" t="s">
        <v>1142</v>
      </c>
      <c r="E979" s="76" t="s">
        <v>1143</v>
      </c>
      <c r="F979" s="76" t="s">
        <v>1158</v>
      </c>
      <c r="G979" s="77" t="s">
        <v>1159</v>
      </c>
      <c r="H979" s="78" t="s">
        <v>1160</v>
      </c>
      <c r="I979" s="76" t="s">
        <v>1147</v>
      </c>
      <c r="J979" s="76" t="s">
        <v>1148</v>
      </c>
      <c r="K979" s="76">
        <v>80111600</v>
      </c>
      <c r="L979" s="63" t="s">
        <v>1149</v>
      </c>
      <c r="M979" s="63" t="s">
        <v>58</v>
      </c>
      <c r="N979" s="63" t="s">
        <v>59</v>
      </c>
      <c r="O979" s="76" t="s">
        <v>1169</v>
      </c>
      <c r="P979" s="76" t="s">
        <v>2726</v>
      </c>
      <c r="Q979" s="79">
        <v>4532000</v>
      </c>
      <c r="R979" s="63">
        <v>1</v>
      </c>
      <c r="S979" s="80">
        <f t="shared" si="106"/>
        <v>27192000</v>
      </c>
      <c r="T979" s="63"/>
      <c r="U979" s="63" t="s">
        <v>1163</v>
      </c>
      <c r="V979" s="81" t="s">
        <v>875</v>
      </c>
      <c r="W979" s="82">
        <v>6</v>
      </c>
      <c r="X979" s="63" t="s">
        <v>2727</v>
      </c>
      <c r="Y979" s="81">
        <v>43370</v>
      </c>
      <c r="Z979" s="83">
        <v>27192000</v>
      </c>
      <c r="AA979" s="84" t="s">
        <v>2185</v>
      </c>
      <c r="AB979" s="85">
        <v>1201</v>
      </c>
      <c r="AC979" s="81">
        <v>43370</v>
      </c>
      <c r="AD979" s="86">
        <v>27192000</v>
      </c>
      <c r="AE979" s="87">
        <f t="shared" si="105"/>
        <v>0</v>
      </c>
      <c r="AF979" s="85"/>
      <c r="AG979" s="81"/>
      <c r="AH979" s="86"/>
      <c r="AI979" s="63"/>
      <c r="AJ979" s="63"/>
      <c r="AK979" s="87">
        <f t="shared" si="103"/>
        <v>27192000</v>
      </c>
      <c r="AL979" s="86"/>
      <c r="AM979" s="86">
        <f t="shared" si="101"/>
        <v>0</v>
      </c>
      <c r="AN979" s="63" t="s">
        <v>1155</v>
      </c>
      <c r="AO979" s="86">
        <f t="shared" si="102"/>
        <v>27192000</v>
      </c>
      <c r="AP979" s="63"/>
      <c r="AQ979" s="81">
        <v>43370</v>
      </c>
      <c r="AR979" s="63" t="s">
        <v>2109</v>
      </c>
      <c r="AS979" s="81">
        <v>43370</v>
      </c>
      <c r="AT979" s="63" t="s">
        <v>1453</v>
      </c>
      <c r="AU979" s="220"/>
      <c r="AV979" s="220"/>
      <c r="AW979" s="220"/>
    </row>
    <row r="980" spans="1:49" s="221" customFormat="1" ht="409.5" x14ac:dyDescent="0.25">
      <c r="A980" s="63">
        <v>566</v>
      </c>
      <c r="B980" s="63" t="str">
        <f t="shared" si="99"/>
        <v>3075-566</v>
      </c>
      <c r="C980" s="76" t="s">
        <v>1141</v>
      </c>
      <c r="D980" s="76" t="s">
        <v>1142</v>
      </c>
      <c r="E980" s="76" t="s">
        <v>1143</v>
      </c>
      <c r="F980" s="76" t="s">
        <v>1158</v>
      </c>
      <c r="G980" s="77" t="s">
        <v>1159</v>
      </c>
      <c r="H980" s="78" t="s">
        <v>1160</v>
      </c>
      <c r="I980" s="76" t="s">
        <v>1147</v>
      </c>
      <c r="J980" s="76" t="s">
        <v>1148</v>
      </c>
      <c r="K980" s="76">
        <v>93141506</v>
      </c>
      <c r="L980" s="63" t="s">
        <v>1149</v>
      </c>
      <c r="M980" s="63" t="s">
        <v>58</v>
      </c>
      <c r="N980" s="63" t="s">
        <v>59</v>
      </c>
      <c r="O980" s="76" t="s">
        <v>1169</v>
      </c>
      <c r="P980" s="76" t="s">
        <v>2728</v>
      </c>
      <c r="Q980" s="79">
        <v>4532000</v>
      </c>
      <c r="R980" s="63">
        <v>1</v>
      </c>
      <c r="S980" s="80">
        <f t="shared" si="106"/>
        <v>27192000</v>
      </c>
      <c r="T980" s="63"/>
      <c r="U980" s="63" t="s">
        <v>1163</v>
      </c>
      <c r="V980" s="81" t="s">
        <v>875</v>
      </c>
      <c r="W980" s="82">
        <v>6</v>
      </c>
      <c r="X980" s="63" t="s">
        <v>2729</v>
      </c>
      <c r="Y980" s="81">
        <v>43370</v>
      </c>
      <c r="Z980" s="83">
        <v>27192000</v>
      </c>
      <c r="AA980" s="84" t="s">
        <v>2185</v>
      </c>
      <c r="AB980" s="85">
        <v>1206</v>
      </c>
      <c r="AC980" s="81">
        <v>43370</v>
      </c>
      <c r="AD980" s="86">
        <v>27192000</v>
      </c>
      <c r="AE980" s="87">
        <f t="shared" si="105"/>
        <v>0</v>
      </c>
      <c r="AF980" s="85"/>
      <c r="AG980" s="81"/>
      <c r="AH980" s="86"/>
      <c r="AI980" s="63"/>
      <c r="AJ980" s="63"/>
      <c r="AK980" s="87">
        <f t="shared" si="103"/>
        <v>27192000</v>
      </c>
      <c r="AL980" s="86"/>
      <c r="AM980" s="86">
        <f t="shared" si="101"/>
        <v>0</v>
      </c>
      <c r="AN980" s="63" t="s">
        <v>1155</v>
      </c>
      <c r="AO980" s="86">
        <f t="shared" si="102"/>
        <v>27192000</v>
      </c>
      <c r="AP980" s="63"/>
      <c r="AQ980" s="81">
        <v>43370</v>
      </c>
      <c r="AR980" s="63" t="s">
        <v>2109</v>
      </c>
      <c r="AS980" s="81">
        <v>43370</v>
      </c>
      <c r="AT980" s="63" t="s">
        <v>1453</v>
      </c>
      <c r="AU980" s="220"/>
      <c r="AV980" s="220"/>
      <c r="AW980" s="220"/>
    </row>
    <row r="981" spans="1:49" s="221" customFormat="1" ht="409.5" x14ac:dyDescent="0.25">
      <c r="A981" s="63">
        <v>567</v>
      </c>
      <c r="B981" s="63" t="str">
        <f t="shared" si="99"/>
        <v>3075-567</v>
      </c>
      <c r="C981" s="76" t="s">
        <v>1141</v>
      </c>
      <c r="D981" s="76" t="s">
        <v>1142</v>
      </c>
      <c r="E981" s="76" t="s">
        <v>1143</v>
      </c>
      <c r="F981" s="76" t="s">
        <v>1158</v>
      </c>
      <c r="G981" s="77" t="s">
        <v>1159</v>
      </c>
      <c r="H981" s="78" t="s">
        <v>1160</v>
      </c>
      <c r="I981" s="76" t="s">
        <v>1147</v>
      </c>
      <c r="J981" s="76" t="s">
        <v>1148</v>
      </c>
      <c r="K981" s="76">
        <v>81101500</v>
      </c>
      <c r="L981" s="63" t="s">
        <v>1149</v>
      </c>
      <c r="M981" s="63" t="s">
        <v>58</v>
      </c>
      <c r="N981" s="63" t="s">
        <v>59</v>
      </c>
      <c r="O981" s="76" t="s">
        <v>1169</v>
      </c>
      <c r="P981" s="76" t="s">
        <v>2707</v>
      </c>
      <c r="Q981" s="79">
        <v>4120000</v>
      </c>
      <c r="R981" s="63">
        <v>1</v>
      </c>
      <c r="S981" s="80">
        <f t="shared" si="106"/>
        <v>24720000</v>
      </c>
      <c r="T981" s="63"/>
      <c r="U981" s="63" t="s">
        <v>1163</v>
      </c>
      <c r="V981" s="81" t="s">
        <v>875</v>
      </c>
      <c r="W981" s="82">
        <v>6</v>
      </c>
      <c r="X981" s="90" t="s">
        <v>2730</v>
      </c>
      <c r="Y981" s="81">
        <v>43370</v>
      </c>
      <c r="Z981" s="83">
        <v>24720000</v>
      </c>
      <c r="AA981" s="84" t="s">
        <v>2185</v>
      </c>
      <c r="AB981" s="85">
        <v>1219</v>
      </c>
      <c r="AC981" s="81">
        <v>43370</v>
      </c>
      <c r="AD981" s="86">
        <v>24720000</v>
      </c>
      <c r="AE981" s="87">
        <f t="shared" si="105"/>
        <v>0</v>
      </c>
      <c r="AF981" s="85"/>
      <c r="AG981" s="81"/>
      <c r="AH981" s="86"/>
      <c r="AI981" s="63"/>
      <c r="AJ981" s="63"/>
      <c r="AK981" s="87">
        <f t="shared" si="103"/>
        <v>24720000</v>
      </c>
      <c r="AL981" s="86"/>
      <c r="AM981" s="86">
        <f t="shared" si="101"/>
        <v>0</v>
      </c>
      <c r="AN981" s="63" t="s">
        <v>1155</v>
      </c>
      <c r="AO981" s="86">
        <f t="shared" si="102"/>
        <v>24720000</v>
      </c>
      <c r="AP981" s="63"/>
      <c r="AQ981" s="81">
        <v>43370</v>
      </c>
      <c r="AR981" s="63" t="s">
        <v>2109</v>
      </c>
      <c r="AS981" s="81">
        <v>43370</v>
      </c>
      <c r="AT981" s="63" t="s">
        <v>1453</v>
      </c>
      <c r="AU981" s="220"/>
      <c r="AV981" s="220"/>
      <c r="AW981" s="220"/>
    </row>
    <row r="982" spans="1:49" s="221" customFormat="1" ht="356.25" x14ac:dyDescent="0.25">
      <c r="A982" s="63">
        <v>568</v>
      </c>
      <c r="B982" s="63" t="str">
        <f t="shared" si="99"/>
        <v>3075-568</v>
      </c>
      <c r="C982" s="76" t="s">
        <v>1141</v>
      </c>
      <c r="D982" s="76" t="s">
        <v>1142</v>
      </c>
      <c r="E982" s="76" t="s">
        <v>1143</v>
      </c>
      <c r="F982" s="76" t="s">
        <v>1158</v>
      </c>
      <c r="G982" s="77" t="s">
        <v>1159</v>
      </c>
      <c r="H982" s="78" t="s">
        <v>1160</v>
      </c>
      <c r="I982" s="76" t="s">
        <v>1147</v>
      </c>
      <c r="J982" s="76" t="s">
        <v>1148</v>
      </c>
      <c r="K982" s="76">
        <v>93141506</v>
      </c>
      <c r="L982" s="63" t="s">
        <v>1149</v>
      </c>
      <c r="M982" s="63" t="s">
        <v>58</v>
      </c>
      <c r="N982" s="63" t="s">
        <v>59</v>
      </c>
      <c r="O982" s="76" t="s">
        <v>1169</v>
      </c>
      <c r="P982" s="76" t="s">
        <v>2731</v>
      </c>
      <c r="Q982" s="79">
        <v>5036700</v>
      </c>
      <c r="R982" s="63">
        <v>1</v>
      </c>
      <c r="S982" s="80">
        <f t="shared" si="106"/>
        <v>30220200</v>
      </c>
      <c r="T982" s="63"/>
      <c r="U982" s="63" t="s">
        <v>1163</v>
      </c>
      <c r="V982" s="81" t="s">
        <v>875</v>
      </c>
      <c r="W982" s="82">
        <v>6</v>
      </c>
      <c r="X982" s="63" t="s">
        <v>2732</v>
      </c>
      <c r="Y982" s="81">
        <v>43370</v>
      </c>
      <c r="Z982" s="83">
        <v>30220200</v>
      </c>
      <c r="AA982" s="84" t="s">
        <v>2185</v>
      </c>
      <c r="AB982" s="85">
        <v>1203</v>
      </c>
      <c r="AC982" s="81">
        <v>43370</v>
      </c>
      <c r="AD982" s="86">
        <v>30220200</v>
      </c>
      <c r="AE982" s="87">
        <f t="shared" si="105"/>
        <v>0</v>
      </c>
      <c r="AF982" s="85"/>
      <c r="AG982" s="81"/>
      <c r="AH982" s="86"/>
      <c r="AI982" s="63"/>
      <c r="AJ982" s="63"/>
      <c r="AK982" s="87">
        <f t="shared" si="103"/>
        <v>30220200</v>
      </c>
      <c r="AL982" s="86"/>
      <c r="AM982" s="86">
        <f t="shared" si="101"/>
        <v>0</v>
      </c>
      <c r="AN982" s="63" t="s">
        <v>1155</v>
      </c>
      <c r="AO982" s="86">
        <f t="shared" si="102"/>
        <v>30220200</v>
      </c>
      <c r="AP982" s="63"/>
      <c r="AQ982" s="81">
        <v>43370</v>
      </c>
      <c r="AR982" s="63" t="s">
        <v>2109</v>
      </c>
      <c r="AS982" s="81">
        <v>43370</v>
      </c>
      <c r="AT982" s="63" t="s">
        <v>1453</v>
      </c>
      <c r="AU982" s="220"/>
      <c r="AV982" s="220"/>
      <c r="AW982" s="220"/>
    </row>
    <row r="983" spans="1:49" s="221" customFormat="1" ht="409.5" x14ac:dyDescent="0.25">
      <c r="A983" s="63">
        <v>569</v>
      </c>
      <c r="B983" s="63" t="str">
        <f t="shared" si="99"/>
        <v>3075-569</v>
      </c>
      <c r="C983" s="76" t="s">
        <v>1141</v>
      </c>
      <c r="D983" s="76" t="s">
        <v>1142</v>
      </c>
      <c r="E983" s="76" t="s">
        <v>1143</v>
      </c>
      <c r="F983" s="76" t="s">
        <v>1158</v>
      </c>
      <c r="G983" s="77" t="s">
        <v>1159</v>
      </c>
      <c r="H983" s="78" t="s">
        <v>1160</v>
      </c>
      <c r="I983" s="76" t="s">
        <v>1147</v>
      </c>
      <c r="J983" s="76" t="s">
        <v>1148</v>
      </c>
      <c r="K983" s="76">
        <v>81101500</v>
      </c>
      <c r="L983" s="63" t="s">
        <v>1149</v>
      </c>
      <c r="M983" s="63" t="s">
        <v>58</v>
      </c>
      <c r="N983" s="63" t="s">
        <v>59</v>
      </c>
      <c r="O983" s="76" t="s">
        <v>1169</v>
      </c>
      <c r="P983" s="76" t="s">
        <v>2733</v>
      </c>
      <c r="Q983" s="79">
        <v>4532000</v>
      </c>
      <c r="R983" s="63">
        <v>1</v>
      </c>
      <c r="S983" s="80">
        <f t="shared" si="106"/>
        <v>27192000</v>
      </c>
      <c r="T983" s="63"/>
      <c r="U983" s="63" t="s">
        <v>1163</v>
      </c>
      <c r="V983" s="81" t="s">
        <v>875</v>
      </c>
      <c r="W983" s="82">
        <v>6</v>
      </c>
      <c r="X983" s="63" t="s">
        <v>2734</v>
      </c>
      <c r="Y983" s="81">
        <v>43370</v>
      </c>
      <c r="Z983" s="83">
        <v>27192000</v>
      </c>
      <c r="AA983" s="84" t="s">
        <v>2185</v>
      </c>
      <c r="AB983" s="85">
        <v>1209</v>
      </c>
      <c r="AC983" s="81">
        <v>43370</v>
      </c>
      <c r="AD983" s="86">
        <v>27192000</v>
      </c>
      <c r="AE983" s="87">
        <f t="shared" si="105"/>
        <v>0</v>
      </c>
      <c r="AF983" s="85"/>
      <c r="AG983" s="81"/>
      <c r="AH983" s="86"/>
      <c r="AI983" s="63"/>
      <c r="AJ983" s="63"/>
      <c r="AK983" s="87">
        <f t="shared" si="103"/>
        <v>27192000</v>
      </c>
      <c r="AL983" s="86"/>
      <c r="AM983" s="86">
        <f t="shared" si="101"/>
        <v>0</v>
      </c>
      <c r="AN983" s="63" t="s">
        <v>1155</v>
      </c>
      <c r="AO983" s="86">
        <f t="shared" si="102"/>
        <v>27192000</v>
      </c>
      <c r="AP983" s="63"/>
      <c r="AQ983" s="81">
        <v>43370</v>
      </c>
      <c r="AR983" s="63" t="s">
        <v>2109</v>
      </c>
      <c r="AS983" s="81">
        <v>43370</v>
      </c>
      <c r="AT983" s="63" t="s">
        <v>1453</v>
      </c>
      <c r="AU983" s="220"/>
      <c r="AV983" s="220"/>
      <c r="AW983" s="220"/>
    </row>
    <row r="984" spans="1:49" s="221" customFormat="1" ht="409.5" x14ac:dyDescent="0.25">
      <c r="A984" s="63">
        <v>570</v>
      </c>
      <c r="B984" s="63" t="str">
        <f t="shared" si="99"/>
        <v>3075-570</v>
      </c>
      <c r="C984" s="76" t="s">
        <v>1141</v>
      </c>
      <c r="D984" s="76" t="s">
        <v>1142</v>
      </c>
      <c r="E984" s="76" t="s">
        <v>1143</v>
      </c>
      <c r="F984" s="76" t="s">
        <v>1158</v>
      </c>
      <c r="G984" s="77" t="s">
        <v>1159</v>
      </c>
      <c r="H984" s="78" t="s">
        <v>1160</v>
      </c>
      <c r="I984" s="76" t="s">
        <v>1147</v>
      </c>
      <c r="J984" s="76" t="s">
        <v>1148</v>
      </c>
      <c r="K984" s="76">
        <v>93141506</v>
      </c>
      <c r="L984" s="63" t="s">
        <v>1149</v>
      </c>
      <c r="M984" s="63" t="s">
        <v>58</v>
      </c>
      <c r="N984" s="63" t="s">
        <v>59</v>
      </c>
      <c r="O984" s="76" t="s">
        <v>1169</v>
      </c>
      <c r="P984" s="76" t="s">
        <v>2723</v>
      </c>
      <c r="Q984" s="79">
        <v>3399000</v>
      </c>
      <c r="R984" s="63">
        <v>1</v>
      </c>
      <c r="S984" s="80">
        <f t="shared" si="106"/>
        <v>20394000</v>
      </c>
      <c r="T984" s="63"/>
      <c r="U984" s="63" t="s">
        <v>1163</v>
      </c>
      <c r="V984" s="81" t="s">
        <v>875</v>
      </c>
      <c r="W984" s="82">
        <v>6</v>
      </c>
      <c r="X984" s="90" t="s">
        <v>2735</v>
      </c>
      <c r="Y984" s="81">
        <v>43370</v>
      </c>
      <c r="Z984" s="83">
        <v>20394000</v>
      </c>
      <c r="AA984" s="84" t="s">
        <v>2185</v>
      </c>
      <c r="AB984" s="85">
        <v>1231</v>
      </c>
      <c r="AC984" s="81">
        <v>43370</v>
      </c>
      <c r="AD984" s="86">
        <v>20394000</v>
      </c>
      <c r="AE984" s="87">
        <f t="shared" si="105"/>
        <v>0</v>
      </c>
      <c r="AF984" s="85"/>
      <c r="AG984" s="81"/>
      <c r="AH984" s="86"/>
      <c r="AI984" s="63"/>
      <c r="AJ984" s="63"/>
      <c r="AK984" s="87">
        <f t="shared" si="103"/>
        <v>20394000</v>
      </c>
      <c r="AL984" s="86"/>
      <c r="AM984" s="86">
        <f t="shared" si="101"/>
        <v>0</v>
      </c>
      <c r="AN984" s="63" t="s">
        <v>1155</v>
      </c>
      <c r="AO984" s="86">
        <f t="shared" si="102"/>
        <v>20394000</v>
      </c>
      <c r="AP984" s="63"/>
      <c r="AQ984" s="81">
        <v>43370</v>
      </c>
      <c r="AR984" s="63" t="s">
        <v>2109</v>
      </c>
      <c r="AS984" s="81">
        <v>43370</v>
      </c>
      <c r="AT984" s="63" t="s">
        <v>1453</v>
      </c>
      <c r="AU984" s="220"/>
      <c r="AV984" s="220"/>
      <c r="AW984" s="220"/>
    </row>
    <row r="985" spans="1:49" s="221" customFormat="1" ht="409.5" x14ac:dyDescent="0.25">
      <c r="A985" s="63">
        <v>571</v>
      </c>
      <c r="B985" s="63" t="str">
        <f t="shared" si="99"/>
        <v>3075-571</v>
      </c>
      <c r="C985" s="76" t="s">
        <v>1141</v>
      </c>
      <c r="D985" s="76" t="s">
        <v>1142</v>
      </c>
      <c r="E985" s="76" t="s">
        <v>1143</v>
      </c>
      <c r="F985" s="76" t="s">
        <v>1158</v>
      </c>
      <c r="G985" s="77" t="s">
        <v>1159</v>
      </c>
      <c r="H985" s="78" t="s">
        <v>1160</v>
      </c>
      <c r="I985" s="76" t="s">
        <v>1147</v>
      </c>
      <c r="J985" s="76" t="s">
        <v>1148</v>
      </c>
      <c r="K985" s="76">
        <v>93141506</v>
      </c>
      <c r="L985" s="63" t="s">
        <v>1149</v>
      </c>
      <c r="M985" s="63" t="s">
        <v>58</v>
      </c>
      <c r="N985" s="63" t="s">
        <v>59</v>
      </c>
      <c r="O985" s="76" t="s">
        <v>1169</v>
      </c>
      <c r="P985" s="76" t="s">
        <v>2736</v>
      </c>
      <c r="Q985" s="79">
        <v>3399000</v>
      </c>
      <c r="R985" s="63">
        <v>1</v>
      </c>
      <c r="S985" s="80">
        <f t="shared" si="106"/>
        <v>20394000</v>
      </c>
      <c r="T985" s="63"/>
      <c r="U985" s="63" t="s">
        <v>1163</v>
      </c>
      <c r="V985" s="81" t="s">
        <v>875</v>
      </c>
      <c r="W985" s="82">
        <v>6</v>
      </c>
      <c r="X985" s="63" t="s">
        <v>2737</v>
      </c>
      <c r="Y985" s="81">
        <v>43370</v>
      </c>
      <c r="Z985" s="83">
        <v>20394000</v>
      </c>
      <c r="AA985" s="84" t="s">
        <v>2185</v>
      </c>
      <c r="AB985" s="85">
        <v>1218</v>
      </c>
      <c r="AC985" s="81">
        <v>43370</v>
      </c>
      <c r="AD985" s="86">
        <v>20394000</v>
      </c>
      <c r="AE985" s="87">
        <f t="shared" si="105"/>
        <v>0</v>
      </c>
      <c r="AF985" s="85"/>
      <c r="AG985" s="81"/>
      <c r="AH985" s="86"/>
      <c r="AI985" s="63"/>
      <c r="AJ985" s="63"/>
      <c r="AK985" s="87">
        <f t="shared" si="103"/>
        <v>20394000</v>
      </c>
      <c r="AL985" s="86"/>
      <c r="AM985" s="86">
        <f t="shared" si="101"/>
        <v>0</v>
      </c>
      <c r="AN985" s="63" t="s">
        <v>1155</v>
      </c>
      <c r="AO985" s="86">
        <f t="shared" si="102"/>
        <v>20394000</v>
      </c>
      <c r="AP985" s="63"/>
      <c r="AQ985" s="81">
        <v>43370</v>
      </c>
      <c r="AR985" s="63" t="s">
        <v>2109</v>
      </c>
      <c r="AS985" s="81">
        <v>43370</v>
      </c>
      <c r="AT985" s="63" t="s">
        <v>1453</v>
      </c>
      <c r="AU985" s="220"/>
      <c r="AV985" s="220"/>
      <c r="AW985" s="220"/>
    </row>
    <row r="986" spans="1:49" s="221" customFormat="1" ht="409.5" x14ac:dyDescent="0.25">
      <c r="A986" s="63">
        <v>572</v>
      </c>
      <c r="B986" s="63" t="str">
        <f t="shared" si="99"/>
        <v>3075-572</v>
      </c>
      <c r="C986" s="76" t="s">
        <v>1141</v>
      </c>
      <c r="D986" s="76" t="s">
        <v>1142</v>
      </c>
      <c r="E986" s="76" t="s">
        <v>1143</v>
      </c>
      <c r="F986" s="76" t="s">
        <v>1158</v>
      </c>
      <c r="G986" s="77" t="s">
        <v>1159</v>
      </c>
      <c r="H986" s="78" t="s">
        <v>1160</v>
      </c>
      <c r="I986" s="76" t="s">
        <v>1147</v>
      </c>
      <c r="J986" s="76" t="s">
        <v>1148</v>
      </c>
      <c r="K986" s="76">
        <v>80111600</v>
      </c>
      <c r="L986" s="63" t="s">
        <v>1149</v>
      </c>
      <c r="M986" s="63" t="s">
        <v>58</v>
      </c>
      <c r="N986" s="63" t="s">
        <v>59</v>
      </c>
      <c r="O986" s="76" t="s">
        <v>1169</v>
      </c>
      <c r="P986" s="76" t="s">
        <v>2697</v>
      </c>
      <c r="Q986" s="79">
        <v>1545000</v>
      </c>
      <c r="R986" s="63">
        <v>1</v>
      </c>
      <c r="S986" s="80">
        <f t="shared" si="106"/>
        <v>9270000</v>
      </c>
      <c r="T986" s="63"/>
      <c r="U986" s="63" t="s">
        <v>1163</v>
      </c>
      <c r="V986" s="81" t="s">
        <v>875</v>
      </c>
      <c r="W986" s="82">
        <v>6</v>
      </c>
      <c r="X986" s="63" t="s">
        <v>2738</v>
      </c>
      <c r="Y986" s="81">
        <v>43370</v>
      </c>
      <c r="Z986" s="83">
        <v>9270000</v>
      </c>
      <c r="AA986" s="84" t="s">
        <v>2739</v>
      </c>
      <c r="AB986" s="85">
        <v>1221</v>
      </c>
      <c r="AC986" s="81">
        <v>43370</v>
      </c>
      <c r="AD986" s="86">
        <v>9270000</v>
      </c>
      <c r="AE986" s="87">
        <f t="shared" si="105"/>
        <v>0</v>
      </c>
      <c r="AF986" s="85"/>
      <c r="AG986" s="81"/>
      <c r="AH986" s="86"/>
      <c r="AI986" s="63"/>
      <c r="AJ986" s="63"/>
      <c r="AK986" s="87">
        <f t="shared" si="103"/>
        <v>9270000</v>
      </c>
      <c r="AL986" s="86"/>
      <c r="AM986" s="86">
        <f t="shared" si="101"/>
        <v>0</v>
      </c>
      <c r="AN986" s="63" t="s">
        <v>1155</v>
      </c>
      <c r="AO986" s="86">
        <f t="shared" si="102"/>
        <v>9270000</v>
      </c>
      <c r="AP986" s="63"/>
      <c r="AQ986" s="81">
        <v>43370</v>
      </c>
      <c r="AR986" s="63" t="s">
        <v>2109</v>
      </c>
      <c r="AS986" s="81">
        <v>43370</v>
      </c>
      <c r="AT986" s="63" t="s">
        <v>1453</v>
      </c>
      <c r="AU986" s="220"/>
      <c r="AV986" s="220"/>
      <c r="AW986" s="220"/>
    </row>
    <row r="987" spans="1:49" s="221" customFormat="1" ht="409.5" x14ac:dyDescent="0.25">
      <c r="A987" s="63">
        <v>573</v>
      </c>
      <c r="B987" s="63" t="str">
        <f t="shared" si="99"/>
        <v>3075-573</v>
      </c>
      <c r="C987" s="76" t="s">
        <v>1141</v>
      </c>
      <c r="D987" s="76" t="s">
        <v>1142</v>
      </c>
      <c r="E987" s="76" t="s">
        <v>1143</v>
      </c>
      <c r="F987" s="76" t="s">
        <v>1158</v>
      </c>
      <c r="G987" s="88" t="s">
        <v>1159</v>
      </c>
      <c r="H987" s="78" t="s">
        <v>1160</v>
      </c>
      <c r="I987" s="76" t="s">
        <v>1147</v>
      </c>
      <c r="J987" s="76" t="s">
        <v>1148</v>
      </c>
      <c r="K987" s="76">
        <v>81101500</v>
      </c>
      <c r="L987" s="63" t="s">
        <v>1149</v>
      </c>
      <c r="M987" s="63" t="s">
        <v>58</v>
      </c>
      <c r="N987" s="63" t="s">
        <v>59</v>
      </c>
      <c r="O987" s="63" t="s">
        <v>1161</v>
      </c>
      <c r="P987" s="76" t="s">
        <v>2740</v>
      </c>
      <c r="Q987" s="79">
        <v>4532000</v>
      </c>
      <c r="R987" s="63">
        <v>1</v>
      </c>
      <c r="S987" s="80">
        <f>Q987*R987*W987</f>
        <v>27192000</v>
      </c>
      <c r="T987" s="63"/>
      <c r="U987" s="63" t="s">
        <v>1163</v>
      </c>
      <c r="V987" s="81" t="s">
        <v>875</v>
      </c>
      <c r="W987" s="82">
        <v>6</v>
      </c>
      <c r="X987" s="63" t="s">
        <v>2741</v>
      </c>
      <c r="Y987" s="89">
        <v>43370</v>
      </c>
      <c r="Z987" s="83">
        <v>27192000</v>
      </c>
      <c r="AA987" s="84" t="s">
        <v>2742</v>
      </c>
      <c r="AB987" s="85"/>
      <c r="AC987" s="81"/>
      <c r="AD987" s="86"/>
      <c r="AE987" s="87">
        <f t="shared" si="105"/>
        <v>0</v>
      </c>
      <c r="AF987" s="85"/>
      <c r="AG987" s="81"/>
      <c r="AH987" s="86"/>
      <c r="AI987" s="63"/>
      <c r="AJ987" s="63"/>
      <c r="AK987" s="87">
        <f t="shared" si="103"/>
        <v>0</v>
      </c>
      <c r="AL987" s="86">
        <v>0</v>
      </c>
      <c r="AM987" s="86">
        <f t="shared" si="101"/>
        <v>0</v>
      </c>
      <c r="AN987" s="63" t="s">
        <v>1155</v>
      </c>
      <c r="AO987" s="86">
        <f t="shared" si="102"/>
        <v>27192000</v>
      </c>
      <c r="AP987" s="63"/>
      <c r="AQ987" s="81">
        <v>43370</v>
      </c>
      <c r="AR987" s="63" t="s">
        <v>2109</v>
      </c>
      <c r="AS987" s="81">
        <v>43370</v>
      </c>
      <c r="AT987" s="63" t="s">
        <v>1453</v>
      </c>
      <c r="AU987" s="220"/>
      <c r="AV987" s="220"/>
      <c r="AW987" s="220"/>
    </row>
    <row r="988" spans="1:49" s="221" customFormat="1" ht="409.5" x14ac:dyDescent="0.25">
      <c r="A988" s="63">
        <v>574</v>
      </c>
      <c r="B988" s="63" t="str">
        <f t="shared" si="99"/>
        <v>3075-574</v>
      </c>
      <c r="C988" s="76" t="s">
        <v>1141</v>
      </c>
      <c r="D988" s="76" t="s">
        <v>1142</v>
      </c>
      <c r="E988" s="76" t="s">
        <v>1143</v>
      </c>
      <c r="F988" s="76" t="s">
        <v>1158</v>
      </c>
      <c r="G988" s="88" t="s">
        <v>1159</v>
      </c>
      <c r="H988" s="78" t="s">
        <v>1160</v>
      </c>
      <c r="I988" s="76" t="s">
        <v>1147</v>
      </c>
      <c r="J988" s="76" t="s">
        <v>1148</v>
      </c>
      <c r="K988" s="76">
        <v>81101500</v>
      </c>
      <c r="L988" s="63" t="s">
        <v>1149</v>
      </c>
      <c r="M988" s="63" t="s">
        <v>58</v>
      </c>
      <c r="N988" s="63" t="s">
        <v>59</v>
      </c>
      <c r="O988" s="63" t="s">
        <v>1161</v>
      </c>
      <c r="P988" s="76" t="s">
        <v>2740</v>
      </c>
      <c r="Q988" s="79">
        <v>4532000</v>
      </c>
      <c r="R988" s="63">
        <v>1</v>
      </c>
      <c r="S988" s="80">
        <f t="shared" ref="S988:S990" si="107">Q988*R988*W988</f>
        <v>27192000</v>
      </c>
      <c r="T988" s="63"/>
      <c r="U988" s="63" t="s">
        <v>1163</v>
      </c>
      <c r="V988" s="81" t="s">
        <v>875</v>
      </c>
      <c r="W988" s="82">
        <v>6</v>
      </c>
      <c r="X988" s="63" t="s">
        <v>2743</v>
      </c>
      <c r="Y988" s="89">
        <v>43370</v>
      </c>
      <c r="Z988" s="83">
        <v>27192000</v>
      </c>
      <c r="AA988" s="84" t="s">
        <v>2742</v>
      </c>
      <c r="AB988" s="85"/>
      <c r="AC988" s="81"/>
      <c r="AD988" s="86"/>
      <c r="AE988" s="87">
        <f t="shared" si="105"/>
        <v>0</v>
      </c>
      <c r="AF988" s="85"/>
      <c r="AG988" s="81"/>
      <c r="AH988" s="86"/>
      <c r="AI988" s="63"/>
      <c r="AJ988" s="63"/>
      <c r="AK988" s="87">
        <f t="shared" si="103"/>
        <v>0</v>
      </c>
      <c r="AL988" s="86">
        <v>0</v>
      </c>
      <c r="AM988" s="86">
        <f t="shared" si="101"/>
        <v>0</v>
      </c>
      <c r="AN988" s="63" t="s">
        <v>1155</v>
      </c>
      <c r="AO988" s="86">
        <f t="shared" si="102"/>
        <v>27192000</v>
      </c>
      <c r="AP988" s="63"/>
      <c r="AQ988" s="81">
        <v>43370</v>
      </c>
      <c r="AR988" s="63" t="s">
        <v>2109</v>
      </c>
      <c r="AS988" s="81">
        <v>43370</v>
      </c>
      <c r="AT988" s="63" t="s">
        <v>1453</v>
      </c>
      <c r="AU988" s="220"/>
      <c r="AV988" s="220"/>
      <c r="AW988" s="220"/>
    </row>
    <row r="989" spans="1:49" s="221" customFormat="1" ht="327.75" x14ac:dyDescent="0.25">
      <c r="A989" s="63">
        <v>575</v>
      </c>
      <c r="B989" s="63" t="str">
        <f t="shared" si="99"/>
        <v>3075-575</v>
      </c>
      <c r="C989" s="76" t="s">
        <v>1141</v>
      </c>
      <c r="D989" s="76" t="s">
        <v>1142</v>
      </c>
      <c r="E989" s="76" t="s">
        <v>1143</v>
      </c>
      <c r="F989" s="76" t="s">
        <v>1158</v>
      </c>
      <c r="G989" s="88" t="s">
        <v>1159</v>
      </c>
      <c r="H989" s="78" t="s">
        <v>1160</v>
      </c>
      <c r="I989" s="76" t="s">
        <v>1147</v>
      </c>
      <c r="J989" s="76" t="s">
        <v>1148</v>
      </c>
      <c r="K989" s="76">
        <v>84111500</v>
      </c>
      <c r="L989" s="63" t="s">
        <v>1149</v>
      </c>
      <c r="M989" s="63" t="s">
        <v>58</v>
      </c>
      <c r="N989" s="63" t="s">
        <v>59</v>
      </c>
      <c r="O989" s="63" t="s">
        <v>1161</v>
      </c>
      <c r="P989" s="76" t="s">
        <v>1505</v>
      </c>
      <c r="Q989" s="79">
        <v>4120000</v>
      </c>
      <c r="R989" s="63">
        <v>1</v>
      </c>
      <c r="S989" s="80">
        <f t="shared" si="107"/>
        <v>24720000</v>
      </c>
      <c r="T989" s="63"/>
      <c r="U989" s="63" t="s">
        <v>1163</v>
      </c>
      <c r="V989" s="81" t="s">
        <v>875</v>
      </c>
      <c r="W989" s="82">
        <v>6</v>
      </c>
      <c r="X989" s="63" t="s">
        <v>2744</v>
      </c>
      <c r="Y989" s="89">
        <v>43370</v>
      </c>
      <c r="Z989" s="83">
        <v>24720000</v>
      </c>
      <c r="AA989" s="84" t="s">
        <v>2742</v>
      </c>
      <c r="AB989" s="85"/>
      <c r="AC989" s="81"/>
      <c r="AD989" s="86"/>
      <c r="AE989" s="87">
        <f t="shared" si="105"/>
        <v>0</v>
      </c>
      <c r="AF989" s="85"/>
      <c r="AG989" s="81"/>
      <c r="AH989" s="86"/>
      <c r="AI989" s="63"/>
      <c r="AJ989" s="63"/>
      <c r="AK989" s="87">
        <f t="shared" si="103"/>
        <v>0</v>
      </c>
      <c r="AL989" s="86">
        <v>0</v>
      </c>
      <c r="AM989" s="86">
        <f t="shared" si="101"/>
        <v>0</v>
      </c>
      <c r="AN989" s="63" t="s">
        <v>1155</v>
      </c>
      <c r="AO989" s="86">
        <f t="shared" si="102"/>
        <v>24720000</v>
      </c>
      <c r="AP989" s="63"/>
      <c r="AQ989" s="81">
        <v>43370</v>
      </c>
      <c r="AR989" s="63" t="s">
        <v>2109</v>
      </c>
      <c r="AS989" s="81">
        <v>43370</v>
      </c>
      <c r="AT989" s="63" t="s">
        <v>1453</v>
      </c>
      <c r="AU989" s="220"/>
      <c r="AV989" s="220"/>
      <c r="AW989" s="220"/>
    </row>
    <row r="990" spans="1:49" s="221" customFormat="1" ht="409.5" x14ac:dyDescent="0.25">
      <c r="A990" s="63">
        <v>576</v>
      </c>
      <c r="B990" s="63" t="str">
        <f t="shared" si="99"/>
        <v>3075-576</v>
      </c>
      <c r="C990" s="76" t="s">
        <v>1141</v>
      </c>
      <c r="D990" s="76" t="s">
        <v>1142</v>
      </c>
      <c r="E990" s="76" t="s">
        <v>1143</v>
      </c>
      <c r="F990" s="76" t="s">
        <v>1158</v>
      </c>
      <c r="G990" s="88" t="s">
        <v>1159</v>
      </c>
      <c r="H990" s="78" t="s">
        <v>1160</v>
      </c>
      <c r="I990" s="76" t="s">
        <v>1147</v>
      </c>
      <c r="J990" s="76" t="s">
        <v>1148</v>
      </c>
      <c r="K990" s="76">
        <v>81101500</v>
      </c>
      <c r="L990" s="63" t="s">
        <v>1149</v>
      </c>
      <c r="M990" s="63" t="s">
        <v>58</v>
      </c>
      <c r="N990" s="63" t="s">
        <v>59</v>
      </c>
      <c r="O990" s="63" t="s">
        <v>1161</v>
      </c>
      <c r="P990" s="76" t="s">
        <v>2733</v>
      </c>
      <c r="Q990" s="79">
        <v>4532000</v>
      </c>
      <c r="R990" s="63">
        <v>1</v>
      </c>
      <c r="S990" s="80">
        <f t="shared" si="107"/>
        <v>27192000</v>
      </c>
      <c r="T990" s="63"/>
      <c r="U990" s="63" t="s">
        <v>1163</v>
      </c>
      <c r="V990" s="81" t="s">
        <v>875</v>
      </c>
      <c r="W990" s="82">
        <v>6</v>
      </c>
      <c r="X990" s="63" t="s">
        <v>2745</v>
      </c>
      <c r="Y990" s="89">
        <v>43370</v>
      </c>
      <c r="Z990" s="83">
        <v>27192000</v>
      </c>
      <c r="AA990" s="84" t="s">
        <v>2742</v>
      </c>
      <c r="AB990" s="85"/>
      <c r="AC990" s="81"/>
      <c r="AD990" s="86"/>
      <c r="AE990" s="87">
        <f t="shared" si="105"/>
        <v>0</v>
      </c>
      <c r="AF990" s="85"/>
      <c r="AG990" s="81"/>
      <c r="AH990" s="86"/>
      <c r="AI990" s="63"/>
      <c r="AJ990" s="63"/>
      <c r="AK990" s="87">
        <f t="shared" si="103"/>
        <v>0</v>
      </c>
      <c r="AL990" s="86">
        <v>0</v>
      </c>
      <c r="AM990" s="86">
        <f t="shared" si="101"/>
        <v>0</v>
      </c>
      <c r="AN990" s="63" t="s">
        <v>1155</v>
      </c>
      <c r="AO990" s="86">
        <f t="shared" si="102"/>
        <v>27192000</v>
      </c>
      <c r="AP990" s="63"/>
      <c r="AQ990" s="81">
        <v>43370</v>
      </c>
      <c r="AR990" s="63" t="s">
        <v>2109</v>
      </c>
      <c r="AS990" s="81">
        <v>43370</v>
      </c>
      <c r="AT990" s="63" t="s">
        <v>1453</v>
      </c>
      <c r="AU990" s="220"/>
      <c r="AV990" s="220"/>
      <c r="AW990" s="220"/>
    </row>
    <row r="991" spans="1:49" s="221" customFormat="1" ht="213.75" x14ac:dyDescent="0.25">
      <c r="A991" s="63">
        <v>577</v>
      </c>
      <c r="B991" s="63" t="str">
        <f t="shared" ref="B991:B1047" si="108">CONCATENATE("3075","-",A991)</f>
        <v>3075-577</v>
      </c>
      <c r="C991" s="76" t="s">
        <v>1141</v>
      </c>
      <c r="D991" s="76" t="s">
        <v>1142</v>
      </c>
      <c r="E991" s="76" t="s">
        <v>1174</v>
      </c>
      <c r="F991" s="76" t="s">
        <v>1175</v>
      </c>
      <c r="G991" s="77" t="s">
        <v>1176</v>
      </c>
      <c r="H991" s="78" t="s">
        <v>1177</v>
      </c>
      <c r="I991" s="76" t="s">
        <v>1147</v>
      </c>
      <c r="J991" s="76" t="s">
        <v>1178</v>
      </c>
      <c r="K991" s="76" t="s">
        <v>439</v>
      </c>
      <c r="L991" s="63" t="s">
        <v>1149</v>
      </c>
      <c r="M991" s="63" t="s">
        <v>58</v>
      </c>
      <c r="N991" s="63" t="s">
        <v>59</v>
      </c>
      <c r="O991" s="76" t="s">
        <v>1169</v>
      </c>
      <c r="P991" s="76" t="s">
        <v>2746</v>
      </c>
      <c r="Q991" s="79">
        <v>39062100</v>
      </c>
      <c r="R991" s="63">
        <v>1</v>
      </c>
      <c r="S991" s="80">
        <f>Q991*R991</f>
        <v>39062100</v>
      </c>
      <c r="T991" s="63"/>
      <c r="U991" s="63" t="s">
        <v>1171</v>
      </c>
      <c r="V991" s="81" t="s">
        <v>875</v>
      </c>
      <c r="W991" s="82" t="s">
        <v>439</v>
      </c>
      <c r="X991" s="63" t="s">
        <v>2747</v>
      </c>
      <c r="Y991" s="89">
        <v>43370</v>
      </c>
      <c r="Z991" s="83">
        <v>39062100</v>
      </c>
      <c r="AA991" s="84" t="s">
        <v>2649</v>
      </c>
      <c r="AB991" s="85">
        <v>1237</v>
      </c>
      <c r="AC991" s="81">
        <v>43371</v>
      </c>
      <c r="AD991" s="86">
        <v>39062100</v>
      </c>
      <c r="AE991" s="87">
        <f t="shared" si="105"/>
        <v>0</v>
      </c>
      <c r="AF991" s="85"/>
      <c r="AG991" s="81"/>
      <c r="AH991" s="86"/>
      <c r="AI991" s="63"/>
      <c r="AJ991" s="63"/>
      <c r="AK991" s="87">
        <f t="shared" si="103"/>
        <v>39062100</v>
      </c>
      <c r="AL991" s="86"/>
      <c r="AM991" s="86">
        <f t="shared" ref="AM991:AM1047" si="109">AH991-AL991</f>
        <v>0</v>
      </c>
      <c r="AN991" s="63" t="s">
        <v>1155</v>
      </c>
      <c r="AO991" s="86">
        <f t="shared" ref="AO991:AO1047" si="110">S991-AH991</f>
        <v>39062100</v>
      </c>
      <c r="AP991" s="63"/>
      <c r="AQ991" s="81">
        <v>43370</v>
      </c>
      <c r="AR991" s="63" t="s">
        <v>2109</v>
      </c>
      <c r="AS991" s="81">
        <v>43370</v>
      </c>
      <c r="AT991" s="63" t="s">
        <v>2746</v>
      </c>
      <c r="AU991" s="220"/>
      <c r="AV991" s="220"/>
      <c r="AW991" s="220"/>
    </row>
    <row r="992" spans="1:49" s="221" customFormat="1" ht="409.5" x14ac:dyDescent="0.25">
      <c r="A992" s="63">
        <v>578</v>
      </c>
      <c r="B992" s="63" t="str">
        <f t="shared" si="108"/>
        <v>3075-578</v>
      </c>
      <c r="C992" s="76" t="s">
        <v>1141</v>
      </c>
      <c r="D992" s="76" t="s">
        <v>1142</v>
      </c>
      <c r="E992" s="76" t="s">
        <v>1143</v>
      </c>
      <c r="F992" s="76" t="s">
        <v>1158</v>
      </c>
      <c r="G992" s="88" t="s">
        <v>1159</v>
      </c>
      <c r="H992" s="78" t="s">
        <v>1160</v>
      </c>
      <c r="I992" s="76" t="s">
        <v>1147</v>
      </c>
      <c r="J992" s="76" t="s">
        <v>1148</v>
      </c>
      <c r="K992" s="76">
        <v>80111600</v>
      </c>
      <c r="L992" s="63" t="s">
        <v>1149</v>
      </c>
      <c r="M992" s="63" t="s">
        <v>58</v>
      </c>
      <c r="N992" s="63" t="s">
        <v>59</v>
      </c>
      <c r="O992" s="63" t="s">
        <v>1161</v>
      </c>
      <c r="P992" s="76" t="s">
        <v>2748</v>
      </c>
      <c r="Q992" s="79">
        <v>1545000</v>
      </c>
      <c r="R992" s="63">
        <v>1</v>
      </c>
      <c r="S992" s="80">
        <f>Q992*R992*W992</f>
        <v>9270000</v>
      </c>
      <c r="T992" s="63"/>
      <c r="U992" s="63" t="s">
        <v>1163</v>
      </c>
      <c r="V992" s="81" t="s">
        <v>1164</v>
      </c>
      <c r="W992" s="82">
        <v>6</v>
      </c>
      <c r="X992" s="63" t="s">
        <v>2749</v>
      </c>
      <c r="Y992" s="89">
        <v>43374</v>
      </c>
      <c r="Z992" s="83">
        <v>9270000</v>
      </c>
      <c r="AA992" s="84" t="s">
        <v>2742</v>
      </c>
      <c r="AB992" s="85"/>
      <c r="AC992" s="81"/>
      <c r="AD992" s="86"/>
      <c r="AE992" s="87">
        <f t="shared" si="105"/>
        <v>0</v>
      </c>
      <c r="AF992" s="85"/>
      <c r="AG992" s="81"/>
      <c r="AH992" s="86"/>
      <c r="AI992" s="63"/>
      <c r="AJ992" s="63"/>
      <c r="AK992" s="87">
        <f t="shared" si="103"/>
        <v>0</v>
      </c>
      <c r="AL992" s="86">
        <v>0</v>
      </c>
      <c r="AM992" s="86">
        <f t="shared" si="109"/>
        <v>0</v>
      </c>
      <c r="AN992" s="63" t="s">
        <v>1155</v>
      </c>
      <c r="AO992" s="86">
        <f t="shared" si="110"/>
        <v>9270000</v>
      </c>
      <c r="AP992" s="63"/>
      <c r="AQ992" s="81">
        <v>43371</v>
      </c>
      <c r="AR992" s="63" t="s">
        <v>2109</v>
      </c>
      <c r="AS992" s="81">
        <v>43374</v>
      </c>
      <c r="AT992" s="63" t="s">
        <v>1453</v>
      </c>
      <c r="AU992" s="220"/>
      <c r="AV992" s="220"/>
      <c r="AW992" s="220"/>
    </row>
    <row r="993" spans="1:49" s="221" customFormat="1" ht="409.5" x14ac:dyDescent="0.25">
      <c r="A993" s="63">
        <v>579</v>
      </c>
      <c r="B993" s="63" t="str">
        <f t="shared" si="108"/>
        <v>3075-579</v>
      </c>
      <c r="C993" s="76" t="s">
        <v>1141</v>
      </c>
      <c r="D993" s="76" t="s">
        <v>1142</v>
      </c>
      <c r="E993" s="76" t="s">
        <v>1143</v>
      </c>
      <c r="F993" s="76" t="s">
        <v>1158</v>
      </c>
      <c r="G993" s="88" t="s">
        <v>1159</v>
      </c>
      <c r="H993" s="78" t="s">
        <v>1160</v>
      </c>
      <c r="I993" s="76" t="s">
        <v>1147</v>
      </c>
      <c r="J993" s="76" t="s">
        <v>1148</v>
      </c>
      <c r="K993" s="76">
        <v>80111600</v>
      </c>
      <c r="L993" s="63" t="s">
        <v>1149</v>
      </c>
      <c r="M993" s="63" t="s">
        <v>58</v>
      </c>
      <c r="N993" s="63" t="s">
        <v>59</v>
      </c>
      <c r="O993" s="63" t="s">
        <v>1161</v>
      </c>
      <c r="P993" s="76" t="s">
        <v>2750</v>
      </c>
      <c r="Q993" s="79">
        <v>3326900</v>
      </c>
      <c r="R993" s="63">
        <v>1</v>
      </c>
      <c r="S993" s="80">
        <f t="shared" ref="S993:S1019" si="111">Q993*R993*W993</f>
        <v>19961400</v>
      </c>
      <c r="T993" s="63"/>
      <c r="U993" s="63" t="s">
        <v>1163</v>
      </c>
      <c r="V993" s="81" t="s">
        <v>1164</v>
      </c>
      <c r="W993" s="82">
        <v>6</v>
      </c>
      <c r="X993" s="63" t="s">
        <v>2751</v>
      </c>
      <c r="Y993" s="89">
        <v>43374</v>
      </c>
      <c r="Z993" s="83">
        <v>19961400</v>
      </c>
      <c r="AA993" s="84" t="s">
        <v>2742</v>
      </c>
      <c r="AB993" s="85"/>
      <c r="AC993" s="81"/>
      <c r="AD993" s="86"/>
      <c r="AE993" s="87">
        <f t="shared" si="105"/>
        <v>0</v>
      </c>
      <c r="AF993" s="85"/>
      <c r="AG993" s="81"/>
      <c r="AH993" s="86"/>
      <c r="AI993" s="63"/>
      <c r="AJ993" s="63"/>
      <c r="AK993" s="87">
        <f t="shared" si="103"/>
        <v>0</v>
      </c>
      <c r="AL993" s="86">
        <v>0</v>
      </c>
      <c r="AM993" s="86">
        <f t="shared" si="109"/>
        <v>0</v>
      </c>
      <c r="AN993" s="63" t="s">
        <v>1155</v>
      </c>
      <c r="AO993" s="86">
        <f t="shared" si="110"/>
        <v>19961400</v>
      </c>
      <c r="AP993" s="63"/>
      <c r="AQ993" s="81">
        <v>43371</v>
      </c>
      <c r="AR993" s="63" t="s">
        <v>2109</v>
      </c>
      <c r="AS993" s="81">
        <v>43374</v>
      </c>
      <c r="AT993" s="63" t="s">
        <v>1453</v>
      </c>
      <c r="AU993" s="220"/>
      <c r="AV993" s="220"/>
      <c r="AW993" s="220"/>
    </row>
    <row r="994" spans="1:49" s="221" customFormat="1" ht="384.75" x14ac:dyDescent="0.25">
      <c r="A994" s="63">
        <v>580</v>
      </c>
      <c r="B994" s="63" t="str">
        <f t="shared" si="108"/>
        <v>3075-580</v>
      </c>
      <c r="C994" s="76" t="s">
        <v>1141</v>
      </c>
      <c r="D994" s="76" t="s">
        <v>1142</v>
      </c>
      <c r="E994" s="76" t="s">
        <v>1143</v>
      </c>
      <c r="F994" s="76" t="s">
        <v>1158</v>
      </c>
      <c r="G994" s="88" t="s">
        <v>1159</v>
      </c>
      <c r="H994" s="78" t="s">
        <v>1160</v>
      </c>
      <c r="I994" s="76" t="s">
        <v>1147</v>
      </c>
      <c r="J994" s="76" t="s">
        <v>1148</v>
      </c>
      <c r="K994" s="76">
        <v>80111600</v>
      </c>
      <c r="L994" s="63" t="s">
        <v>1149</v>
      </c>
      <c r="M994" s="63" t="s">
        <v>58</v>
      </c>
      <c r="N994" s="63" t="s">
        <v>59</v>
      </c>
      <c r="O994" s="63" t="s">
        <v>1161</v>
      </c>
      <c r="P994" s="76" t="s">
        <v>2752</v>
      </c>
      <c r="Q994" s="79">
        <v>2472000</v>
      </c>
      <c r="R994" s="63">
        <v>1</v>
      </c>
      <c r="S994" s="80">
        <f t="shared" si="111"/>
        <v>14832000</v>
      </c>
      <c r="T994" s="63"/>
      <c r="U994" s="63" t="s">
        <v>1163</v>
      </c>
      <c r="V994" s="81" t="s">
        <v>1164</v>
      </c>
      <c r="W994" s="82">
        <v>6</v>
      </c>
      <c r="X994" s="63" t="s">
        <v>2753</v>
      </c>
      <c r="Y994" s="89">
        <v>43374</v>
      </c>
      <c r="Z994" s="83">
        <v>14832000</v>
      </c>
      <c r="AA994" s="84" t="s">
        <v>2742</v>
      </c>
      <c r="AB994" s="85"/>
      <c r="AC994" s="81"/>
      <c r="AD994" s="86"/>
      <c r="AE994" s="87">
        <f t="shared" si="105"/>
        <v>0</v>
      </c>
      <c r="AF994" s="85"/>
      <c r="AG994" s="81"/>
      <c r="AH994" s="86"/>
      <c r="AI994" s="63"/>
      <c r="AJ994" s="63"/>
      <c r="AK994" s="87">
        <f t="shared" si="103"/>
        <v>0</v>
      </c>
      <c r="AL994" s="86">
        <v>0</v>
      </c>
      <c r="AM994" s="86">
        <f t="shared" si="109"/>
        <v>0</v>
      </c>
      <c r="AN994" s="63" t="s">
        <v>1155</v>
      </c>
      <c r="AO994" s="86">
        <f t="shared" si="110"/>
        <v>14832000</v>
      </c>
      <c r="AP994" s="63"/>
      <c r="AQ994" s="81">
        <v>43371</v>
      </c>
      <c r="AR994" s="63" t="s">
        <v>2109</v>
      </c>
      <c r="AS994" s="81">
        <v>43374</v>
      </c>
      <c r="AT994" s="63" t="s">
        <v>1453</v>
      </c>
      <c r="AU994" s="220"/>
      <c r="AV994" s="220"/>
      <c r="AW994" s="220"/>
    </row>
    <row r="995" spans="1:49" s="221" customFormat="1" ht="409.5" x14ac:dyDescent="0.25">
      <c r="A995" s="63">
        <v>581</v>
      </c>
      <c r="B995" s="63" t="str">
        <f t="shared" si="108"/>
        <v>3075-581</v>
      </c>
      <c r="C995" s="76" t="s">
        <v>1141</v>
      </c>
      <c r="D995" s="76" t="s">
        <v>1142</v>
      </c>
      <c r="E995" s="76" t="s">
        <v>1143</v>
      </c>
      <c r="F995" s="76" t="s">
        <v>1158</v>
      </c>
      <c r="G995" s="88" t="s">
        <v>1159</v>
      </c>
      <c r="H995" s="78" t="s">
        <v>1160</v>
      </c>
      <c r="I995" s="76" t="s">
        <v>1147</v>
      </c>
      <c r="J995" s="76" t="s">
        <v>1148</v>
      </c>
      <c r="K995" s="76">
        <v>93141506</v>
      </c>
      <c r="L995" s="63" t="s">
        <v>1149</v>
      </c>
      <c r="M995" s="63" t="s">
        <v>58</v>
      </c>
      <c r="N995" s="63" t="s">
        <v>59</v>
      </c>
      <c r="O995" s="63" t="s">
        <v>1161</v>
      </c>
      <c r="P995" s="76" t="s">
        <v>2723</v>
      </c>
      <c r="Q995" s="79">
        <v>4120000</v>
      </c>
      <c r="R995" s="63">
        <v>1</v>
      </c>
      <c r="S995" s="80">
        <f t="shared" si="111"/>
        <v>24720000</v>
      </c>
      <c r="T995" s="63"/>
      <c r="U995" s="63" t="s">
        <v>1163</v>
      </c>
      <c r="V995" s="81" t="s">
        <v>1164</v>
      </c>
      <c r="W995" s="82">
        <v>6</v>
      </c>
      <c r="X995" s="63" t="s">
        <v>2754</v>
      </c>
      <c r="Y995" s="89">
        <v>43374</v>
      </c>
      <c r="Z995" s="83">
        <v>24720000</v>
      </c>
      <c r="AA995" s="84" t="s">
        <v>2742</v>
      </c>
      <c r="AB995" s="85"/>
      <c r="AC995" s="81"/>
      <c r="AD995" s="86"/>
      <c r="AE995" s="87">
        <f t="shared" si="105"/>
        <v>0</v>
      </c>
      <c r="AF995" s="85"/>
      <c r="AG995" s="81"/>
      <c r="AH995" s="86"/>
      <c r="AI995" s="63"/>
      <c r="AJ995" s="63"/>
      <c r="AK995" s="87">
        <f t="shared" si="103"/>
        <v>0</v>
      </c>
      <c r="AL995" s="86">
        <v>0</v>
      </c>
      <c r="AM995" s="86">
        <f t="shared" si="109"/>
        <v>0</v>
      </c>
      <c r="AN995" s="63" t="s">
        <v>1155</v>
      </c>
      <c r="AO995" s="86">
        <f t="shared" si="110"/>
        <v>24720000</v>
      </c>
      <c r="AP995" s="63"/>
      <c r="AQ995" s="81">
        <v>43371</v>
      </c>
      <c r="AR995" s="63" t="s">
        <v>2109</v>
      </c>
      <c r="AS995" s="81">
        <v>43374</v>
      </c>
      <c r="AT995" s="63" t="s">
        <v>1453</v>
      </c>
      <c r="AU995" s="220"/>
      <c r="AV995" s="220"/>
      <c r="AW995" s="220"/>
    </row>
    <row r="996" spans="1:49" s="221" customFormat="1" ht="409.5" x14ac:dyDescent="0.25">
      <c r="A996" s="63">
        <v>582</v>
      </c>
      <c r="B996" s="63" t="str">
        <f t="shared" si="108"/>
        <v>3075-582</v>
      </c>
      <c r="C996" s="76" t="s">
        <v>1141</v>
      </c>
      <c r="D996" s="76" t="s">
        <v>1142</v>
      </c>
      <c r="E996" s="76" t="s">
        <v>1143</v>
      </c>
      <c r="F996" s="76" t="s">
        <v>1158</v>
      </c>
      <c r="G996" s="88" t="s">
        <v>1159</v>
      </c>
      <c r="H996" s="78" t="s">
        <v>1160</v>
      </c>
      <c r="I996" s="76" t="s">
        <v>1147</v>
      </c>
      <c r="J996" s="76" t="s">
        <v>1148</v>
      </c>
      <c r="K996" s="76">
        <v>80111600</v>
      </c>
      <c r="L996" s="63" t="s">
        <v>1149</v>
      </c>
      <c r="M996" s="63" t="s">
        <v>58</v>
      </c>
      <c r="N996" s="63" t="s">
        <v>59</v>
      </c>
      <c r="O996" s="63" t="s">
        <v>1161</v>
      </c>
      <c r="P996" s="76" t="s">
        <v>2755</v>
      </c>
      <c r="Q996" s="79">
        <v>3326900</v>
      </c>
      <c r="R996" s="63">
        <v>1</v>
      </c>
      <c r="S996" s="80">
        <f t="shared" si="111"/>
        <v>19961400</v>
      </c>
      <c r="T996" s="63"/>
      <c r="U996" s="63" t="s">
        <v>1163</v>
      </c>
      <c r="V996" s="81" t="s">
        <v>1164</v>
      </c>
      <c r="W996" s="82">
        <v>6</v>
      </c>
      <c r="X996" s="63" t="s">
        <v>2756</v>
      </c>
      <c r="Y996" s="89">
        <v>43375</v>
      </c>
      <c r="Z996" s="83">
        <v>19961400</v>
      </c>
      <c r="AA996" s="84" t="s">
        <v>2742</v>
      </c>
      <c r="AB996" s="85"/>
      <c r="AC996" s="81"/>
      <c r="AD996" s="86"/>
      <c r="AE996" s="87">
        <f t="shared" si="105"/>
        <v>0</v>
      </c>
      <c r="AF996" s="85"/>
      <c r="AG996" s="81"/>
      <c r="AH996" s="86"/>
      <c r="AI996" s="63"/>
      <c r="AJ996" s="63"/>
      <c r="AK996" s="87">
        <f t="shared" si="103"/>
        <v>0</v>
      </c>
      <c r="AL996" s="86">
        <v>0</v>
      </c>
      <c r="AM996" s="86">
        <f t="shared" si="109"/>
        <v>0</v>
      </c>
      <c r="AN996" s="63" t="s">
        <v>1155</v>
      </c>
      <c r="AO996" s="86">
        <f t="shared" si="110"/>
        <v>19961400</v>
      </c>
      <c r="AP996" s="63"/>
      <c r="AQ996" s="81">
        <v>43375</v>
      </c>
      <c r="AR996" s="63" t="s">
        <v>2109</v>
      </c>
      <c r="AS996" s="81">
        <v>43375</v>
      </c>
      <c r="AT996" s="63" t="s">
        <v>1453</v>
      </c>
      <c r="AU996" s="220"/>
      <c r="AV996" s="220"/>
      <c r="AW996" s="220"/>
    </row>
    <row r="997" spans="1:49" s="221" customFormat="1" ht="384.75" x14ac:dyDescent="0.25">
      <c r="A997" s="63">
        <v>583</v>
      </c>
      <c r="B997" s="63" t="str">
        <f t="shared" si="108"/>
        <v>3075-583</v>
      </c>
      <c r="C997" s="76" t="s">
        <v>1141</v>
      </c>
      <c r="D997" s="76" t="s">
        <v>1142</v>
      </c>
      <c r="E997" s="76" t="s">
        <v>1143</v>
      </c>
      <c r="F997" s="76" t="s">
        <v>1158</v>
      </c>
      <c r="G997" s="88" t="s">
        <v>1159</v>
      </c>
      <c r="H997" s="78" t="s">
        <v>1160</v>
      </c>
      <c r="I997" s="76" t="s">
        <v>1147</v>
      </c>
      <c r="J997" s="76" t="s">
        <v>1148</v>
      </c>
      <c r="K997" s="76">
        <v>80111600</v>
      </c>
      <c r="L997" s="63" t="s">
        <v>1149</v>
      </c>
      <c r="M997" s="63" t="s">
        <v>58</v>
      </c>
      <c r="N997" s="63" t="s">
        <v>59</v>
      </c>
      <c r="O997" s="63" t="s">
        <v>1161</v>
      </c>
      <c r="P997" s="76" t="s">
        <v>2757</v>
      </c>
      <c r="Q997" s="79">
        <v>3326900</v>
      </c>
      <c r="R997" s="63">
        <v>1</v>
      </c>
      <c r="S997" s="80">
        <f t="shared" si="111"/>
        <v>19961400</v>
      </c>
      <c r="T997" s="63"/>
      <c r="U997" s="63" t="s">
        <v>1163</v>
      </c>
      <c r="V997" s="81" t="s">
        <v>1164</v>
      </c>
      <c r="W997" s="82">
        <v>6</v>
      </c>
      <c r="X997" s="63" t="s">
        <v>2758</v>
      </c>
      <c r="Y997" s="89">
        <v>43375</v>
      </c>
      <c r="Z997" s="83">
        <v>19961400</v>
      </c>
      <c r="AA997" s="84" t="s">
        <v>2742</v>
      </c>
      <c r="AB997" s="85"/>
      <c r="AC997" s="81"/>
      <c r="AD997" s="86"/>
      <c r="AE997" s="87">
        <f t="shared" si="105"/>
        <v>0</v>
      </c>
      <c r="AF997" s="85"/>
      <c r="AG997" s="81"/>
      <c r="AH997" s="86"/>
      <c r="AI997" s="63"/>
      <c r="AJ997" s="63"/>
      <c r="AK997" s="87">
        <f t="shared" si="103"/>
        <v>0</v>
      </c>
      <c r="AL997" s="86">
        <v>0</v>
      </c>
      <c r="AM997" s="86">
        <f t="shared" si="109"/>
        <v>0</v>
      </c>
      <c r="AN997" s="63" t="s">
        <v>1155</v>
      </c>
      <c r="AO997" s="86">
        <f t="shared" si="110"/>
        <v>19961400</v>
      </c>
      <c r="AP997" s="63"/>
      <c r="AQ997" s="81">
        <v>43375</v>
      </c>
      <c r="AR997" s="63" t="s">
        <v>2109</v>
      </c>
      <c r="AS997" s="81">
        <v>43375</v>
      </c>
      <c r="AT997" s="63" t="s">
        <v>1453</v>
      </c>
      <c r="AU997" s="220"/>
      <c r="AV997" s="220"/>
      <c r="AW997" s="220"/>
    </row>
    <row r="998" spans="1:49" s="221" customFormat="1" ht="409.5" x14ac:dyDescent="0.25">
      <c r="A998" s="63">
        <v>584</v>
      </c>
      <c r="B998" s="63" t="str">
        <f t="shared" si="108"/>
        <v>3075-584</v>
      </c>
      <c r="C998" s="76" t="s">
        <v>1141</v>
      </c>
      <c r="D998" s="76" t="s">
        <v>1142</v>
      </c>
      <c r="E998" s="76" t="s">
        <v>1143</v>
      </c>
      <c r="F998" s="76" t="s">
        <v>1158</v>
      </c>
      <c r="G998" s="88" t="s">
        <v>1159</v>
      </c>
      <c r="H998" s="78" t="s">
        <v>1160</v>
      </c>
      <c r="I998" s="76" t="s">
        <v>1147</v>
      </c>
      <c r="J998" s="76" t="s">
        <v>1148</v>
      </c>
      <c r="K998" s="76">
        <v>93141506</v>
      </c>
      <c r="L998" s="63" t="s">
        <v>1149</v>
      </c>
      <c r="M998" s="63" t="s">
        <v>58</v>
      </c>
      <c r="N998" s="63" t="s">
        <v>59</v>
      </c>
      <c r="O998" s="63" t="s">
        <v>1161</v>
      </c>
      <c r="P998" s="76" t="s">
        <v>2723</v>
      </c>
      <c r="Q998" s="79">
        <v>3399000</v>
      </c>
      <c r="R998" s="63">
        <v>1</v>
      </c>
      <c r="S998" s="80">
        <f t="shared" si="111"/>
        <v>20394000</v>
      </c>
      <c r="T998" s="63"/>
      <c r="U998" s="63" t="s">
        <v>1163</v>
      </c>
      <c r="V998" s="81" t="s">
        <v>1164</v>
      </c>
      <c r="W998" s="82">
        <v>6</v>
      </c>
      <c r="X998" s="63" t="s">
        <v>2759</v>
      </c>
      <c r="Y998" s="89">
        <v>43375</v>
      </c>
      <c r="Z998" s="83">
        <v>20394000</v>
      </c>
      <c r="AA998" s="84" t="s">
        <v>2742</v>
      </c>
      <c r="AB998" s="85"/>
      <c r="AC998" s="81"/>
      <c r="AD998" s="86"/>
      <c r="AE998" s="87">
        <f t="shared" si="105"/>
        <v>0</v>
      </c>
      <c r="AF998" s="85"/>
      <c r="AG998" s="81"/>
      <c r="AH998" s="86"/>
      <c r="AI998" s="63"/>
      <c r="AJ998" s="63"/>
      <c r="AK998" s="87">
        <f t="shared" si="103"/>
        <v>0</v>
      </c>
      <c r="AL998" s="86">
        <v>0</v>
      </c>
      <c r="AM998" s="86">
        <f t="shared" si="109"/>
        <v>0</v>
      </c>
      <c r="AN998" s="63" t="s">
        <v>1155</v>
      </c>
      <c r="AO998" s="86">
        <f t="shared" si="110"/>
        <v>20394000</v>
      </c>
      <c r="AP998" s="63"/>
      <c r="AQ998" s="81">
        <v>43375</v>
      </c>
      <c r="AR998" s="63" t="s">
        <v>2109</v>
      </c>
      <c r="AS998" s="81">
        <v>43375</v>
      </c>
      <c r="AT998" s="63" t="s">
        <v>1453</v>
      </c>
      <c r="AU998" s="220"/>
      <c r="AV998" s="220"/>
      <c r="AW998" s="220"/>
    </row>
    <row r="999" spans="1:49" s="221" customFormat="1" ht="384.75" x14ac:dyDescent="0.25">
      <c r="A999" s="63">
        <v>585</v>
      </c>
      <c r="B999" s="63" t="str">
        <f t="shared" si="108"/>
        <v>3075-585</v>
      </c>
      <c r="C999" s="76" t="s">
        <v>1141</v>
      </c>
      <c r="D999" s="76" t="s">
        <v>1142</v>
      </c>
      <c r="E999" s="76" t="s">
        <v>1143</v>
      </c>
      <c r="F999" s="76" t="s">
        <v>1158</v>
      </c>
      <c r="G999" s="88" t="s">
        <v>1159</v>
      </c>
      <c r="H999" s="78" t="s">
        <v>1160</v>
      </c>
      <c r="I999" s="76" t="s">
        <v>1147</v>
      </c>
      <c r="J999" s="76" t="s">
        <v>1148</v>
      </c>
      <c r="K999" s="76">
        <v>80111600</v>
      </c>
      <c r="L999" s="63" t="s">
        <v>1149</v>
      </c>
      <c r="M999" s="63" t="s">
        <v>58</v>
      </c>
      <c r="N999" s="63" t="s">
        <v>59</v>
      </c>
      <c r="O999" s="63" t="s">
        <v>1161</v>
      </c>
      <c r="P999" s="76" t="s">
        <v>2760</v>
      </c>
      <c r="Q999" s="79">
        <v>3326900</v>
      </c>
      <c r="R999" s="63">
        <v>1</v>
      </c>
      <c r="S999" s="80">
        <f t="shared" si="111"/>
        <v>19961400</v>
      </c>
      <c r="T999" s="63"/>
      <c r="U999" s="63" t="s">
        <v>1163</v>
      </c>
      <c r="V999" s="81" t="s">
        <v>1164</v>
      </c>
      <c r="W999" s="82">
        <v>6</v>
      </c>
      <c r="X999" s="63" t="s">
        <v>2761</v>
      </c>
      <c r="Y999" s="89">
        <v>43375</v>
      </c>
      <c r="Z999" s="83">
        <v>19961400</v>
      </c>
      <c r="AA999" s="84" t="s">
        <v>2742</v>
      </c>
      <c r="AB999" s="85"/>
      <c r="AC999" s="81"/>
      <c r="AD999" s="86"/>
      <c r="AE999" s="87">
        <f t="shared" si="105"/>
        <v>0</v>
      </c>
      <c r="AF999" s="85"/>
      <c r="AG999" s="81"/>
      <c r="AH999" s="86"/>
      <c r="AI999" s="63"/>
      <c r="AJ999" s="63"/>
      <c r="AK999" s="87">
        <f t="shared" si="103"/>
        <v>0</v>
      </c>
      <c r="AL999" s="86">
        <v>0</v>
      </c>
      <c r="AM999" s="86">
        <f t="shared" si="109"/>
        <v>0</v>
      </c>
      <c r="AN999" s="63" t="s">
        <v>1155</v>
      </c>
      <c r="AO999" s="86">
        <f t="shared" si="110"/>
        <v>19961400</v>
      </c>
      <c r="AP999" s="63"/>
      <c r="AQ999" s="81">
        <v>43375</v>
      </c>
      <c r="AR999" s="63" t="s">
        <v>2109</v>
      </c>
      <c r="AS999" s="81">
        <v>43375</v>
      </c>
      <c r="AT999" s="63" t="s">
        <v>1453</v>
      </c>
      <c r="AU999" s="220"/>
      <c r="AV999" s="220"/>
      <c r="AW999" s="220"/>
    </row>
    <row r="1000" spans="1:49" s="221" customFormat="1" ht="370.5" x14ac:dyDescent="0.25">
      <c r="A1000" s="63">
        <v>586</v>
      </c>
      <c r="B1000" s="63" t="str">
        <f t="shared" si="108"/>
        <v>3075-586</v>
      </c>
      <c r="C1000" s="76" t="s">
        <v>1141</v>
      </c>
      <c r="D1000" s="76" t="s">
        <v>1142</v>
      </c>
      <c r="E1000" s="76" t="s">
        <v>1143</v>
      </c>
      <c r="F1000" s="76" t="s">
        <v>1158</v>
      </c>
      <c r="G1000" s="88" t="s">
        <v>1159</v>
      </c>
      <c r="H1000" s="78" t="s">
        <v>1160</v>
      </c>
      <c r="I1000" s="76" t="s">
        <v>1147</v>
      </c>
      <c r="J1000" s="76" t="s">
        <v>1148</v>
      </c>
      <c r="K1000" s="76">
        <v>80111600</v>
      </c>
      <c r="L1000" s="63" t="s">
        <v>1149</v>
      </c>
      <c r="M1000" s="63" t="s">
        <v>58</v>
      </c>
      <c r="N1000" s="63" t="s">
        <v>59</v>
      </c>
      <c r="O1000" s="63" t="s">
        <v>1161</v>
      </c>
      <c r="P1000" s="76" t="s">
        <v>2762</v>
      </c>
      <c r="Q1000" s="79">
        <v>4120000</v>
      </c>
      <c r="R1000" s="63">
        <v>1</v>
      </c>
      <c r="S1000" s="80">
        <f t="shared" si="111"/>
        <v>24720000</v>
      </c>
      <c r="T1000" s="63"/>
      <c r="U1000" s="63" t="s">
        <v>1163</v>
      </c>
      <c r="V1000" s="81" t="s">
        <v>1164</v>
      </c>
      <c r="W1000" s="82">
        <v>6</v>
      </c>
      <c r="X1000" s="63" t="s">
        <v>2763</v>
      </c>
      <c r="Y1000" s="89">
        <v>43375</v>
      </c>
      <c r="Z1000" s="83">
        <v>24720000</v>
      </c>
      <c r="AA1000" s="84" t="s">
        <v>2742</v>
      </c>
      <c r="AB1000" s="85"/>
      <c r="AC1000" s="81"/>
      <c r="AD1000" s="86"/>
      <c r="AE1000" s="87">
        <f t="shared" si="105"/>
        <v>0</v>
      </c>
      <c r="AF1000" s="85"/>
      <c r="AG1000" s="81"/>
      <c r="AH1000" s="86"/>
      <c r="AI1000" s="63"/>
      <c r="AJ1000" s="63"/>
      <c r="AK1000" s="87">
        <f t="shared" si="103"/>
        <v>0</v>
      </c>
      <c r="AL1000" s="86">
        <v>0</v>
      </c>
      <c r="AM1000" s="86">
        <f t="shared" si="109"/>
        <v>0</v>
      </c>
      <c r="AN1000" s="63" t="s">
        <v>1155</v>
      </c>
      <c r="AO1000" s="86">
        <f t="shared" si="110"/>
        <v>24720000</v>
      </c>
      <c r="AP1000" s="63"/>
      <c r="AQ1000" s="81">
        <v>43375</v>
      </c>
      <c r="AR1000" s="63" t="s">
        <v>2109</v>
      </c>
      <c r="AS1000" s="81">
        <v>43375</v>
      </c>
      <c r="AT1000" s="63" t="s">
        <v>1453</v>
      </c>
      <c r="AU1000" s="220"/>
      <c r="AV1000" s="220"/>
      <c r="AW1000" s="220"/>
    </row>
    <row r="1001" spans="1:49" s="221" customFormat="1" ht="370.5" x14ac:dyDescent="0.25">
      <c r="A1001" s="63">
        <v>587</v>
      </c>
      <c r="B1001" s="63" t="str">
        <f t="shared" si="108"/>
        <v>3075-587</v>
      </c>
      <c r="C1001" s="76" t="s">
        <v>1141</v>
      </c>
      <c r="D1001" s="76" t="s">
        <v>1142</v>
      </c>
      <c r="E1001" s="76" t="s">
        <v>1143</v>
      </c>
      <c r="F1001" s="76" t="s">
        <v>1158</v>
      </c>
      <c r="G1001" s="88" t="s">
        <v>1159</v>
      </c>
      <c r="H1001" s="78" t="s">
        <v>1160</v>
      </c>
      <c r="I1001" s="76" t="s">
        <v>1147</v>
      </c>
      <c r="J1001" s="76" t="s">
        <v>1148</v>
      </c>
      <c r="K1001" s="76">
        <v>80111600</v>
      </c>
      <c r="L1001" s="63" t="s">
        <v>1149</v>
      </c>
      <c r="M1001" s="63" t="s">
        <v>58</v>
      </c>
      <c r="N1001" s="63" t="s">
        <v>59</v>
      </c>
      <c r="O1001" s="63" t="s">
        <v>1161</v>
      </c>
      <c r="P1001" s="76" t="s">
        <v>2762</v>
      </c>
      <c r="Q1001" s="79">
        <v>4120000</v>
      </c>
      <c r="R1001" s="63">
        <v>1</v>
      </c>
      <c r="S1001" s="80">
        <f t="shared" si="111"/>
        <v>24720000</v>
      </c>
      <c r="T1001" s="63"/>
      <c r="U1001" s="63" t="s">
        <v>1163</v>
      </c>
      <c r="V1001" s="81" t="s">
        <v>1164</v>
      </c>
      <c r="W1001" s="82">
        <v>6</v>
      </c>
      <c r="X1001" s="63" t="s">
        <v>2764</v>
      </c>
      <c r="Y1001" s="89">
        <v>43375</v>
      </c>
      <c r="Z1001" s="83">
        <v>24720000</v>
      </c>
      <c r="AA1001" s="84" t="s">
        <v>2742</v>
      </c>
      <c r="AB1001" s="85"/>
      <c r="AC1001" s="81"/>
      <c r="AD1001" s="86"/>
      <c r="AE1001" s="87">
        <f t="shared" si="105"/>
        <v>0</v>
      </c>
      <c r="AF1001" s="85"/>
      <c r="AG1001" s="81"/>
      <c r="AH1001" s="86"/>
      <c r="AI1001" s="63"/>
      <c r="AJ1001" s="63"/>
      <c r="AK1001" s="87">
        <f t="shared" si="103"/>
        <v>0</v>
      </c>
      <c r="AL1001" s="86">
        <v>0</v>
      </c>
      <c r="AM1001" s="86">
        <f t="shared" si="109"/>
        <v>0</v>
      </c>
      <c r="AN1001" s="63" t="s">
        <v>1155</v>
      </c>
      <c r="AO1001" s="86">
        <f t="shared" si="110"/>
        <v>24720000</v>
      </c>
      <c r="AP1001" s="63"/>
      <c r="AQ1001" s="81">
        <v>43375</v>
      </c>
      <c r="AR1001" s="63" t="s">
        <v>2109</v>
      </c>
      <c r="AS1001" s="81">
        <v>43375</v>
      </c>
      <c r="AT1001" s="63" t="s">
        <v>1453</v>
      </c>
      <c r="AU1001" s="220"/>
      <c r="AV1001" s="220"/>
      <c r="AW1001" s="220"/>
    </row>
    <row r="1002" spans="1:49" s="221" customFormat="1" ht="409.5" x14ac:dyDescent="0.25">
      <c r="A1002" s="63">
        <v>588</v>
      </c>
      <c r="B1002" s="63" t="str">
        <f t="shared" si="108"/>
        <v>3075-588</v>
      </c>
      <c r="C1002" s="76" t="s">
        <v>1141</v>
      </c>
      <c r="D1002" s="76" t="s">
        <v>1142</v>
      </c>
      <c r="E1002" s="76" t="s">
        <v>1143</v>
      </c>
      <c r="F1002" s="76" t="s">
        <v>1158</v>
      </c>
      <c r="G1002" s="88" t="s">
        <v>1159</v>
      </c>
      <c r="H1002" s="78" t="s">
        <v>1160</v>
      </c>
      <c r="I1002" s="76" t="s">
        <v>1147</v>
      </c>
      <c r="J1002" s="76" t="s">
        <v>1148</v>
      </c>
      <c r="K1002" s="76">
        <v>80111600</v>
      </c>
      <c r="L1002" s="63" t="s">
        <v>1149</v>
      </c>
      <c r="M1002" s="63" t="s">
        <v>58</v>
      </c>
      <c r="N1002" s="63" t="s">
        <v>59</v>
      </c>
      <c r="O1002" s="63" t="s">
        <v>1161</v>
      </c>
      <c r="P1002" s="76" t="s">
        <v>2755</v>
      </c>
      <c r="Q1002" s="79">
        <v>3326900</v>
      </c>
      <c r="R1002" s="63">
        <v>1</v>
      </c>
      <c r="S1002" s="80">
        <f t="shared" si="111"/>
        <v>19961400</v>
      </c>
      <c r="T1002" s="63"/>
      <c r="U1002" s="63" t="s">
        <v>1163</v>
      </c>
      <c r="V1002" s="81" t="s">
        <v>1164</v>
      </c>
      <c r="W1002" s="82">
        <v>6</v>
      </c>
      <c r="X1002" s="63" t="s">
        <v>2765</v>
      </c>
      <c r="Y1002" s="89">
        <v>43376</v>
      </c>
      <c r="Z1002" s="83">
        <v>19961400</v>
      </c>
      <c r="AA1002" s="84" t="s">
        <v>2742</v>
      </c>
      <c r="AB1002" s="85"/>
      <c r="AC1002" s="81"/>
      <c r="AD1002" s="86"/>
      <c r="AE1002" s="87">
        <f t="shared" si="105"/>
        <v>0</v>
      </c>
      <c r="AF1002" s="85"/>
      <c r="AG1002" s="81"/>
      <c r="AH1002" s="86"/>
      <c r="AI1002" s="63"/>
      <c r="AJ1002" s="63"/>
      <c r="AK1002" s="87">
        <f t="shared" si="103"/>
        <v>0</v>
      </c>
      <c r="AL1002" s="86">
        <v>0</v>
      </c>
      <c r="AM1002" s="86">
        <f t="shared" si="109"/>
        <v>0</v>
      </c>
      <c r="AN1002" s="63" t="s">
        <v>1155</v>
      </c>
      <c r="AO1002" s="86">
        <f t="shared" si="110"/>
        <v>19961400</v>
      </c>
      <c r="AP1002" s="63"/>
      <c r="AQ1002" s="81">
        <v>43375</v>
      </c>
      <c r="AR1002" s="63" t="s">
        <v>2109</v>
      </c>
      <c r="AS1002" s="81">
        <v>43376</v>
      </c>
      <c r="AT1002" s="63" t="s">
        <v>1453</v>
      </c>
      <c r="AU1002" s="220"/>
      <c r="AV1002" s="220"/>
      <c r="AW1002" s="220"/>
    </row>
    <row r="1003" spans="1:49" s="221" customFormat="1" ht="409.5" x14ac:dyDescent="0.25">
      <c r="A1003" s="63">
        <v>589</v>
      </c>
      <c r="B1003" s="63" t="str">
        <f t="shared" si="108"/>
        <v>3075-589</v>
      </c>
      <c r="C1003" s="76" t="s">
        <v>1141</v>
      </c>
      <c r="D1003" s="76" t="s">
        <v>1142</v>
      </c>
      <c r="E1003" s="76" t="s">
        <v>1143</v>
      </c>
      <c r="F1003" s="76" t="s">
        <v>1158</v>
      </c>
      <c r="G1003" s="88" t="s">
        <v>1159</v>
      </c>
      <c r="H1003" s="78" t="s">
        <v>1160</v>
      </c>
      <c r="I1003" s="76" t="s">
        <v>1147</v>
      </c>
      <c r="J1003" s="76" t="s">
        <v>1148</v>
      </c>
      <c r="K1003" s="76">
        <v>93141506</v>
      </c>
      <c r="L1003" s="63" t="s">
        <v>1149</v>
      </c>
      <c r="M1003" s="63" t="s">
        <v>58</v>
      </c>
      <c r="N1003" s="63" t="s">
        <v>59</v>
      </c>
      <c r="O1003" s="63" t="s">
        <v>1161</v>
      </c>
      <c r="P1003" s="76" t="s">
        <v>2723</v>
      </c>
      <c r="Q1003" s="79">
        <v>3553500</v>
      </c>
      <c r="R1003" s="63">
        <v>1</v>
      </c>
      <c r="S1003" s="80">
        <f t="shared" si="111"/>
        <v>21321000</v>
      </c>
      <c r="T1003" s="63"/>
      <c r="U1003" s="63" t="s">
        <v>1163</v>
      </c>
      <c r="V1003" s="81" t="s">
        <v>1164</v>
      </c>
      <c r="W1003" s="82">
        <v>6</v>
      </c>
      <c r="X1003" s="63" t="s">
        <v>2766</v>
      </c>
      <c r="Y1003" s="89">
        <v>43376</v>
      </c>
      <c r="Z1003" s="83">
        <v>21321000</v>
      </c>
      <c r="AA1003" s="84" t="s">
        <v>2742</v>
      </c>
      <c r="AB1003" s="85"/>
      <c r="AC1003" s="81"/>
      <c r="AD1003" s="86"/>
      <c r="AE1003" s="87">
        <f t="shared" si="105"/>
        <v>0</v>
      </c>
      <c r="AF1003" s="85"/>
      <c r="AG1003" s="81"/>
      <c r="AH1003" s="86"/>
      <c r="AI1003" s="63"/>
      <c r="AJ1003" s="63"/>
      <c r="AK1003" s="87">
        <f t="shared" si="103"/>
        <v>0</v>
      </c>
      <c r="AL1003" s="86">
        <v>0</v>
      </c>
      <c r="AM1003" s="86">
        <f t="shared" si="109"/>
        <v>0</v>
      </c>
      <c r="AN1003" s="63" t="s">
        <v>1155</v>
      </c>
      <c r="AO1003" s="86">
        <f t="shared" si="110"/>
        <v>21321000</v>
      </c>
      <c r="AP1003" s="63"/>
      <c r="AQ1003" s="81">
        <v>43375</v>
      </c>
      <c r="AR1003" s="63" t="s">
        <v>2109</v>
      </c>
      <c r="AS1003" s="81">
        <v>43376</v>
      </c>
      <c r="AT1003" s="63" t="s">
        <v>1453</v>
      </c>
      <c r="AU1003" s="220"/>
      <c r="AV1003" s="220"/>
      <c r="AW1003" s="220"/>
    </row>
    <row r="1004" spans="1:49" s="221" customFormat="1" ht="370.5" x14ac:dyDescent="0.25">
      <c r="A1004" s="63">
        <v>590</v>
      </c>
      <c r="B1004" s="63" t="str">
        <f t="shared" si="108"/>
        <v>3075-590</v>
      </c>
      <c r="C1004" s="76" t="s">
        <v>1141</v>
      </c>
      <c r="D1004" s="76" t="s">
        <v>1142</v>
      </c>
      <c r="E1004" s="76" t="s">
        <v>1143</v>
      </c>
      <c r="F1004" s="76" t="s">
        <v>1158</v>
      </c>
      <c r="G1004" s="88" t="s">
        <v>1159</v>
      </c>
      <c r="H1004" s="78" t="s">
        <v>1160</v>
      </c>
      <c r="I1004" s="76" t="s">
        <v>1147</v>
      </c>
      <c r="J1004" s="76" t="s">
        <v>1148</v>
      </c>
      <c r="K1004" s="76">
        <v>80111600</v>
      </c>
      <c r="L1004" s="63" t="s">
        <v>1149</v>
      </c>
      <c r="M1004" s="63" t="s">
        <v>58</v>
      </c>
      <c r="N1004" s="63" t="s">
        <v>59</v>
      </c>
      <c r="O1004" s="63" t="s">
        <v>1161</v>
      </c>
      <c r="P1004" s="76" t="s">
        <v>2762</v>
      </c>
      <c r="Q1004" s="79">
        <v>4120000</v>
      </c>
      <c r="R1004" s="63">
        <v>1</v>
      </c>
      <c r="S1004" s="80">
        <f t="shared" si="111"/>
        <v>24720000</v>
      </c>
      <c r="T1004" s="63"/>
      <c r="U1004" s="63" t="s">
        <v>1163</v>
      </c>
      <c r="V1004" s="81" t="s">
        <v>1164</v>
      </c>
      <c r="W1004" s="82">
        <v>6</v>
      </c>
      <c r="X1004" s="63" t="s">
        <v>2767</v>
      </c>
      <c r="Y1004" s="89">
        <v>43376</v>
      </c>
      <c r="Z1004" s="83">
        <v>24720000</v>
      </c>
      <c r="AA1004" s="84" t="s">
        <v>2742</v>
      </c>
      <c r="AB1004" s="85"/>
      <c r="AC1004" s="81"/>
      <c r="AD1004" s="86"/>
      <c r="AE1004" s="87">
        <f t="shared" si="105"/>
        <v>0</v>
      </c>
      <c r="AF1004" s="85"/>
      <c r="AG1004" s="81"/>
      <c r="AH1004" s="86"/>
      <c r="AI1004" s="63"/>
      <c r="AJ1004" s="63"/>
      <c r="AK1004" s="87">
        <f t="shared" si="103"/>
        <v>0</v>
      </c>
      <c r="AL1004" s="86">
        <v>0</v>
      </c>
      <c r="AM1004" s="86">
        <f t="shared" si="109"/>
        <v>0</v>
      </c>
      <c r="AN1004" s="63" t="s">
        <v>1155</v>
      </c>
      <c r="AO1004" s="86">
        <f t="shared" si="110"/>
        <v>24720000</v>
      </c>
      <c r="AP1004" s="63"/>
      <c r="AQ1004" s="81">
        <v>43375</v>
      </c>
      <c r="AR1004" s="63" t="s">
        <v>2109</v>
      </c>
      <c r="AS1004" s="81">
        <v>43376</v>
      </c>
      <c r="AT1004" s="63" t="s">
        <v>1453</v>
      </c>
      <c r="AU1004" s="220"/>
      <c r="AV1004" s="220"/>
      <c r="AW1004" s="220"/>
    </row>
    <row r="1005" spans="1:49" s="221" customFormat="1" ht="409.5" x14ac:dyDescent="0.25">
      <c r="A1005" s="63">
        <v>591</v>
      </c>
      <c r="B1005" s="63" t="str">
        <f t="shared" si="108"/>
        <v>3075-591</v>
      </c>
      <c r="C1005" s="76" t="s">
        <v>1141</v>
      </c>
      <c r="D1005" s="76" t="s">
        <v>1142</v>
      </c>
      <c r="E1005" s="76" t="s">
        <v>1143</v>
      </c>
      <c r="F1005" s="76" t="s">
        <v>1158</v>
      </c>
      <c r="G1005" s="88" t="s">
        <v>1159</v>
      </c>
      <c r="H1005" s="78" t="s">
        <v>1160</v>
      </c>
      <c r="I1005" s="76" t="s">
        <v>1147</v>
      </c>
      <c r="J1005" s="76" t="s">
        <v>1148</v>
      </c>
      <c r="K1005" s="76">
        <v>93141506</v>
      </c>
      <c r="L1005" s="63" t="s">
        <v>1149</v>
      </c>
      <c r="M1005" s="63" t="s">
        <v>58</v>
      </c>
      <c r="N1005" s="63" t="s">
        <v>59</v>
      </c>
      <c r="O1005" s="63" t="s">
        <v>1161</v>
      </c>
      <c r="P1005" s="76" t="s">
        <v>2723</v>
      </c>
      <c r="Q1005" s="79">
        <v>3553500</v>
      </c>
      <c r="R1005" s="63">
        <v>1</v>
      </c>
      <c r="S1005" s="80">
        <f t="shared" si="111"/>
        <v>21321000</v>
      </c>
      <c r="T1005" s="63"/>
      <c r="U1005" s="63" t="s">
        <v>1163</v>
      </c>
      <c r="V1005" s="81" t="s">
        <v>1164</v>
      </c>
      <c r="W1005" s="82">
        <v>6</v>
      </c>
      <c r="X1005" s="63" t="s">
        <v>2768</v>
      </c>
      <c r="Y1005" s="89">
        <v>43376</v>
      </c>
      <c r="Z1005" s="83">
        <v>21321000</v>
      </c>
      <c r="AA1005" s="84" t="s">
        <v>2742</v>
      </c>
      <c r="AB1005" s="85"/>
      <c r="AC1005" s="81"/>
      <c r="AD1005" s="86"/>
      <c r="AE1005" s="87">
        <f t="shared" si="105"/>
        <v>0</v>
      </c>
      <c r="AF1005" s="85"/>
      <c r="AG1005" s="81"/>
      <c r="AH1005" s="86"/>
      <c r="AI1005" s="63"/>
      <c r="AJ1005" s="63"/>
      <c r="AK1005" s="87">
        <f t="shared" si="103"/>
        <v>0</v>
      </c>
      <c r="AL1005" s="86">
        <v>0</v>
      </c>
      <c r="AM1005" s="86">
        <f t="shared" si="109"/>
        <v>0</v>
      </c>
      <c r="AN1005" s="63" t="s">
        <v>1155</v>
      </c>
      <c r="AO1005" s="86">
        <f t="shared" si="110"/>
        <v>21321000</v>
      </c>
      <c r="AP1005" s="63"/>
      <c r="AQ1005" s="81">
        <v>43375</v>
      </c>
      <c r="AR1005" s="63" t="s">
        <v>2109</v>
      </c>
      <c r="AS1005" s="81">
        <v>43376</v>
      </c>
      <c r="AT1005" s="63" t="s">
        <v>1453</v>
      </c>
      <c r="AU1005" s="220"/>
      <c r="AV1005" s="220"/>
      <c r="AW1005" s="220"/>
    </row>
    <row r="1006" spans="1:49" s="221" customFormat="1" ht="409.5" x14ac:dyDescent="0.25">
      <c r="A1006" s="63">
        <v>592</v>
      </c>
      <c r="B1006" s="63" t="str">
        <f>CONCATENATE("3075","-",A1006)</f>
        <v>3075-592</v>
      </c>
      <c r="C1006" s="76" t="s">
        <v>1141</v>
      </c>
      <c r="D1006" s="76" t="s">
        <v>1142</v>
      </c>
      <c r="E1006" s="76" t="s">
        <v>1143</v>
      </c>
      <c r="F1006" s="76" t="s">
        <v>1158</v>
      </c>
      <c r="G1006" s="88" t="s">
        <v>1159</v>
      </c>
      <c r="H1006" s="78" t="s">
        <v>1160</v>
      </c>
      <c r="I1006" s="76" t="s">
        <v>1147</v>
      </c>
      <c r="J1006" s="76" t="s">
        <v>1148</v>
      </c>
      <c r="K1006" s="76">
        <v>81101500</v>
      </c>
      <c r="L1006" s="63" t="s">
        <v>1149</v>
      </c>
      <c r="M1006" s="63" t="s">
        <v>58</v>
      </c>
      <c r="N1006" s="63" t="s">
        <v>59</v>
      </c>
      <c r="O1006" s="63" t="s">
        <v>1161</v>
      </c>
      <c r="P1006" s="76" t="s">
        <v>2769</v>
      </c>
      <c r="Q1006" s="79">
        <v>3553500</v>
      </c>
      <c r="R1006" s="63">
        <v>1</v>
      </c>
      <c r="S1006" s="80">
        <f>Q1006*R1006*W1006</f>
        <v>21321000</v>
      </c>
      <c r="T1006" s="63"/>
      <c r="U1006" s="63" t="s">
        <v>1163</v>
      </c>
      <c r="V1006" s="81" t="s">
        <v>1164</v>
      </c>
      <c r="W1006" s="82">
        <v>6</v>
      </c>
      <c r="X1006" s="63" t="s">
        <v>2770</v>
      </c>
      <c r="Y1006" s="89">
        <v>43376</v>
      </c>
      <c r="Z1006" s="83">
        <v>21321000</v>
      </c>
      <c r="AA1006" s="84" t="s">
        <v>2742</v>
      </c>
      <c r="AB1006" s="85"/>
      <c r="AC1006" s="81"/>
      <c r="AD1006" s="86"/>
      <c r="AE1006" s="87">
        <f>S1006-Z1006</f>
        <v>0</v>
      </c>
      <c r="AF1006" s="85"/>
      <c r="AG1006" s="81"/>
      <c r="AH1006" s="86"/>
      <c r="AI1006" s="63"/>
      <c r="AJ1006" s="63"/>
      <c r="AK1006" s="87">
        <f>AD1006-AH1006</f>
        <v>0</v>
      </c>
      <c r="AL1006" s="86">
        <v>0</v>
      </c>
      <c r="AM1006" s="86">
        <f t="shared" si="109"/>
        <v>0</v>
      </c>
      <c r="AN1006" s="63" t="s">
        <v>1155</v>
      </c>
      <c r="AO1006" s="86">
        <f>S1006-AH1006</f>
        <v>21321000</v>
      </c>
      <c r="AP1006" s="63"/>
      <c r="AQ1006" s="81">
        <v>43375</v>
      </c>
      <c r="AR1006" s="63" t="s">
        <v>2109</v>
      </c>
      <c r="AS1006" s="81">
        <v>43376</v>
      </c>
      <c r="AT1006" s="63" t="s">
        <v>1453</v>
      </c>
      <c r="AU1006" s="220"/>
      <c r="AV1006" s="220"/>
      <c r="AW1006" s="220"/>
    </row>
    <row r="1007" spans="1:49" s="221" customFormat="1" ht="409.5" x14ac:dyDescent="0.25">
      <c r="A1007" s="63">
        <v>593</v>
      </c>
      <c r="B1007" s="63" t="str">
        <f t="shared" si="108"/>
        <v>3075-593</v>
      </c>
      <c r="C1007" s="76" t="s">
        <v>1141</v>
      </c>
      <c r="D1007" s="76" t="s">
        <v>1142</v>
      </c>
      <c r="E1007" s="76" t="s">
        <v>1143</v>
      </c>
      <c r="F1007" s="76" t="s">
        <v>1158</v>
      </c>
      <c r="G1007" s="88" t="s">
        <v>1159</v>
      </c>
      <c r="H1007" s="78" t="s">
        <v>1160</v>
      </c>
      <c r="I1007" s="76" t="s">
        <v>1147</v>
      </c>
      <c r="J1007" s="76" t="s">
        <v>1148</v>
      </c>
      <c r="K1007" s="76">
        <v>81101500</v>
      </c>
      <c r="L1007" s="63" t="s">
        <v>1149</v>
      </c>
      <c r="M1007" s="63" t="s">
        <v>58</v>
      </c>
      <c r="N1007" s="63" t="s">
        <v>59</v>
      </c>
      <c r="O1007" s="63" t="s">
        <v>1161</v>
      </c>
      <c r="P1007" s="76" t="s">
        <v>2771</v>
      </c>
      <c r="Q1007" s="79">
        <v>5036700</v>
      </c>
      <c r="R1007" s="63">
        <v>1</v>
      </c>
      <c r="S1007" s="80">
        <f t="shared" si="111"/>
        <v>30220200</v>
      </c>
      <c r="T1007" s="63"/>
      <c r="U1007" s="63" t="s">
        <v>1163</v>
      </c>
      <c r="V1007" s="81" t="s">
        <v>1164</v>
      </c>
      <c r="W1007" s="82">
        <v>6</v>
      </c>
      <c r="X1007" s="63" t="s">
        <v>2772</v>
      </c>
      <c r="Y1007" s="89">
        <v>43376</v>
      </c>
      <c r="Z1007" s="83">
        <v>30220200</v>
      </c>
      <c r="AA1007" s="84" t="s">
        <v>2742</v>
      </c>
      <c r="AB1007" s="85"/>
      <c r="AC1007" s="81"/>
      <c r="AD1007" s="86"/>
      <c r="AE1007" s="87">
        <f t="shared" si="105"/>
        <v>0</v>
      </c>
      <c r="AF1007" s="85"/>
      <c r="AG1007" s="81"/>
      <c r="AH1007" s="86"/>
      <c r="AI1007" s="63"/>
      <c r="AJ1007" s="63"/>
      <c r="AK1007" s="87">
        <f t="shared" si="103"/>
        <v>0</v>
      </c>
      <c r="AL1007" s="86">
        <v>0</v>
      </c>
      <c r="AM1007" s="86">
        <f t="shared" si="109"/>
        <v>0</v>
      </c>
      <c r="AN1007" s="63" t="s">
        <v>1155</v>
      </c>
      <c r="AO1007" s="86">
        <f t="shared" si="110"/>
        <v>30220200</v>
      </c>
      <c r="AP1007" s="63"/>
      <c r="AQ1007" s="81">
        <v>43375</v>
      </c>
      <c r="AR1007" s="63" t="s">
        <v>2109</v>
      </c>
      <c r="AS1007" s="81">
        <v>43376</v>
      </c>
      <c r="AT1007" s="63" t="s">
        <v>1453</v>
      </c>
      <c r="AU1007" s="220"/>
      <c r="AV1007" s="220"/>
      <c r="AW1007" s="220"/>
    </row>
    <row r="1008" spans="1:49" s="221" customFormat="1" ht="409.5" x14ac:dyDescent="0.25">
      <c r="A1008" s="63">
        <v>594</v>
      </c>
      <c r="B1008" s="63" t="str">
        <f t="shared" si="108"/>
        <v>3075-594</v>
      </c>
      <c r="C1008" s="76" t="s">
        <v>1141</v>
      </c>
      <c r="D1008" s="76" t="s">
        <v>1142</v>
      </c>
      <c r="E1008" s="76" t="s">
        <v>1143</v>
      </c>
      <c r="F1008" s="76" t="s">
        <v>1158</v>
      </c>
      <c r="G1008" s="88" t="s">
        <v>1159</v>
      </c>
      <c r="H1008" s="78" t="s">
        <v>1160</v>
      </c>
      <c r="I1008" s="76" t="s">
        <v>1147</v>
      </c>
      <c r="J1008" s="76" t="s">
        <v>1148</v>
      </c>
      <c r="K1008" s="76">
        <v>81101500</v>
      </c>
      <c r="L1008" s="63" t="s">
        <v>1149</v>
      </c>
      <c r="M1008" s="63" t="s">
        <v>58</v>
      </c>
      <c r="N1008" s="63" t="s">
        <v>59</v>
      </c>
      <c r="O1008" s="63" t="s">
        <v>1161</v>
      </c>
      <c r="P1008" s="76" t="s">
        <v>2773</v>
      </c>
      <c r="Q1008" s="79">
        <v>4120000</v>
      </c>
      <c r="R1008" s="63">
        <v>1</v>
      </c>
      <c r="S1008" s="80">
        <f t="shared" si="111"/>
        <v>24720000</v>
      </c>
      <c r="T1008" s="63"/>
      <c r="U1008" s="63" t="s">
        <v>1163</v>
      </c>
      <c r="V1008" s="81" t="s">
        <v>1164</v>
      </c>
      <c r="W1008" s="82">
        <v>6</v>
      </c>
      <c r="X1008" s="63" t="s">
        <v>2774</v>
      </c>
      <c r="Y1008" s="89">
        <v>43376</v>
      </c>
      <c r="Z1008" s="83">
        <v>24720000</v>
      </c>
      <c r="AA1008" s="84" t="s">
        <v>2742</v>
      </c>
      <c r="AB1008" s="85"/>
      <c r="AC1008" s="81"/>
      <c r="AD1008" s="86"/>
      <c r="AE1008" s="87">
        <f t="shared" si="105"/>
        <v>0</v>
      </c>
      <c r="AF1008" s="85"/>
      <c r="AG1008" s="81"/>
      <c r="AH1008" s="86"/>
      <c r="AI1008" s="63"/>
      <c r="AJ1008" s="63"/>
      <c r="AK1008" s="87">
        <f t="shared" si="103"/>
        <v>0</v>
      </c>
      <c r="AL1008" s="86">
        <v>0</v>
      </c>
      <c r="AM1008" s="86">
        <f t="shared" si="109"/>
        <v>0</v>
      </c>
      <c r="AN1008" s="63" t="s">
        <v>1155</v>
      </c>
      <c r="AO1008" s="86">
        <f t="shared" si="110"/>
        <v>24720000</v>
      </c>
      <c r="AP1008" s="63"/>
      <c r="AQ1008" s="81">
        <v>43375</v>
      </c>
      <c r="AR1008" s="63" t="s">
        <v>2109</v>
      </c>
      <c r="AS1008" s="81">
        <v>43376</v>
      </c>
      <c r="AT1008" s="63" t="s">
        <v>1453</v>
      </c>
      <c r="AU1008" s="220"/>
      <c r="AV1008" s="220"/>
      <c r="AW1008" s="220"/>
    </row>
    <row r="1009" spans="1:49" s="221" customFormat="1" ht="409.5" x14ac:dyDescent="0.25">
      <c r="A1009" s="63">
        <v>595</v>
      </c>
      <c r="B1009" s="63" t="str">
        <f t="shared" si="108"/>
        <v>3075-595</v>
      </c>
      <c r="C1009" s="76" t="s">
        <v>1141</v>
      </c>
      <c r="D1009" s="76" t="s">
        <v>1142</v>
      </c>
      <c r="E1009" s="76" t="s">
        <v>1143</v>
      </c>
      <c r="F1009" s="76" t="s">
        <v>1158</v>
      </c>
      <c r="G1009" s="88" t="s">
        <v>1159</v>
      </c>
      <c r="H1009" s="78" t="s">
        <v>1160</v>
      </c>
      <c r="I1009" s="76" t="s">
        <v>1147</v>
      </c>
      <c r="J1009" s="76" t="s">
        <v>1148</v>
      </c>
      <c r="K1009" s="76">
        <v>81101500</v>
      </c>
      <c r="L1009" s="63" t="s">
        <v>1149</v>
      </c>
      <c r="M1009" s="63" t="s">
        <v>58</v>
      </c>
      <c r="N1009" s="63" t="s">
        <v>59</v>
      </c>
      <c r="O1009" s="63" t="s">
        <v>1161</v>
      </c>
      <c r="P1009" s="76" t="s">
        <v>2773</v>
      </c>
      <c r="Q1009" s="79">
        <v>4120000</v>
      </c>
      <c r="R1009" s="63">
        <v>1</v>
      </c>
      <c r="S1009" s="80">
        <f t="shared" si="111"/>
        <v>24720000</v>
      </c>
      <c r="T1009" s="63"/>
      <c r="U1009" s="63" t="s">
        <v>1163</v>
      </c>
      <c r="V1009" s="81" t="s">
        <v>1164</v>
      </c>
      <c r="W1009" s="82">
        <v>6</v>
      </c>
      <c r="X1009" s="63" t="s">
        <v>2775</v>
      </c>
      <c r="Y1009" s="89">
        <v>43376</v>
      </c>
      <c r="Z1009" s="83">
        <v>24720000</v>
      </c>
      <c r="AA1009" s="84" t="s">
        <v>2742</v>
      </c>
      <c r="AB1009" s="85"/>
      <c r="AC1009" s="81"/>
      <c r="AD1009" s="86"/>
      <c r="AE1009" s="87">
        <f t="shared" si="105"/>
        <v>0</v>
      </c>
      <c r="AF1009" s="85"/>
      <c r="AG1009" s="81"/>
      <c r="AH1009" s="86"/>
      <c r="AI1009" s="63"/>
      <c r="AJ1009" s="63"/>
      <c r="AK1009" s="87">
        <f t="shared" si="103"/>
        <v>0</v>
      </c>
      <c r="AL1009" s="86">
        <v>0</v>
      </c>
      <c r="AM1009" s="86">
        <f t="shared" si="109"/>
        <v>0</v>
      </c>
      <c r="AN1009" s="63" t="s">
        <v>1155</v>
      </c>
      <c r="AO1009" s="86">
        <f t="shared" si="110"/>
        <v>24720000</v>
      </c>
      <c r="AP1009" s="63"/>
      <c r="AQ1009" s="81">
        <v>43375</v>
      </c>
      <c r="AR1009" s="63" t="s">
        <v>2109</v>
      </c>
      <c r="AS1009" s="81">
        <v>43376</v>
      </c>
      <c r="AT1009" s="63" t="s">
        <v>1453</v>
      </c>
      <c r="AU1009" s="220"/>
      <c r="AV1009" s="220"/>
      <c r="AW1009" s="220"/>
    </row>
    <row r="1010" spans="1:49" s="221" customFormat="1" ht="399" x14ac:dyDescent="0.25">
      <c r="A1010" s="63">
        <v>596</v>
      </c>
      <c r="B1010" s="63" t="str">
        <f t="shared" si="108"/>
        <v>3075-596</v>
      </c>
      <c r="C1010" s="76" t="s">
        <v>1141</v>
      </c>
      <c r="D1010" s="76" t="s">
        <v>1142</v>
      </c>
      <c r="E1010" s="76" t="s">
        <v>1143</v>
      </c>
      <c r="F1010" s="76" t="s">
        <v>1158</v>
      </c>
      <c r="G1010" s="88" t="s">
        <v>1159</v>
      </c>
      <c r="H1010" s="78" t="s">
        <v>1160</v>
      </c>
      <c r="I1010" s="76" t="s">
        <v>1147</v>
      </c>
      <c r="J1010" s="76" t="s">
        <v>1148</v>
      </c>
      <c r="K1010" s="76">
        <v>81111600</v>
      </c>
      <c r="L1010" s="63" t="s">
        <v>1149</v>
      </c>
      <c r="M1010" s="63" t="s">
        <v>58</v>
      </c>
      <c r="N1010" s="63" t="s">
        <v>59</v>
      </c>
      <c r="O1010" s="63" t="s">
        <v>1161</v>
      </c>
      <c r="P1010" s="76" t="s">
        <v>2776</v>
      </c>
      <c r="Q1010" s="79">
        <v>3399000</v>
      </c>
      <c r="R1010" s="63">
        <v>1</v>
      </c>
      <c r="S1010" s="80">
        <f t="shared" si="111"/>
        <v>20394000</v>
      </c>
      <c r="T1010" s="63"/>
      <c r="U1010" s="63" t="s">
        <v>1163</v>
      </c>
      <c r="V1010" s="81" t="s">
        <v>1164</v>
      </c>
      <c r="W1010" s="82">
        <v>6</v>
      </c>
      <c r="X1010" s="63" t="s">
        <v>2777</v>
      </c>
      <c r="Y1010" s="89">
        <v>43376</v>
      </c>
      <c r="Z1010" s="83">
        <v>20394000</v>
      </c>
      <c r="AA1010" s="84" t="s">
        <v>2742</v>
      </c>
      <c r="AB1010" s="85"/>
      <c r="AC1010" s="81"/>
      <c r="AD1010" s="86"/>
      <c r="AE1010" s="87">
        <f t="shared" si="105"/>
        <v>0</v>
      </c>
      <c r="AF1010" s="85"/>
      <c r="AG1010" s="81"/>
      <c r="AH1010" s="86"/>
      <c r="AI1010" s="63"/>
      <c r="AJ1010" s="63"/>
      <c r="AK1010" s="87">
        <f t="shared" ref="AK1010:AK1047" si="112">AD1010-AH1010</f>
        <v>0</v>
      </c>
      <c r="AL1010" s="86">
        <v>0</v>
      </c>
      <c r="AM1010" s="86">
        <f t="shared" si="109"/>
        <v>0</v>
      </c>
      <c r="AN1010" s="63" t="s">
        <v>1155</v>
      </c>
      <c r="AO1010" s="86">
        <f t="shared" si="110"/>
        <v>20394000</v>
      </c>
      <c r="AP1010" s="63"/>
      <c r="AQ1010" s="81">
        <v>43375</v>
      </c>
      <c r="AR1010" s="63" t="s">
        <v>2109</v>
      </c>
      <c r="AS1010" s="81">
        <v>43376</v>
      </c>
      <c r="AT1010" s="63" t="s">
        <v>1453</v>
      </c>
      <c r="AU1010" s="220"/>
      <c r="AV1010" s="220"/>
      <c r="AW1010" s="220"/>
    </row>
    <row r="1011" spans="1:49" s="221" customFormat="1" ht="409.5" x14ac:dyDescent="0.25">
      <c r="A1011" s="63">
        <v>597</v>
      </c>
      <c r="B1011" s="63" t="str">
        <f t="shared" si="108"/>
        <v>3075-597</v>
      </c>
      <c r="C1011" s="76" t="s">
        <v>1141</v>
      </c>
      <c r="D1011" s="76" t="s">
        <v>1142</v>
      </c>
      <c r="E1011" s="76" t="s">
        <v>1143</v>
      </c>
      <c r="F1011" s="76" t="s">
        <v>1158</v>
      </c>
      <c r="G1011" s="88" t="s">
        <v>1159</v>
      </c>
      <c r="H1011" s="78" t="s">
        <v>1160</v>
      </c>
      <c r="I1011" s="76" t="s">
        <v>1147</v>
      </c>
      <c r="J1011" s="76" t="s">
        <v>1148</v>
      </c>
      <c r="K1011" s="76">
        <v>81101500</v>
      </c>
      <c r="L1011" s="63" t="s">
        <v>1149</v>
      </c>
      <c r="M1011" s="63" t="s">
        <v>58</v>
      </c>
      <c r="N1011" s="63" t="s">
        <v>59</v>
      </c>
      <c r="O1011" s="63" t="s">
        <v>1161</v>
      </c>
      <c r="P1011" s="76" t="s">
        <v>2778</v>
      </c>
      <c r="Q1011" s="79">
        <v>4532000</v>
      </c>
      <c r="R1011" s="63">
        <v>1</v>
      </c>
      <c r="S1011" s="80">
        <f t="shared" si="111"/>
        <v>27192000</v>
      </c>
      <c r="T1011" s="63"/>
      <c r="U1011" s="63" t="s">
        <v>1163</v>
      </c>
      <c r="V1011" s="81" t="s">
        <v>1164</v>
      </c>
      <c r="W1011" s="82">
        <v>6</v>
      </c>
      <c r="X1011" s="63" t="s">
        <v>2779</v>
      </c>
      <c r="Y1011" s="89">
        <v>43376</v>
      </c>
      <c r="Z1011" s="83">
        <v>27192000</v>
      </c>
      <c r="AA1011" s="84" t="s">
        <v>2742</v>
      </c>
      <c r="AB1011" s="85"/>
      <c r="AC1011" s="81"/>
      <c r="AD1011" s="86"/>
      <c r="AE1011" s="87">
        <f t="shared" si="105"/>
        <v>0</v>
      </c>
      <c r="AF1011" s="85"/>
      <c r="AG1011" s="81"/>
      <c r="AH1011" s="86"/>
      <c r="AI1011" s="63"/>
      <c r="AJ1011" s="63"/>
      <c r="AK1011" s="87">
        <f t="shared" si="112"/>
        <v>0</v>
      </c>
      <c r="AL1011" s="86">
        <v>0</v>
      </c>
      <c r="AM1011" s="86">
        <f t="shared" si="109"/>
        <v>0</v>
      </c>
      <c r="AN1011" s="63" t="s">
        <v>1155</v>
      </c>
      <c r="AO1011" s="86">
        <f t="shared" si="110"/>
        <v>27192000</v>
      </c>
      <c r="AP1011" s="63"/>
      <c r="AQ1011" s="81">
        <v>43375</v>
      </c>
      <c r="AR1011" s="63" t="s">
        <v>2109</v>
      </c>
      <c r="AS1011" s="81">
        <v>43376</v>
      </c>
      <c r="AT1011" s="63" t="s">
        <v>1453</v>
      </c>
      <c r="AU1011" s="220"/>
      <c r="AV1011" s="220"/>
      <c r="AW1011" s="220"/>
    </row>
    <row r="1012" spans="1:49" s="221" customFormat="1" ht="399" x14ac:dyDescent="0.25">
      <c r="A1012" s="63">
        <v>598</v>
      </c>
      <c r="B1012" s="63" t="str">
        <f t="shared" si="108"/>
        <v>3075-598</v>
      </c>
      <c r="C1012" s="76" t="s">
        <v>1141</v>
      </c>
      <c r="D1012" s="76" t="s">
        <v>1142</v>
      </c>
      <c r="E1012" s="76" t="s">
        <v>1143</v>
      </c>
      <c r="F1012" s="76" t="s">
        <v>1158</v>
      </c>
      <c r="G1012" s="88" t="s">
        <v>1159</v>
      </c>
      <c r="H1012" s="78" t="s">
        <v>1160</v>
      </c>
      <c r="I1012" s="76" t="s">
        <v>1147</v>
      </c>
      <c r="J1012" s="76" t="s">
        <v>1148</v>
      </c>
      <c r="K1012" s="76">
        <v>80111600</v>
      </c>
      <c r="L1012" s="63" t="s">
        <v>1149</v>
      </c>
      <c r="M1012" s="63" t="s">
        <v>58</v>
      </c>
      <c r="N1012" s="63" t="s">
        <v>59</v>
      </c>
      <c r="O1012" s="63" t="s">
        <v>1161</v>
      </c>
      <c r="P1012" s="76" t="s">
        <v>2776</v>
      </c>
      <c r="Q1012" s="79">
        <v>4120000</v>
      </c>
      <c r="R1012" s="63">
        <v>1</v>
      </c>
      <c r="S1012" s="80">
        <f t="shared" si="111"/>
        <v>24720000</v>
      </c>
      <c r="T1012" s="63"/>
      <c r="U1012" s="63" t="s">
        <v>1163</v>
      </c>
      <c r="V1012" s="81" t="s">
        <v>1164</v>
      </c>
      <c r="W1012" s="82">
        <v>6</v>
      </c>
      <c r="X1012" s="63" t="s">
        <v>2780</v>
      </c>
      <c r="Y1012" s="89">
        <v>43377</v>
      </c>
      <c r="Z1012" s="83">
        <v>24720000</v>
      </c>
      <c r="AA1012" s="84" t="s">
        <v>2742</v>
      </c>
      <c r="AB1012" s="85"/>
      <c r="AC1012" s="81"/>
      <c r="AD1012" s="86"/>
      <c r="AE1012" s="87">
        <f t="shared" si="105"/>
        <v>0</v>
      </c>
      <c r="AF1012" s="85"/>
      <c r="AG1012" s="81"/>
      <c r="AH1012" s="86"/>
      <c r="AI1012" s="63"/>
      <c r="AJ1012" s="63"/>
      <c r="AK1012" s="87">
        <f t="shared" si="112"/>
        <v>0</v>
      </c>
      <c r="AL1012" s="86">
        <v>0</v>
      </c>
      <c r="AM1012" s="86">
        <f t="shared" si="109"/>
        <v>0</v>
      </c>
      <c r="AN1012" s="63" t="s">
        <v>1155</v>
      </c>
      <c r="AO1012" s="86">
        <f t="shared" si="110"/>
        <v>24720000</v>
      </c>
      <c r="AP1012" s="63"/>
      <c r="AQ1012" s="81">
        <v>43376</v>
      </c>
      <c r="AR1012" s="63" t="s">
        <v>2109</v>
      </c>
      <c r="AS1012" s="81">
        <v>43377</v>
      </c>
      <c r="AT1012" s="63" t="s">
        <v>1453</v>
      </c>
      <c r="AU1012" s="220"/>
      <c r="AV1012" s="220"/>
      <c r="AW1012" s="220"/>
    </row>
    <row r="1013" spans="1:49" s="221" customFormat="1" ht="399" x14ac:dyDescent="0.25">
      <c r="A1013" s="63">
        <v>599</v>
      </c>
      <c r="B1013" s="63" t="str">
        <f t="shared" si="108"/>
        <v>3075-599</v>
      </c>
      <c r="C1013" s="76" t="s">
        <v>1141</v>
      </c>
      <c r="D1013" s="76" t="s">
        <v>1142</v>
      </c>
      <c r="E1013" s="76" t="s">
        <v>1143</v>
      </c>
      <c r="F1013" s="76" t="s">
        <v>1158</v>
      </c>
      <c r="G1013" s="88" t="s">
        <v>1159</v>
      </c>
      <c r="H1013" s="78" t="s">
        <v>1160</v>
      </c>
      <c r="I1013" s="76" t="s">
        <v>1147</v>
      </c>
      <c r="J1013" s="76" t="s">
        <v>1148</v>
      </c>
      <c r="K1013" s="76">
        <v>80111600</v>
      </c>
      <c r="L1013" s="63" t="s">
        <v>1149</v>
      </c>
      <c r="M1013" s="63" t="s">
        <v>58</v>
      </c>
      <c r="N1013" s="63" t="s">
        <v>59</v>
      </c>
      <c r="O1013" s="63" t="s">
        <v>1161</v>
      </c>
      <c r="P1013" s="76" t="s">
        <v>2776</v>
      </c>
      <c r="Q1013" s="79">
        <v>4120000</v>
      </c>
      <c r="R1013" s="63">
        <v>1</v>
      </c>
      <c r="S1013" s="80">
        <f t="shared" si="111"/>
        <v>24720000</v>
      </c>
      <c r="T1013" s="63"/>
      <c r="U1013" s="63" t="s">
        <v>1163</v>
      </c>
      <c r="V1013" s="81" t="s">
        <v>1164</v>
      </c>
      <c r="W1013" s="82">
        <v>6</v>
      </c>
      <c r="X1013" s="63" t="s">
        <v>2781</v>
      </c>
      <c r="Y1013" s="89">
        <v>43377</v>
      </c>
      <c r="Z1013" s="83">
        <v>24720000</v>
      </c>
      <c r="AA1013" s="84" t="s">
        <v>2742</v>
      </c>
      <c r="AB1013" s="85"/>
      <c r="AC1013" s="81"/>
      <c r="AD1013" s="86"/>
      <c r="AE1013" s="87">
        <f t="shared" si="105"/>
        <v>0</v>
      </c>
      <c r="AF1013" s="85"/>
      <c r="AG1013" s="81"/>
      <c r="AH1013" s="86"/>
      <c r="AI1013" s="63"/>
      <c r="AJ1013" s="63"/>
      <c r="AK1013" s="87">
        <f t="shared" si="112"/>
        <v>0</v>
      </c>
      <c r="AL1013" s="86">
        <v>0</v>
      </c>
      <c r="AM1013" s="86">
        <f t="shared" si="109"/>
        <v>0</v>
      </c>
      <c r="AN1013" s="63" t="s">
        <v>1155</v>
      </c>
      <c r="AO1013" s="86">
        <f t="shared" si="110"/>
        <v>24720000</v>
      </c>
      <c r="AP1013" s="63"/>
      <c r="AQ1013" s="81">
        <v>43376</v>
      </c>
      <c r="AR1013" s="63" t="s">
        <v>2109</v>
      </c>
      <c r="AS1013" s="81">
        <v>43377</v>
      </c>
      <c r="AT1013" s="63" t="s">
        <v>1453</v>
      </c>
      <c r="AU1013" s="220"/>
      <c r="AV1013" s="220"/>
      <c r="AW1013" s="220"/>
    </row>
    <row r="1014" spans="1:49" s="221" customFormat="1" ht="399" x14ac:dyDescent="0.25">
      <c r="A1014" s="63">
        <v>600</v>
      </c>
      <c r="B1014" s="63" t="str">
        <f t="shared" si="108"/>
        <v>3075-600</v>
      </c>
      <c r="C1014" s="76" t="s">
        <v>1141</v>
      </c>
      <c r="D1014" s="76" t="s">
        <v>1142</v>
      </c>
      <c r="E1014" s="76" t="s">
        <v>1143</v>
      </c>
      <c r="F1014" s="76" t="s">
        <v>1158</v>
      </c>
      <c r="G1014" s="88" t="s">
        <v>1159</v>
      </c>
      <c r="H1014" s="78" t="s">
        <v>1160</v>
      </c>
      <c r="I1014" s="76" t="s">
        <v>1147</v>
      </c>
      <c r="J1014" s="76" t="s">
        <v>1148</v>
      </c>
      <c r="K1014" s="76">
        <v>801116</v>
      </c>
      <c r="L1014" s="63" t="s">
        <v>1149</v>
      </c>
      <c r="M1014" s="63" t="s">
        <v>58</v>
      </c>
      <c r="N1014" s="63" t="s">
        <v>59</v>
      </c>
      <c r="O1014" s="63" t="s">
        <v>1161</v>
      </c>
      <c r="P1014" s="76" t="s">
        <v>2776</v>
      </c>
      <c r="Q1014" s="79">
        <v>4120000</v>
      </c>
      <c r="R1014" s="63">
        <v>1</v>
      </c>
      <c r="S1014" s="80">
        <f t="shared" si="111"/>
        <v>24720000</v>
      </c>
      <c r="T1014" s="63"/>
      <c r="U1014" s="63" t="s">
        <v>1163</v>
      </c>
      <c r="V1014" s="81" t="s">
        <v>1164</v>
      </c>
      <c r="W1014" s="82">
        <v>6</v>
      </c>
      <c r="X1014" s="63" t="s">
        <v>2782</v>
      </c>
      <c r="Y1014" s="89">
        <v>43377</v>
      </c>
      <c r="Z1014" s="83">
        <v>24720000</v>
      </c>
      <c r="AA1014" s="84" t="s">
        <v>2742</v>
      </c>
      <c r="AB1014" s="85"/>
      <c r="AC1014" s="81"/>
      <c r="AD1014" s="86"/>
      <c r="AE1014" s="87">
        <f t="shared" si="105"/>
        <v>0</v>
      </c>
      <c r="AF1014" s="85"/>
      <c r="AG1014" s="81"/>
      <c r="AH1014" s="86"/>
      <c r="AI1014" s="63"/>
      <c r="AJ1014" s="63"/>
      <c r="AK1014" s="87">
        <f t="shared" si="112"/>
        <v>0</v>
      </c>
      <c r="AL1014" s="86">
        <v>0</v>
      </c>
      <c r="AM1014" s="86">
        <f t="shared" si="109"/>
        <v>0</v>
      </c>
      <c r="AN1014" s="63" t="s">
        <v>1155</v>
      </c>
      <c r="AO1014" s="86">
        <f t="shared" si="110"/>
        <v>24720000</v>
      </c>
      <c r="AP1014" s="63"/>
      <c r="AQ1014" s="81">
        <v>43376</v>
      </c>
      <c r="AR1014" s="63" t="s">
        <v>2109</v>
      </c>
      <c r="AS1014" s="81">
        <v>43377</v>
      </c>
      <c r="AT1014" s="63" t="s">
        <v>1453</v>
      </c>
      <c r="AU1014" s="220"/>
      <c r="AV1014" s="220"/>
      <c r="AW1014" s="220"/>
    </row>
    <row r="1015" spans="1:49" s="221" customFormat="1" ht="399" x14ac:dyDescent="0.25">
      <c r="A1015" s="63">
        <v>601</v>
      </c>
      <c r="B1015" s="63" t="str">
        <f t="shared" si="108"/>
        <v>3075-601</v>
      </c>
      <c r="C1015" s="76" t="s">
        <v>1141</v>
      </c>
      <c r="D1015" s="76" t="s">
        <v>1142</v>
      </c>
      <c r="E1015" s="76" t="s">
        <v>1143</v>
      </c>
      <c r="F1015" s="76" t="s">
        <v>1158</v>
      </c>
      <c r="G1015" s="88" t="s">
        <v>1159</v>
      </c>
      <c r="H1015" s="78" t="s">
        <v>1160</v>
      </c>
      <c r="I1015" s="76" t="s">
        <v>1147</v>
      </c>
      <c r="J1015" s="76" t="s">
        <v>1148</v>
      </c>
      <c r="K1015" s="76">
        <v>80111600</v>
      </c>
      <c r="L1015" s="63" t="s">
        <v>1149</v>
      </c>
      <c r="M1015" s="63" t="s">
        <v>58</v>
      </c>
      <c r="N1015" s="63" t="s">
        <v>59</v>
      </c>
      <c r="O1015" s="63" t="s">
        <v>1161</v>
      </c>
      <c r="P1015" s="76" t="s">
        <v>2776</v>
      </c>
      <c r="Q1015" s="79">
        <v>4120000</v>
      </c>
      <c r="R1015" s="63">
        <v>1</v>
      </c>
      <c r="S1015" s="80">
        <f t="shared" si="111"/>
        <v>24720000</v>
      </c>
      <c r="T1015" s="63"/>
      <c r="U1015" s="63" t="s">
        <v>1163</v>
      </c>
      <c r="V1015" s="81" t="s">
        <v>1164</v>
      </c>
      <c r="W1015" s="82">
        <v>6</v>
      </c>
      <c r="X1015" s="63" t="s">
        <v>2783</v>
      </c>
      <c r="Y1015" s="89">
        <v>43377</v>
      </c>
      <c r="Z1015" s="83">
        <v>24720000</v>
      </c>
      <c r="AA1015" s="84" t="s">
        <v>2742</v>
      </c>
      <c r="AB1015" s="85"/>
      <c r="AC1015" s="81"/>
      <c r="AD1015" s="86"/>
      <c r="AE1015" s="87">
        <f t="shared" si="105"/>
        <v>0</v>
      </c>
      <c r="AF1015" s="85"/>
      <c r="AG1015" s="81"/>
      <c r="AH1015" s="86"/>
      <c r="AI1015" s="63"/>
      <c r="AJ1015" s="63"/>
      <c r="AK1015" s="87">
        <f t="shared" si="112"/>
        <v>0</v>
      </c>
      <c r="AL1015" s="86">
        <v>0</v>
      </c>
      <c r="AM1015" s="86">
        <f t="shared" si="109"/>
        <v>0</v>
      </c>
      <c r="AN1015" s="63" t="s">
        <v>1155</v>
      </c>
      <c r="AO1015" s="86">
        <f t="shared" si="110"/>
        <v>24720000</v>
      </c>
      <c r="AP1015" s="63"/>
      <c r="AQ1015" s="81">
        <v>43376</v>
      </c>
      <c r="AR1015" s="63" t="s">
        <v>2109</v>
      </c>
      <c r="AS1015" s="81">
        <v>43377</v>
      </c>
      <c r="AT1015" s="63" t="s">
        <v>1453</v>
      </c>
      <c r="AU1015" s="220"/>
      <c r="AV1015" s="220"/>
      <c r="AW1015" s="220"/>
    </row>
    <row r="1016" spans="1:49" s="221" customFormat="1" ht="399" x14ac:dyDescent="0.25">
      <c r="A1016" s="63">
        <v>602</v>
      </c>
      <c r="B1016" s="63" t="str">
        <f t="shared" si="108"/>
        <v>3075-602</v>
      </c>
      <c r="C1016" s="76" t="s">
        <v>1141</v>
      </c>
      <c r="D1016" s="76" t="s">
        <v>1142</v>
      </c>
      <c r="E1016" s="76" t="s">
        <v>1143</v>
      </c>
      <c r="F1016" s="76" t="s">
        <v>1158</v>
      </c>
      <c r="G1016" s="88" t="s">
        <v>1159</v>
      </c>
      <c r="H1016" s="78" t="s">
        <v>1160</v>
      </c>
      <c r="I1016" s="76" t="s">
        <v>1147</v>
      </c>
      <c r="J1016" s="76" t="s">
        <v>1148</v>
      </c>
      <c r="K1016" s="76">
        <v>80111600</v>
      </c>
      <c r="L1016" s="63" t="s">
        <v>1149</v>
      </c>
      <c r="M1016" s="63" t="s">
        <v>58</v>
      </c>
      <c r="N1016" s="63" t="s">
        <v>59</v>
      </c>
      <c r="O1016" s="63" t="s">
        <v>1161</v>
      </c>
      <c r="P1016" s="76" t="s">
        <v>2776</v>
      </c>
      <c r="Q1016" s="79">
        <v>4120000</v>
      </c>
      <c r="R1016" s="63">
        <v>1</v>
      </c>
      <c r="S1016" s="80">
        <f t="shared" si="111"/>
        <v>24720000</v>
      </c>
      <c r="T1016" s="63"/>
      <c r="U1016" s="63" t="s">
        <v>1163</v>
      </c>
      <c r="V1016" s="81" t="s">
        <v>1164</v>
      </c>
      <c r="W1016" s="82">
        <v>6</v>
      </c>
      <c r="X1016" s="63" t="s">
        <v>2784</v>
      </c>
      <c r="Y1016" s="89">
        <v>43377</v>
      </c>
      <c r="Z1016" s="83">
        <v>24720000</v>
      </c>
      <c r="AA1016" s="84" t="s">
        <v>2742</v>
      </c>
      <c r="AB1016" s="85"/>
      <c r="AC1016" s="81"/>
      <c r="AD1016" s="86"/>
      <c r="AE1016" s="87">
        <f t="shared" si="105"/>
        <v>0</v>
      </c>
      <c r="AF1016" s="85"/>
      <c r="AG1016" s="81"/>
      <c r="AH1016" s="86"/>
      <c r="AI1016" s="63"/>
      <c r="AJ1016" s="63"/>
      <c r="AK1016" s="87">
        <f t="shared" si="112"/>
        <v>0</v>
      </c>
      <c r="AL1016" s="86">
        <v>0</v>
      </c>
      <c r="AM1016" s="86">
        <f t="shared" si="109"/>
        <v>0</v>
      </c>
      <c r="AN1016" s="63" t="s">
        <v>1155</v>
      </c>
      <c r="AO1016" s="86">
        <f t="shared" si="110"/>
        <v>24720000</v>
      </c>
      <c r="AP1016" s="63"/>
      <c r="AQ1016" s="81">
        <v>43376</v>
      </c>
      <c r="AR1016" s="63" t="s">
        <v>2109</v>
      </c>
      <c r="AS1016" s="81">
        <v>43377</v>
      </c>
      <c r="AT1016" s="63" t="s">
        <v>1453</v>
      </c>
      <c r="AU1016" s="220"/>
      <c r="AV1016" s="220"/>
      <c r="AW1016" s="220"/>
    </row>
    <row r="1017" spans="1:49" s="221" customFormat="1" ht="384.75" x14ac:dyDescent="0.25">
      <c r="A1017" s="63">
        <v>603</v>
      </c>
      <c r="B1017" s="63" t="str">
        <f t="shared" si="108"/>
        <v>3075-603</v>
      </c>
      <c r="C1017" s="76" t="s">
        <v>1141</v>
      </c>
      <c r="D1017" s="76" t="s">
        <v>1142</v>
      </c>
      <c r="E1017" s="76" t="s">
        <v>1143</v>
      </c>
      <c r="F1017" s="76" t="s">
        <v>1158</v>
      </c>
      <c r="G1017" s="88" t="s">
        <v>1159</v>
      </c>
      <c r="H1017" s="78" t="s">
        <v>1160</v>
      </c>
      <c r="I1017" s="76" t="s">
        <v>1147</v>
      </c>
      <c r="J1017" s="76" t="s">
        <v>1148</v>
      </c>
      <c r="K1017" s="76">
        <v>80111600</v>
      </c>
      <c r="L1017" s="63" t="s">
        <v>1149</v>
      </c>
      <c r="M1017" s="63" t="s">
        <v>58</v>
      </c>
      <c r="N1017" s="63" t="s">
        <v>59</v>
      </c>
      <c r="O1017" s="63" t="s">
        <v>1161</v>
      </c>
      <c r="P1017" s="76" t="s">
        <v>2785</v>
      </c>
      <c r="Q1017" s="79">
        <v>4532000</v>
      </c>
      <c r="R1017" s="63">
        <v>1</v>
      </c>
      <c r="S1017" s="80">
        <f t="shared" si="111"/>
        <v>27192000</v>
      </c>
      <c r="T1017" s="63"/>
      <c r="U1017" s="63" t="s">
        <v>1163</v>
      </c>
      <c r="V1017" s="81" t="s">
        <v>1164</v>
      </c>
      <c r="W1017" s="82">
        <v>6</v>
      </c>
      <c r="X1017" s="63" t="s">
        <v>2786</v>
      </c>
      <c r="Y1017" s="89">
        <v>43377</v>
      </c>
      <c r="Z1017" s="83">
        <v>27192000</v>
      </c>
      <c r="AA1017" s="84" t="s">
        <v>2742</v>
      </c>
      <c r="AB1017" s="85"/>
      <c r="AC1017" s="81"/>
      <c r="AD1017" s="86"/>
      <c r="AE1017" s="87">
        <f t="shared" si="105"/>
        <v>0</v>
      </c>
      <c r="AF1017" s="85"/>
      <c r="AG1017" s="81"/>
      <c r="AH1017" s="86"/>
      <c r="AI1017" s="63"/>
      <c r="AJ1017" s="63"/>
      <c r="AK1017" s="87">
        <f t="shared" si="112"/>
        <v>0</v>
      </c>
      <c r="AL1017" s="86">
        <v>0</v>
      </c>
      <c r="AM1017" s="86">
        <f t="shared" si="109"/>
        <v>0</v>
      </c>
      <c r="AN1017" s="63" t="s">
        <v>1155</v>
      </c>
      <c r="AO1017" s="86">
        <f t="shared" si="110"/>
        <v>27192000</v>
      </c>
      <c r="AP1017" s="63"/>
      <c r="AQ1017" s="81">
        <v>43376</v>
      </c>
      <c r="AR1017" s="63" t="s">
        <v>2109</v>
      </c>
      <c r="AS1017" s="81">
        <v>43377</v>
      </c>
      <c r="AT1017" s="63" t="s">
        <v>1453</v>
      </c>
      <c r="AU1017" s="220"/>
      <c r="AV1017" s="220"/>
      <c r="AW1017" s="220"/>
    </row>
    <row r="1018" spans="1:49" s="221" customFormat="1" ht="409.5" x14ac:dyDescent="0.25">
      <c r="A1018" s="63">
        <v>604</v>
      </c>
      <c r="B1018" s="63" t="str">
        <f t="shared" si="108"/>
        <v>3075-604</v>
      </c>
      <c r="C1018" s="76" t="s">
        <v>1141</v>
      </c>
      <c r="D1018" s="76" t="s">
        <v>1142</v>
      </c>
      <c r="E1018" s="76" t="s">
        <v>1143</v>
      </c>
      <c r="F1018" s="76" t="s">
        <v>1158</v>
      </c>
      <c r="G1018" s="88" t="s">
        <v>1159</v>
      </c>
      <c r="H1018" s="78" t="s">
        <v>1160</v>
      </c>
      <c r="I1018" s="76" t="s">
        <v>1147</v>
      </c>
      <c r="J1018" s="76" t="s">
        <v>1148</v>
      </c>
      <c r="K1018" s="76">
        <v>93141506</v>
      </c>
      <c r="L1018" s="63" t="s">
        <v>1149</v>
      </c>
      <c r="M1018" s="63" t="s">
        <v>58</v>
      </c>
      <c r="N1018" s="63" t="s">
        <v>59</v>
      </c>
      <c r="O1018" s="63" t="s">
        <v>1161</v>
      </c>
      <c r="P1018" s="76" t="s">
        <v>2723</v>
      </c>
      <c r="Q1018" s="79">
        <v>3553500</v>
      </c>
      <c r="R1018" s="63">
        <v>1</v>
      </c>
      <c r="S1018" s="80">
        <f t="shared" si="111"/>
        <v>21321000</v>
      </c>
      <c r="T1018" s="63"/>
      <c r="U1018" s="63" t="s">
        <v>1163</v>
      </c>
      <c r="V1018" s="81" t="s">
        <v>1164</v>
      </c>
      <c r="W1018" s="82">
        <v>6</v>
      </c>
      <c r="X1018" s="63" t="s">
        <v>2787</v>
      </c>
      <c r="Y1018" s="89">
        <v>43377</v>
      </c>
      <c r="Z1018" s="83">
        <v>21321000</v>
      </c>
      <c r="AA1018" s="84" t="s">
        <v>2742</v>
      </c>
      <c r="AB1018" s="85"/>
      <c r="AC1018" s="81"/>
      <c r="AD1018" s="86"/>
      <c r="AE1018" s="87">
        <f t="shared" si="105"/>
        <v>0</v>
      </c>
      <c r="AF1018" s="85"/>
      <c r="AG1018" s="81"/>
      <c r="AH1018" s="86"/>
      <c r="AI1018" s="63"/>
      <c r="AJ1018" s="63"/>
      <c r="AK1018" s="87">
        <f t="shared" si="112"/>
        <v>0</v>
      </c>
      <c r="AL1018" s="86">
        <v>0</v>
      </c>
      <c r="AM1018" s="86">
        <f t="shared" si="109"/>
        <v>0</v>
      </c>
      <c r="AN1018" s="63" t="s">
        <v>1155</v>
      </c>
      <c r="AO1018" s="86">
        <f t="shared" si="110"/>
        <v>21321000</v>
      </c>
      <c r="AP1018" s="63"/>
      <c r="AQ1018" s="81">
        <v>43376</v>
      </c>
      <c r="AR1018" s="63" t="s">
        <v>2109</v>
      </c>
      <c r="AS1018" s="81">
        <v>43377</v>
      </c>
      <c r="AT1018" s="63" t="s">
        <v>1453</v>
      </c>
      <c r="AU1018" s="220"/>
      <c r="AV1018" s="220"/>
      <c r="AW1018" s="220"/>
    </row>
    <row r="1019" spans="1:49" s="221" customFormat="1" ht="370.5" x14ac:dyDescent="0.25">
      <c r="A1019" s="63">
        <v>605</v>
      </c>
      <c r="B1019" s="63" t="str">
        <f t="shared" si="108"/>
        <v>3075-605</v>
      </c>
      <c r="C1019" s="76" t="s">
        <v>1141</v>
      </c>
      <c r="D1019" s="76" t="s">
        <v>1142</v>
      </c>
      <c r="E1019" s="76" t="s">
        <v>1143</v>
      </c>
      <c r="F1019" s="76" t="s">
        <v>1158</v>
      </c>
      <c r="G1019" s="88" t="s">
        <v>1159</v>
      </c>
      <c r="H1019" s="78" t="s">
        <v>1160</v>
      </c>
      <c r="I1019" s="76" t="s">
        <v>1147</v>
      </c>
      <c r="J1019" s="76" t="s">
        <v>1148</v>
      </c>
      <c r="K1019" s="76">
        <v>80111600</v>
      </c>
      <c r="L1019" s="63" t="s">
        <v>1149</v>
      </c>
      <c r="M1019" s="63" t="s">
        <v>58</v>
      </c>
      <c r="N1019" s="63" t="s">
        <v>59</v>
      </c>
      <c r="O1019" s="63" t="s">
        <v>1161</v>
      </c>
      <c r="P1019" s="76" t="s">
        <v>2788</v>
      </c>
      <c r="Q1019" s="79">
        <v>5036700</v>
      </c>
      <c r="R1019" s="63">
        <v>1</v>
      </c>
      <c r="S1019" s="80">
        <f t="shared" si="111"/>
        <v>30220200</v>
      </c>
      <c r="T1019" s="63"/>
      <c r="U1019" s="63" t="s">
        <v>1163</v>
      </c>
      <c r="V1019" s="81" t="s">
        <v>1164</v>
      </c>
      <c r="W1019" s="82">
        <v>6</v>
      </c>
      <c r="X1019" s="63" t="s">
        <v>2789</v>
      </c>
      <c r="Y1019" s="89">
        <v>43377</v>
      </c>
      <c r="Z1019" s="83">
        <v>30220200</v>
      </c>
      <c r="AA1019" s="84" t="s">
        <v>2742</v>
      </c>
      <c r="AB1019" s="85"/>
      <c r="AC1019" s="81"/>
      <c r="AD1019" s="86"/>
      <c r="AE1019" s="87">
        <f t="shared" si="105"/>
        <v>0</v>
      </c>
      <c r="AF1019" s="85"/>
      <c r="AG1019" s="81"/>
      <c r="AH1019" s="86"/>
      <c r="AI1019" s="63"/>
      <c r="AJ1019" s="63"/>
      <c r="AK1019" s="87">
        <f t="shared" si="112"/>
        <v>0</v>
      </c>
      <c r="AL1019" s="86">
        <v>0</v>
      </c>
      <c r="AM1019" s="86">
        <f t="shared" si="109"/>
        <v>0</v>
      </c>
      <c r="AN1019" s="63" t="s">
        <v>1155</v>
      </c>
      <c r="AO1019" s="86">
        <f t="shared" si="110"/>
        <v>30220200</v>
      </c>
      <c r="AP1019" s="63"/>
      <c r="AQ1019" s="81">
        <v>43376</v>
      </c>
      <c r="AR1019" s="63" t="s">
        <v>2109</v>
      </c>
      <c r="AS1019" s="81">
        <v>43377</v>
      </c>
      <c r="AT1019" s="63" t="s">
        <v>1453</v>
      </c>
      <c r="AU1019" s="220"/>
      <c r="AV1019" s="220"/>
      <c r="AW1019" s="220"/>
    </row>
    <row r="1020" spans="1:49" s="221" customFormat="1" ht="327.75" x14ac:dyDescent="0.25">
      <c r="A1020" s="63">
        <v>606</v>
      </c>
      <c r="B1020" s="63" t="str">
        <f t="shared" si="108"/>
        <v>3075-606</v>
      </c>
      <c r="C1020" s="76" t="s">
        <v>1141</v>
      </c>
      <c r="D1020" s="76" t="s">
        <v>1142</v>
      </c>
      <c r="E1020" s="76" t="s">
        <v>1174</v>
      </c>
      <c r="F1020" s="76" t="s">
        <v>1175</v>
      </c>
      <c r="G1020" s="77" t="s">
        <v>1176</v>
      </c>
      <c r="H1020" s="78" t="s">
        <v>1177</v>
      </c>
      <c r="I1020" s="76" t="s">
        <v>1147</v>
      </c>
      <c r="J1020" s="76" t="s">
        <v>1148</v>
      </c>
      <c r="K1020" s="76" t="s">
        <v>439</v>
      </c>
      <c r="L1020" s="63" t="s">
        <v>1149</v>
      </c>
      <c r="M1020" s="63" t="s">
        <v>58</v>
      </c>
      <c r="N1020" s="63" t="s">
        <v>59</v>
      </c>
      <c r="O1020" s="76" t="s">
        <v>1169</v>
      </c>
      <c r="P1020" s="76" t="s">
        <v>2790</v>
      </c>
      <c r="Q1020" s="79">
        <v>39062100</v>
      </c>
      <c r="R1020" s="63">
        <v>1</v>
      </c>
      <c r="S1020" s="80">
        <f>R1020*Q1020</f>
        <v>39062100</v>
      </c>
      <c r="T1020" s="63"/>
      <c r="U1020" s="63" t="s">
        <v>1171</v>
      </c>
      <c r="V1020" s="81" t="s">
        <v>1164</v>
      </c>
      <c r="W1020" s="82" t="s">
        <v>439</v>
      </c>
      <c r="X1020" s="63" t="s">
        <v>2791</v>
      </c>
      <c r="Y1020" s="81">
        <v>43377</v>
      </c>
      <c r="Z1020" s="83">
        <v>39062100</v>
      </c>
      <c r="AA1020" s="84" t="s">
        <v>2792</v>
      </c>
      <c r="AB1020" s="85"/>
      <c r="AC1020" s="81"/>
      <c r="AD1020" s="86"/>
      <c r="AE1020" s="87">
        <f t="shared" si="105"/>
        <v>0</v>
      </c>
      <c r="AF1020" s="85"/>
      <c r="AG1020" s="81"/>
      <c r="AH1020" s="86"/>
      <c r="AI1020" s="63"/>
      <c r="AJ1020" s="63"/>
      <c r="AK1020" s="87">
        <f t="shared" si="112"/>
        <v>0</v>
      </c>
      <c r="AL1020" s="86"/>
      <c r="AM1020" s="86">
        <f t="shared" si="109"/>
        <v>0</v>
      </c>
      <c r="AN1020" s="63" t="s">
        <v>1155</v>
      </c>
      <c r="AO1020" s="86">
        <f t="shared" si="110"/>
        <v>39062100</v>
      </c>
      <c r="AP1020" s="63"/>
      <c r="AQ1020" s="81">
        <v>43377</v>
      </c>
      <c r="AR1020" s="63" t="s">
        <v>2109</v>
      </c>
      <c r="AS1020" s="81">
        <v>43377</v>
      </c>
      <c r="AT1020" s="63" t="s">
        <v>2790</v>
      </c>
      <c r="AU1020" s="220"/>
      <c r="AV1020" s="220"/>
      <c r="AW1020" s="220"/>
    </row>
    <row r="1021" spans="1:49" s="221" customFormat="1" ht="342" x14ac:dyDescent="0.25">
      <c r="A1021" s="63">
        <v>607</v>
      </c>
      <c r="B1021" s="63" t="str">
        <f t="shared" si="108"/>
        <v>3075-607</v>
      </c>
      <c r="C1021" s="76" t="s">
        <v>1141</v>
      </c>
      <c r="D1021" s="76" t="s">
        <v>1142</v>
      </c>
      <c r="E1021" s="76" t="s">
        <v>1174</v>
      </c>
      <c r="F1021" s="76" t="s">
        <v>1175</v>
      </c>
      <c r="G1021" s="77" t="s">
        <v>1176</v>
      </c>
      <c r="H1021" s="78" t="s">
        <v>1177</v>
      </c>
      <c r="I1021" s="76" t="s">
        <v>1147</v>
      </c>
      <c r="J1021" s="76" t="s">
        <v>1148</v>
      </c>
      <c r="K1021" s="76" t="s">
        <v>439</v>
      </c>
      <c r="L1021" s="63" t="s">
        <v>1149</v>
      </c>
      <c r="M1021" s="63" t="s">
        <v>58</v>
      </c>
      <c r="N1021" s="63" t="s">
        <v>59</v>
      </c>
      <c r="O1021" s="76" t="s">
        <v>1169</v>
      </c>
      <c r="P1021" s="76" t="s">
        <v>2793</v>
      </c>
      <c r="Q1021" s="79">
        <v>39062100</v>
      </c>
      <c r="R1021" s="63">
        <v>1</v>
      </c>
      <c r="S1021" s="80">
        <f>R1021*Q1021</f>
        <v>39062100</v>
      </c>
      <c r="T1021" s="63"/>
      <c r="U1021" s="63" t="s">
        <v>1171</v>
      </c>
      <c r="V1021" s="81" t="s">
        <v>1164</v>
      </c>
      <c r="W1021" s="82" t="s">
        <v>439</v>
      </c>
      <c r="X1021" s="63" t="s">
        <v>2794</v>
      </c>
      <c r="Y1021" s="81">
        <v>43377</v>
      </c>
      <c r="Z1021" s="83">
        <v>39062100</v>
      </c>
      <c r="AA1021" s="84" t="s">
        <v>2792</v>
      </c>
      <c r="AB1021" s="85"/>
      <c r="AC1021" s="81"/>
      <c r="AD1021" s="86"/>
      <c r="AE1021" s="87">
        <f t="shared" si="105"/>
        <v>0</v>
      </c>
      <c r="AF1021" s="85"/>
      <c r="AG1021" s="81"/>
      <c r="AH1021" s="86"/>
      <c r="AI1021" s="63"/>
      <c r="AJ1021" s="63"/>
      <c r="AK1021" s="87">
        <f t="shared" si="112"/>
        <v>0</v>
      </c>
      <c r="AL1021" s="86"/>
      <c r="AM1021" s="86">
        <f t="shared" si="109"/>
        <v>0</v>
      </c>
      <c r="AN1021" s="63" t="s">
        <v>1155</v>
      </c>
      <c r="AO1021" s="86">
        <f t="shared" si="110"/>
        <v>39062100</v>
      </c>
      <c r="AP1021" s="63"/>
      <c r="AQ1021" s="81">
        <v>43377</v>
      </c>
      <c r="AR1021" s="63" t="s">
        <v>2109</v>
      </c>
      <c r="AS1021" s="81">
        <v>43377</v>
      </c>
      <c r="AT1021" s="63" t="s">
        <v>2793</v>
      </c>
      <c r="AU1021" s="220"/>
      <c r="AV1021" s="220"/>
      <c r="AW1021" s="220"/>
    </row>
    <row r="1022" spans="1:49" s="221" customFormat="1" ht="299.25" x14ac:dyDescent="0.25">
      <c r="A1022" s="63">
        <v>608</v>
      </c>
      <c r="B1022" s="63" t="str">
        <f t="shared" si="108"/>
        <v>3075-608</v>
      </c>
      <c r="C1022" s="76" t="s">
        <v>1141</v>
      </c>
      <c r="D1022" s="76" t="s">
        <v>1142</v>
      </c>
      <c r="E1022" s="76" t="s">
        <v>1143</v>
      </c>
      <c r="F1022" s="76" t="s">
        <v>1158</v>
      </c>
      <c r="G1022" s="88" t="s">
        <v>1159</v>
      </c>
      <c r="H1022" s="78" t="s">
        <v>1160</v>
      </c>
      <c r="I1022" s="76" t="s">
        <v>1147</v>
      </c>
      <c r="J1022" s="76" t="s">
        <v>1148</v>
      </c>
      <c r="K1022" s="76">
        <v>80111600</v>
      </c>
      <c r="L1022" s="63" t="s">
        <v>1149</v>
      </c>
      <c r="M1022" s="63" t="s">
        <v>58</v>
      </c>
      <c r="N1022" s="63" t="s">
        <v>59</v>
      </c>
      <c r="O1022" s="63" t="s">
        <v>1161</v>
      </c>
      <c r="P1022" s="76" t="s">
        <v>2795</v>
      </c>
      <c r="Q1022" s="79">
        <v>5253000</v>
      </c>
      <c r="R1022" s="63">
        <v>1</v>
      </c>
      <c r="S1022" s="80">
        <v>14883500</v>
      </c>
      <c r="T1022" s="63"/>
      <c r="U1022" s="63" t="s">
        <v>1163</v>
      </c>
      <c r="V1022" s="81" t="s">
        <v>1164</v>
      </c>
      <c r="W1022" s="82" t="s">
        <v>2796</v>
      </c>
      <c r="X1022" s="63" t="s">
        <v>2797</v>
      </c>
      <c r="Y1022" s="89">
        <v>43377</v>
      </c>
      <c r="Z1022" s="83">
        <v>14883500</v>
      </c>
      <c r="AA1022" s="84" t="s">
        <v>2742</v>
      </c>
      <c r="AB1022" s="85"/>
      <c r="AC1022" s="81"/>
      <c r="AD1022" s="86"/>
      <c r="AE1022" s="87">
        <f t="shared" si="105"/>
        <v>0</v>
      </c>
      <c r="AF1022" s="85"/>
      <c r="AG1022" s="81"/>
      <c r="AH1022" s="86"/>
      <c r="AI1022" s="63"/>
      <c r="AJ1022" s="63"/>
      <c r="AK1022" s="87">
        <f t="shared" si="112"/>
        <v>0</v>
      </c>
      <c r="AL1022" s="86">
        <v>0</v>
      </c>
      <c r="AM1022" s="86">
        <f t="shared" si="109"/>
        <v>0</v>
      </c>
      <c r="AN1022" s="63" t="s">
        <v>1155</v>
      </c>
      <c r="AO1022" s="86">
        <f t="shared" si="110"/>
        <v>14883500</v>
      </c>
      <c r="AP1022" s="63"/>
      <c r="AQ1022" s="81">
        <v>43377</v>
      </c>
      <c r="AR1022" s="63" t="s">
        <v>2109</v>
      </c>
      <c r="AS1022" s="81">
        <v>43377</v>
      </c>
      <c r="AT1022" s="63" t="s">
        <v>1453</v>
      </c>
      <c r="AU1022" s="220"/>
      <c r="AV1022" s="220"/>
      <c r="AW1022" s="220"/>
    </row>
    <row r="1023" spans="1:49" s="221" customFormat="1" ht="409.5" x14ac:dyDescent="0.25">
      <c r="A1023" s="63">
        <v>609</v>
      </c>
      <c r="B1023" s="63" t="str">
        <f t="shared" si="108"/>
        <v>3075-609</v>
      </c>
      <c r="C1023" s="76" t="s">
        <v>1141</v>
      </c>
      <c r="D1023" s="76" t="s">
        <v>1142</v>
      </c>
      <c r="E1023" s="76" t="s">
        <v>1143</v>
      </c>
      <c r="F1023" s="76" t="s">
        <v>1158</v>
      </c>
      <c r="G1023" s="88" t="s">
        <v>1159</v>
      </c>
      <c r="H1023" s="78" t="s">
        <v>1160</v>
      </c>
      <c r="I1023" s="76" t="s">
        <v>1147</v>
      </c>
      <c r="J1023" s="76" t="s">
        <v>1148</v>
      </c>
      <c r="K1023" s="76">
        <v>93141506</v>
      </c>
      <c r="L1023" s="63" t="s">
        <v>1149</v>
      </c>
      <c r="M1023" s="63" t="s">
        <v>58</v>
      </c>
      <c r="N1023" s="63" t="s">
        <v>59</v>
      </c>
      <c r="O1023" s="63" t="s">
        <v>1161</v>
      </c>
      <c r="P1023" s="76" t="s">
        <v>2704</v>
      </c>
      <c r="Q1023" s="79">
        <v>4120000</v>
      </c>
      <c r="R1023" s="63">
        <v>1</v>
      </c>
      <c r="S1023" s="80">
        <f>Q1023*R1023*W1023</f>
        <v>24720000</v>
      </c>
      <c r="T1023" s="63"/>
      <c r="U1023" s="63" t="s">
        <v>1163</v>
      </c>
      <c r="V1023" s="81" t="s">
        <v>1164</v>
      </c>
      <c r="W1023" s="82">
        <v>6</v>
      </c>
      <c r="X1023" s="63" t="s">
        <v>2798</v>
      </c>
      <c r="Y1023" s="89">
        <v>43381</v>
      </c>
      <c r="Z1023" s="83">
        <v>24720000</v>
      </c>
      <c r="AA1023" s="84" t="s">
        <v>2742</v>
      </c>
      <c r="AB1023" s="85"/>
      <c r="AC1023" s="81"/>
      <c r="AD1023" s="86"/>
      <c r="AE1023" s="87">
        <f t="shared" si="105"/>
        <v>0</v>
      </c>
      <c r="AF1023" s="85"/>
      <c r="AG1023" s="81"/>
      <c r="AH1023" s="86"/>
      <c r="AI1023" s="63"/>
      <c r="AJ1023" s="63"/>
      <c r="AK1023" s="87">
        <f t="shared" si="112"/>
        <v>0</v>
      </c>
      <c r="AL1023" s="86">
        <v>0</v>
      </c>
      <c r="AM1023" s="86">
        <f t="shared" si="109"/>
        <v>0</v>
      </c>
      <c r="AN1023" s="63" t="s">
        <v>1155</v>
      </c>
      <c r="AO1023" s="86">
        <f t="shared" si="110"/>
        <v>24720000</v>
      </c>
      <c r="AP1023" s="63"/>
      <c r="AQ1023" s="81">
        <v>43378</v>
      </c>
      <c r="AR1023" s="63" t="s">
        <v>2109</v>
      </c>
      <c r="AS1023" s="81">
        <v>43381</v>
      </c>
      <c r="AT1023" s="63" t="s">
        <v>1453</v>
      </c>
      <c r="AU1023" s="220"/>
      <c r="AV1023" s="220"/>
      <c r="AW1023" s="220"/>
    </row>
    <row r="1024" spans="1:49" s="221" customFormat="1" ht="409.5" x14ac:dyDescent="0.25">
      <c r="A1024" s="63">
        <v>610</v>
      </c>
      <c r="B1024" s="63" t="str">
        <f t="shared" si="108"/>
        <v>3075-610</v>
      </c>
      <c r="C1024" s="76" t="s">
        <v>1141</v>
      </c>
      <c r="D1024" s="76" t="s">
        <v>1142</v>
      </c>
      <c r="E1024" s="76" t="s">
        <v>1143</v>
      </c>
      <c r="F1024" s="76" t="s">
        <v>1158</v>
      </c>
      <c r="G1024" s="88" t="s">
        <v>1159</v>
      </c>
      <c r="H1024" s="78" t="s">
        <v>1160</v>
      </c>
      <c r="I1024" s="76" t="s">
        <v>1147</v>
      </c>
      <c r="J1024" s="76" t="s">
        <v>1148</v>
      </c>
      <c r="K1024" s="76">
        <v>93141506</v>
      </c>
      <c r="L1024" s="63" t="s">
        <v>1149</v>
      </c>
      <c r="M1024" s="63" t="s">
        <v>58</v>
      </c>
      <c r="N1024" s="63" t="s">
        <v>59</v>
      </c>
      <c r="O1024" s="63" t="s">
        <v>1161</v>
      </c>
      <c r="P1024" s="76" t="s">
        <v>2704</v>
      </c>
      <c r="Q1024" s="79">
        <v>4120000</v>
      </c>
      <c r="R1024" s="63">
        <v>1</v>
      </c>
      <c r="S1024" s="80">
        <f t="shared" ref="S1024:S1034" si="113">Q1024*R1024*W1024</f>
        <v>24720000</v>
      </c>
      <c r="T1024" s="63"/>
      <c r="U1024" s="63" t="s">
        <v>1163</v>
      </c>
      <c r="V1024" s="81" t="s">
        <v>1164</v>
      </c>
      <c r="W1024" s="82">
        <v>6</v>
      </c>
      <c r="X1024" s="63" t="s">
        <v>2799</v>
      </c>
      <c r="Y1024" s="89">
        <v>43381</v>
      </c>
      <c r="Z1024" s="83">
        <v>24720000</v>
      </c>
      <c r="AA1024" s="84" t="s">
        <v>2742</v>
      </c>
      <c r="AB1024" s="85"/>
      <c r="AC1024" s="81"/>
      <c r="AD1024" s="86"/>
      <c r="AE1024" s="87">
        <f t="shared" si="105"/>
        <v>0</v>
      </c>
      <c r="AF1024" s="85"/>
      <c r="AG1024" s="81"/>
      <c r="AH1024" s="86"/>
      <c r="AI1024" s="63"/>
      <c r="AJ1024" s="63"/>
      <c r="AK1024" s="87">
        <f t="shared" si="112"/>
        <v>0</v>
      </c>
      <c r="AL1024" s="86">
        <v>0</v>
      </c>
      <c r="AM1024" s="86">
        <f t="shared" si="109"/>
        <v>0</v>
      </c>
      <c r="AN1024" s="63" t="s">
        <v>1155</v>
      </c>
      <c r="AO1024" s="86">
        <f t="shared" si="110"/>
        <v>24720000</v>
      </c>
      <c r="AP1024" s="63"/>
      <c r="AQ1024" s="81">
        <v>43378</v>
      </c>
      <c r="AR1024" s="63" t="s">
        <v>2109</v>
      </c>
      <c r="AS1024" s="81">
        <v>43381</v>
      </c>
      <c r="AT1024" s="63" t="s">
        <v>1453</v>
      </c>
      <c r="AU1024" s="220"/>
      <c r="AV1024" s="220"/>
      <c r="AW1024" s="220"/>
    </row>
    <row r="1025" spans="1:49" s="221" customFormat="1" ht="409.5" x14ac:dyDescent="0.25">
      <c r="A1025" s="63">
        <v>611</v>
      </c>
      <c r="B1025" s="63" t="str">
        <f t="shared" si="108"/>
        <v>3075-611</v>
      </c>
      <c r="C1025" s="76" t="s">
        <v>1141</v>
      </c>
      <c r="D1025" s="76" t="s">
        <v>1142</v>
      </c>
      <c r="E1025" s="76" t="s">
        <v>1143</v>
      </c>
      <c r="F1025" s="76" t="s">
        <v>1158</v>
      </c>
      <c r="G1025" s="88" t="s">
        <v>1159</v>
      </c>
      <c r="H1025" s="78" t="s">
        <v>1160</v>
      </c>
      <c r="I1025" s="76" t="s">
        <v>1147</v>
      </c>
      <c r="J1025" s="76" t="s">
        <v>1148</v>
      </c>
      <c r="K1025" s="76">
        <v>93141506</v>
      </c>
      <c r="L1025" s="63" t="s">
        <v>1149</v>
      </c>
      <c r="M1025" s="63" t="s">
        <v>58</v>
      </c>
      <c r="N1025" s="63" t="s">
        <v>59</v>
      </c>
      <c r="O1025" s="63" t="s">
        <v>1161</v>
      </c>
      <c r="P1025" s="76" t="s">
        <v>2704</v>
      </c>
      <c r="Q1025" s="79">
        <v>4120000</v>
      </c>
      <c r="R1025" s="63">
        <v>1</v>
      </c>
      <c r="S1025" s="80">
        <f t="shared" si="113"/>
        <v>24720000</v>
      </c>
      <c r="T1025" s="63"/>
      <c r="U1025" s="63" t="s">
        <v>1163</v>
      </c>
      <c r="V1025" s="81" t="s">
        <v>1164</v>
      </c>
      <c r="W1025" s="82">
        <v>6</v>
      </c>
      <c r="X1025" s="63" t="s">
        <v>2800</v>
      </c>
      <c r="Y1025" s="89">
        <v>43381</v>
      </c>
      <c r="Z1025" s="83">
        <v>24720000</v>
      </c>
      <c r="AA1025" s="84" t="s">
        <v>2742</v>
      </c>
      <c r="AB1025" s="85"/>
      <c r="AC1025" s="81"/>
      <c r="AD1025" s="86"/>
      <c r="AE1025" s="87">
        <f t="shared" si="105"/>
        <v>0</v>
      </c>
      <c r="AF1025" s="85"/>
      <c r="AG1025" s="81"/>
      <c r="AH1025" s="86"/>
      <c r="AI1025" s="63"/>
      <c r="AJ1025" s="63"/>
      <c r="AK1025" s="87">
        <f t="shared" si="112"/>
        <v>0</v>
      </c>
      <c r="AL1025" s="86">
        <v>0</v>
      </c>
      <c r="AM1025" s="86">
        <f t="shared" si="109"/>
        <v>0</v>
      </c>
      <c r="AN1025" s="63" t="s">
        <v>1155</v>
      </c>
      <c r="AO1025" s="86">
        <f t="shared" si="110"/>
        <v>24720000</v>
      </c>
      <c r="AP1025" s="63"/>
      <c r="AQ1025" s="81">
        <v>43378</v>
      </c>
      <c r="AR1025" s="63" t="s">
        <v>2109</v>
      </c>
      <c r="AS1025" s="81">
        <v>43381</v>
      </c>
      <c r="AT1025" s="63" t="s">
        <v>1453</v>
      </c>
      <c r="AU1025" s="220"/>
      <c r="AV1025" s="220"/>
      <c r="AW1025" s="220"/>
    </row>
    <row r="1026" spans="1:49" s="221" customFormat="1" ht="409.5" x14ac:dyDescent="0.25">
      <c r="A1026" s="63">
        <v>612</v>
      </c>
      <c r="B1026" s="63" t="str">
        <f t="shared" si="108"/>
        <v>3075-612</v>
      </c>
      <c r="C1026" s="76" t="s">
        <v>1141</v>
      </c>
      <c r="D1026" s="76" t="s">
        <v>1142</v>
      </c>
      <c r="E1026" s="76" t="s">
        <v>1143</v>
      </c>
      <c r="F1026" s="76" t="s">
        <v>1158</v>
      </c>
      <c r="G1026" s="88" t="s">
        <v>1159</v>
      </c>
      <c r="H1026" s="78" t="s">
        <v>1160</v>
      </c>
      <c r="I1026" s="76" t="s">
        <v>1147</v>
      </c>
      <c r="J1026" s="76" t="s">
        <v>1148</v>
      </c>
      <c r="K1026" s="76">
        <v>93141506</v>
      </c>
      <c r="L1026" s="63" t="s">
        <v>1149</v>
      </c>
      <c r="M1026" s="63" t="s">
        <v>58</v>
      </c>
      <c r="N1026" s="63" t="s">
        <v>59</v>
      </c>
      <c r="O1026" s="63" t="s">
        <v>1161</v>
      </c>
      <c r="P1026" s="76" t="s">
        <v>2704</v>
      </c>
      <c r="Q1026" s="79">
        <v>4120000</v>
      </c>
      <c r="R1026" s="63">
        <v>1</v>
      </c>
      <c r="S1026" s="80">
        <f t="shared" si="113"/>
        <v>24720000</v>
      </c>
      <c r="T1026" s="63"/>
      <c r="U1026" s="63" t="s">
        <v>1163</v>
      </c>
      <c r="V1026" s="81" t="s">
        <v>1164</v>
      </c>
      <c r="W1026" s="82">
        <v>6</v>
      </c>
      <c r="X1026" s="63" t="s">
        <v>2801</v>
      </c>
      <c r="Y1026" s="89">
        <v>43381</v>
      </c>
      <c r="Z1026" s="83">
        <v>24720000</v>
      </c>
      <c r="AA1026" s="84" t="s">
        <v>2742</v>
      </c>
      <c r="AB1026" s="85"/>
      <c r="AC1026" s="81"/>
      <c r="AD1026" s="86"/>
      <c r="AE1026" s="87">
        <f t="shared" si="105"/>
        <v>0</v>
      </c>
      <c r="AF1026" s="85"/>
      <c r="AG1026" s="81"/>
      <c r="AH1026" s="86"/>
      <c r="AI1026" s="63"/>
      <c r="AJ1026" s="63"/>
      <c r="AK1026" s="87">
        <f t="shared" si="112"/>
        <v>0</v>
      </c>
      <c r="AL1026" s="86">
        <v>0</v>
      </c>
      <c r="AM1026" s="86">
        <f t="shared" si="109"/>
        <v>0</v>
      </c>
      <c r="AN1026" s="63" t="s">
        <v>1155</v>
      </c>
      <c r="AO1026" s="86">
        <f t="shared" si="110"/>
        <v>24720000</v>
      </c>
      <c r="AP1026" s="63"/>
      <c r="AQ1026" s="81">
        <v>43378</v>
      </c>
      <c r="AR1026" s="63" t="s">
        <v>2109</v>
      </c>
      <c r="AS1026" s="81">
        <v>43381</v>
      </c>
      <c r="AT1026" s="63" t="s">
        <v>1453</v>
      </c>
      <c r="AU1026" s="220"/>
      <c r="AV1026" s="220"/>
      <c r="AW1026" s="220"/>
    </row>
    <row r="1027" spans="1:49" s="221" customFormat="1" ht="409.5" x14ac:dyDescent="0.25">
      <c r="A1027" s="63">
        <v>613</v>
      </c>
      <c r="B1027" s="63" t="str">
        <f t="shared" si="108"/>
        <v>3075-613</v>
      </c>
      <c r="C1027" s="76" t="s">
        <v>1141</v>
      </c>
      <c r="D1027" s="76" t="s">
        <v>1142</v>
      </c>
      <c r="E1027" s="76" t="s">
        <v>1143</v>
      </c>
      <c r="F1027" s="76" t="s">
        <v>1158</v>
      </c>
      <c r="G1027" s="88" t="s">
        <v>1159</v>
      </c>
      <c r="H1027" s="78" t="s">
        <v>1160</v>
      </c>
      <c r="I1027" s="76" t="s">
        <v>1147</v>
      </c>
      <c r="J1027" s="76" t="s">
        <v>1148</v>
      </c>
      <c r="K1027" s="76">
        <v>93141506</v>
      </c>
      <c r="L1027" s="63" t="s">
        <v>1149</v>
      </c>
      <c r="M1027" s="63" t="s">
        <v>58</v>
      </c>
      <c r="N1027" s="63" t="s">
        <v>59</v>
      </c>
      <c r="O1027" s="63" t="s">
        <v>1161</v>
      </c>
      <c r="P1027" s="76" t="s">
        <v>2704</v>
      </c>
      <c r="Q1027" s="79">
        <v>4120000</v>
      </c>
      <c r="R1027" s="63">
        <v>1</v>
      </c>
      <c r="S1027" s="80">
        <f t="shared" si="113"/>
        <v>24720000</v>
      </c>
      <c r="T1027" s="63"/>
      <c r="U1027" s="63" t="s">
        <v>1163</v>
      </c>
      <c r="V1027" s="81" t="s">
        <v>1164</v>
      </c>
      <c r="W1027" s="82">
        <v>6</v>
      </c>
      <c r="X1027" s="63" t="s">
        <v>2802</v>
      </c>
      <c r="Y1027" s="89">
        <v>43381</v>
      </c>
      <c r="Z1027" s="83">
        <v>24720000</v>
      </c>
      <c r="AA1027" s="84" t="s">
        <v>2742</v>
      </c>
      <c r="AB1027" s="85"/>
      <c r="AC1027" s="81"/>
      <c r="AD1027" s="86"/>
      <c r="AE1027" s="87">
        <f t="shared" si="105"/>
        <v>0</v>
      </c>
      <c r="AF1027" s="85"/>
      <c r="AG1027" s="81"/>
      <c r="AH1027" s="86"/>
      <c r="AI1027" s="63"/>
      <c r="AJ1027" s="63"/>
      <c r="AK1027" s="87">
        <f t="shared" si="112"/>
        <v>0</v>
      </c>
      <c r="AL1027" s="86">
        <v>0</v>
      </c>
      <c r="AM1027" s="86">
        <f t="shared" si="109"/>
        <v>0</v>
      </c>
      <c r="AN1027" s="63" t="s">
        <v>1155</v>
      </c>
      <c r="AO1027" s="86">
        <f t="shared" si="110"/>
        <v>24720000</v>
      </c>
      <c r="AP1027" s="63"/>
      <c r="AQ1027" s="81">
        <v>43378</v>
      </c>
      <c r="AR1027" s="63" t="s">
        <v>2109</v>
      </c>
      <c r="AS1027" s="81">
        <v>43381</v>
      </c>
      <c r="AT1027" s="63" t="s">
        <v>1453</v>
      </c>
      <c r="AU1027" s="220"/>
      <c r="AV1027" s="220"/>
      <c r="AW1027" s="220"/>
    </row>
    <row r="1028" spans="1:49" s="221" customFormat="1" ht="409.5" x14ac:dyDescent="0.25">
      <c r="A1028" s="63">
        <v>614</v>
      </c>
      <c r="B1028" s="63" t="str">
        <f t="shared" si="108"/>
        <v>3075-614</v>
      </c>
      <c r="C1028" s="76" t="s">
        <v>1141</v>
      </c>
      <c r="D1028" s="76" t="s">
        <v>1142</v>
      </c>
      <c r="E1028" s="76" t="s">
        <v>1143</v>
      </c>
      <c r="F1028" s="76" t="s">
        <v>1158</v>
      </c>
      <c r="G1028" s="88" t="s">
        <v>1159</v>
      </c>
      <c r="H1028" s="78" t="s">
        <v>1160</v>
      </c>
      <c r="I1028" s="76" t="s">
        <v>1147</v>
      </c>
      <c r="J1028" s="76" t="s">
        <v>1148</v>
      </c>
      <c r="K1028" s="76">
        <v>93141506</v>
      </c>
      <c r="L1028" s="63" t="s">
        <v>1149</v>
      </c>
      <c r="M1028" s="63" t="s">
        <v>58</v>
      </c>
      <c r="N1028" s="63" t="s">
        <v>59</v>
      </c>
      <c r="O1028" s="63" t="s">
        <v>1161</v>
      </c>
      <c r="P1028" s="76" t="s">
        <v>2704</v>
      </c>
      <c r="Q1028" s="79">
        <v>4120000</v>
      </c>
      <c r="R1028" s="63">
        <v>1</v>
      </c>
      <c r="S1028" s="80">
        <f t="shared" si="113"/>
        <v>24720000</v>
      </c>
      <c r="T1028" s="63"/>
      <c r="U1028" s="63" t="s">
        <v>1163</v>
      </c>
      <c r="V1028" s="81" t="s">
        <v>1164</v>
      </c>
      <c r="W1028" s="82">
        <v>6</v>
      </c>
      <c r="X1028" s="63" t="s">
        <v>2803</v>
      </c>
      <c r="Y1028" s="89">
        <v>43381</v>
      </c>
      <c r="Z1028" s="83">
        <v>24720000</v>
      </c>
      <c r="AA1028" s="84" t="s">
        <v>2742</v>
      </c>
      <c r="AB1028" s="85"/>
      <c r="AC1028" s="81"/>
      <c r="AD1028" s="86"/>
      <c r="AE1028" s="87">
        <f t="shared" si="105"/>
        <v>0</v>
      </c>
      <c r="AF1028" s="85"/>
      <c r="AG1028" s="81"/>
      <c r="AH1028" s="86"/>
      <c r="AI1028" s="63"/>
      <c r="AJ1028" s="63"/>
      <c r="AK1028" s="87">
        <f t="shared" si="112"/>
        <v>0</v>
      </c>
      <c r="AL1028" s="86">
        <v>0</v>
      </c>
      <c r="AM1028" s="86">
        <f t="shared" si="109"/>
        <v>0</v>
      </c>
      <c r="AN1028" s="63" t="s">
        <v>1155</v>
      </c>
      <c r="AO1028" s="86">
        <f t="shared" si="110"/>
        <v>24720000</v>
      </c>
      <c r="AP1028" s="63"/>
      <c r="AQ1028" s="81">
        <v>43378</v>
      </c>
      <c r="AR1028" s="63" t="s">
        <v>2109</v>
      </c>
      <c r="AS1028" s="81">
        <v>43381</v>
      </c>
      <c r="AT1028" s="63" t="s">
        <v>1453</v>
      </c>
      <c r="AU1028" s="220"/>
      <c r="AV1028" s="220"/>
      <c r="AW1028" s="220"/>
    </row>
    <row r="1029" spans="1:49" s="221" customFormat="1" ht="409.5" x14ac:dyDescent="0.25">
      <c r="A1029" s="63">
        <v>615</v>
      </c>
      <c r="B1029" s="63" t="str">
        <f t="shared" si="108"/>
        <v>3075-615</v>
      </c>
      <c r="C1029" s="76" t="s">
        <v>1141</v>
      </c>
      <c r="D1029" s="76" t="s">
        <v>1142</v>
      </c>
      <c r="E1029" s="76" t="s">
        <v>1143</v>
      </c>
      <c r="F1029" s="76" t="s">
        <v>1158</v>
      </c>
      <c r="G1029" s="88" t="s">
        <v>1159</v>
      </c>
      <c r="H1029" s="78" t="s">
        <v>1160</v>
      </c>
      <c r="I1029" s="76" t="s">
        <v>1147</v>
      </c>
      <c r="J1029" s="76" t="s">
        <v>1148</v>
      </c>
      <c r="K1029" s="76">
        <v>93141506</v>
      </c>
      <c r="L1029" s="63" t="s">
        <v>1149</v>
      </c>
      <c r="M1029" s="63" t="s">
        <v>58</v>
      </c>
      <c r="N1029" s="63" t="s">
        <v>59</v>
      </c>
      <c r="O1029" s="63" t="s">
        <v>1161</v>
      </c>
      <c r="P1029" s="76" t="s">
        <v>2704</v>
      </c>
      <c r="Q1029" s="79">
        <v>4120000</v>
      </c>
      <c r="R1029" s="63">
        <v>1</v>
      </c>
      <c r="S1029" s="80">
        <f t="shared" si="113"/>
        <v>24720000</v>
      </c>
      <c r="T1029" s="63"/>
      <c r="U1029" s="63" t="s">
        <v>1163</v>
      </c>
      <c r="V1029" s="81" t="s">
        <v>1164</v>
      </c>
      <c r="W1029" s="82">
        <v>6</v>
      </c>
      <c r="X1029" s="63" t="s">
        <v>2804</v>
      </c>
      <c r="Y1029" s="89">
        <v>43381</v>
      </c>
      <c r="Z1029" s="83">
        <v>24720000</v>
      </c>
      <c r="AA1029" s="84" t="s">
        <v>2742</v>
      </c>
      <c r="AB1029" s="85"/>
      <c r="AC1029" s="81"/>
      <c r="AD1029" s="86"/>
      <c r="AE1029" s="87">
        <f t="shared" si="105"/>
        <v>0</v>
      </c>
      <c r="AF1029" s="85"/>
      <c r="AG1029" s="81"/>
      <c r="AH1029" s="86"/>
      <c r="AI1029" s="63"/>
      <c r="AJ1029" s="63"/>
      <c r="AK1029" s="87">
        <f t="shared" si="112"/>
        <v>0</v>
      </c>
      <c r="AL1029" s="86">
        <v>0</v>
      </c>
      <c r="AM1029" s="86">
        <f t="shared" si="109"/>
        <v>0</v>
      </c>
      <c r="AN1029" s="63" t="s">
        <v>1155</v>
      </c>
      <c r="AO1029" s="86">
        <f t="shared" si="110"/>
        <v>24720000</v>
      </c>
      <c r="AP1029" s="63"/>
      <c r="AQ1029" s="81">
        <v>43378</v>
      </c>
      <c r="AR1029" s="63" t="s">
        <v>2109</v>
      </c>
      <c r="AS1029" s="81">
        <v>43381</v>
      </c>
      <c r="AT1029" s="63" t="s">
        <v>1453</v>
      </c>
      <c r="AU1029" s="220"/>
      <c r="AV1029" s="220"/>
      <c r="AW1029" s="220"/>
    </row>
    <row r="1030" spans="1:49" s="221" customFormat="1" ht="409.5" x14ac:dyDescent="0.25">
      <c r="A1030" s="63">
        <v>616</v>
      </c>
      <c r="B1030" s="63" t="str">
        <f t="shared" si="108"/>
        <v>3075-616</v>
      </c>
      <c r="C1030" s="76" t="s">
        <v>1141</v>
      </c>
      <c r="D1030" s="76" t="s">
        <v>1142</v>
      </c>
      <c r="E1030" s="76" t="s">
        <v>1143</v>
      </c>
      <c r="F1030" s="76" t="s">
        <v>1158</v>
      </c>
      <c r="G1030" s="88" t="s">
        <v>1159</v>
      </c>
      <c r="H1030" s="78" t="s">
        <v>1160</v>
      </c>
      <c r="I1030" s="76" t="s">
        <v>1147</v>
      </c>
      <c r="J1030" s="76" t="s">
        <v>1148</v>
      </c>
      <c r="K1030" s="76">
        <v>93141506</v>
      </c>
      <c r="L1030" s="63" t="s">
        <v>1149</v>
      </c>
      <c r="M1030" s="63" t="s">
        <v>58</v>
      </c>
      <c r="N1030" s="63" t="s">
        <v>59</v>
      </c>
      <c r="O1030" s="63" t="s">
        <v>1161</v>
      </c>
      <c r="P1030" s="76" t="s">
        <v>2704</v>
      </c>
      <c r="Q1030" s="79">
        <v>4120000</v>
      </c>
      <c r="R1030" s="63">
        <v>1</v>
      </c>
      <c r="S1030" s="80">
        <f t="shared" si="113"/>
        <v>24720000</v>
      </c>
      <c r="T1030" s="63"/>
      <c r="U1030" s="63" t="s">
        <v>1163</v>
      </c>
      <c r="V1030" s="81" t="s">
        <v>1164</v>
      </c>
      <c r="W1030" s="82">
        <v>6</v>
      </c>
      <c r="X1030" s="63" t="s">
        <v>2805</v>
      </c>
      <c r="Y1030" s="89">
        <v>43381</v>
      </c>
      <c r="Z1030" s="83">
        <v>24720000</v>
      </c>
      <c r="AA1030" s="84" t="s">
        <v>2742</v>
      </c>
      <c r="AB1030" s="85"/>
      <c r="AC1030" s="81"/>
      <c r="AD1030" s="86"/>
      <c r="AE1030" s="87">
        <f t="shared" si="105"/>
        <v>0</v>
      </c>
      <c r="AF1030" s="85"/>
      <c r="AG1030" s="81"/>
      <c r="AH1030" s="86"/>
      <c r="AI1030" s="63"/>
      <c r="AJ1030" s="63"/>
      <c r="AK1030" s="87">
        <f t="shared" si="112"/>
        <v>0</v>
      </c>
      <c r="AL1030" s="86">
        <v>0</v>
      </c>
      <c r="AM1030" s="86">
        <f t="shared" si="109"/>
        <v>0</v>
      </c>
      <c r="AN1030" s="63" t="s">
        <v>1155</v>
      </c>
      <c r="AO1030" s="86">
        <f t="shared" si="110"/>
        <v>24720000</v>
      </c>
      <c r="AP1030" s="63"/>
      <c r="AQ1030" s="81">
        <v>43378</v>
      </c>
      <c r="AR1030" s="63" t="s">
        <v>2109</v>
      </c>
      <c r="AS1030" s="81">
        <v>43381</v>
      </c>
      <c r="AT1030" s="63" t="s">
        <v>1453</v>
      </c>
      <c r="AU1030" s="220"/>
      <c r="AV1030" s="220"/>
      <c r="AW1030" s="220"/>
    </row>
    <row r="1031" spans="1:49" s="221" customFormat="1" ht="409.5" x14ac:dyDescent="0.25">
      <c r="A1031" s="63">
        <v>617</v>
      </c>
      <c r="B1031" s="63" t="str">
        <f t="shared" si="108"/>
        <v>3075-617</v>
      </c>
      <c r="C1031" s="76" t="s">
        <v>1141</v>
      </c>
      <c r="D1031" s="76" t="s">
        <v>1142</v>
      </c>
      <c r="E1031" s="76" t="s">
        <v>1143</v>
      </c>
      <c r="F1031" s="76" t="s">
        <v>1158</v>
      </c>
      <c r="G1031" s="88" t="s">
        <v>1159</v>
      </c>
      <c r="H1031" s="78" t="s">
        <v>1160</v>
      </c>
      <c r="I1031" s="76" t="s">
        <v>1147</v>
      </c>
      <c r="J1031" s="76" t="s">
        <v>1148</v>
      </c>
      <c r="K1031" s="76">
        <v>93141506</v>
      </c>
      <c r="L1031" s="63" t="s">
        <v>1149</v>
      </c>
      <c r="M1031" s="63" t="s">
        <v>58</v>
      </c>
      <c r="N1031" s="63" t="s">
        <v>59</v>
      </c>
      <c r="O1031" s="63" t="s">
        <v>1161</v>
      </c>
      <c r="P1031" s="76" t="s">
        <v>2728</v>
      </c>
      <c r="Q1031" s="79">
        <v>4532000</v>
      </c>
      <c r="R1031" s="63">
        <v>1</v>
      </c>
      <c r="S1031" s="80">
        <f t="shared" si="113"/>
        <v>27192000</v>
      </c>
      <c r="T1031" s="63"/>
      <c r="U1031" s="63" t="s">
        <v>1163</v>
      </c>
      <c r="V1031" s="81" t="s">
        <v>1164</v>
      </c>
      <c r="W1031" s="82">
        <v>6</v>
      </c>
      <c r="X1031" s="63" t="s">
        <v>2806</v>
      </c>
      <c r="Y1031" s="89">
        <v>43381</v>
      </c>
      <c r="Z1031" s="83">
        <v>27192000</v>
      </c>
      <c r="AA1031" s="84" t="s">
        <v>2742</v>
      </c>
      <c r="AB1031" s="85"/>
      <c r="AC1031" s="81"/>
      <c r="AD1031" s="86"/>
      <c r="AE1031" s="87">
        <f t="shared" si="105"/>
        <v>0</v>
      </c>
      <c r="AF1031" s="85"/>
      <c r="AG1031" s="81"/>
      <c r="AH1031" s="86"/>
      <c r="AI1031" s="63"/>
      <c r="AJ1031" s="63"/>
      <c r="AK1031" s="87">
        <f t="shared" si="112"/>
        <v>0</v>
      </c>
      <c r="AL1031" s="86">
        <v>0</v>
      </c>
      <c r="AM1031" s="86">
        <f t="shared" si="109"/>
        <v>0</v>
      </c>
      <c r="AN1031" s="63" t="s">
        <v>1155</v>
      </c>
      <c r="AO1031" s="86">
        <f t="shared" si="110"/>
        <v>27192000</v>
      </c>
      <c r="AP1031" s="63"/>
      <c r="AQ1031" s="81">
        <v>43378</v>
      </c>
      <c r="AR1031" s="63" t="s">
        <v>2109</v>
      </c>
      <c r="AS1031" s="81">
        <v>43381</v>
      </c>
      <c r="AT1031" s="63" t="s">
        <v>1453</v>
      </c>
      <c r="AU1031" s="220"/>
      <c r="AV1031" s="220"/>
      <c r="AW1031" s="220"/>
    </row>
    <row r="1032" spans="1:49" s="221" customFormat="1" ht="409.5" x14ac:dyDescent="0.25">
      <c r="A1032" s="63">
        <v>618</v>
      </c>
      <c r="B1032" s="63" t="str">
        <f t="shared" si="108"/>
        <v>3075-618</v>
      </c>
      <c r="C1032" s="76" t="s">
        <v>1141</v>
      </c>
      <c r="D1032" s="76" t="s">
        <v>1142</v>
      </c>
      <c r="E1032" s="76" t="s">
        <v>1143</v>
      </c>
      <c r="F1032" s="76" t="s">
        <v>1158</v>
      </c>
      <c r="G1032" s="88" t="s">
        <v>1159</v>
      </c>
      <c r="H1032" s="78" t="s">
        <v>1160</v>
      </c>
      <c r="I1032" s="76" t="s">
        <v>1147</v>
      </c>
      <c r="J1032" s="76" t="s">
        <v>1148</v>
      </c>
      <c r="K1032" s="76">
        <v>93141506</v>
      </c>
      <c r="L1032" s="63" t="s">
        <v>1149</v>
      </c>
      <c r="M1032" s="63" t="s">
        <v>58</v>
      </c>
      <c r="N1032" s="63" t="s">
        <v>59</v>
      </c>
      <c r="O1032" s="63" t="s">
        <v>1161</v>
      </c>
      <c r="P1032" s="76" t="s">
        <v>2728</v>
      </c>
      <c r="Q1032" s="79">
        <v>4532000</v>
      </c>
      <c r="R1032" s="63">
        <v>1</v>
      </c>
      <c r="S1032" s="80">
        <f t="shared" si="113"/>
        <v>27192000</v>
      </c>
      <c r="T1032" s="63"/>
      <c r="U1032" s="63" t="s">
        <v>1163</v>
      </c>
      <c r="V1032" s="81" t="s">
        <v>1164</v>
      </c>
      <c r="W1032" s="82">
        <v>6</v>
      </c>
      <c r="X1032" s="63" t="s">
        <v>2807</v>
      </c>
      <c r="Y1032" s="89">
        <v>43381</v>
      </c>
      <c r="Z1032" s="83">
        <v>27192000</v>
      </c>
      <c r="AA1032" s="84" t="s">
        <v>2742</v>
      </c>
      <c r="AB1032" s="85"/>
      <c r="AC1032" s="81"/>
      <c r="AD1032" s="86"/>
      <c r="AE1032" s="87">
        <f t="shared" ref="AE1032:AE1047" si="114">S1032-Z1032</f>
        <v>0</v>
      </c>
      <c r="AF1032" s="85"/>
      <c r="AG1032" s="81"/>
      <c r="AH1032" s="86"/>
      <c r="AI1032" s="63"/>
      <c r="AJ1032" s="63"/>
      <c r="AK1032" s="87">
        <f t="shared" si="112"/>
        <v>0</v>
      </c>
      <c r="AL1032" s="86">
        <v>0</v>
      </c>
      <c r="AM1032" s="86">
        <f t="shared" si="109"/>
        <v>0</v>
      </c>
      <c r="AN1032" s="63" t="s">
        <v>1155</v>
      </c>
      <c r="AO1032" s="86">
        <f t="shared" si="110"/>
        <v>27192000</v>
      </c>
      <c r="AP1032" s="63"/>
      <c r="AQ1032" s="81">
        <v>43378</v>
      </c>
      <c r="AR1032" s="63" t="s">
        <v>2109</v>
      </c>
      <c r="AS1032" s="81">
        <v>43381</v>
      </c>
      <c r="AT1032" s="63" t="s">
        <v>1453</v>
      </c>
      <c r="AU1032" s="220"/>
      <c r="AV1032" s="220"/>
      <c r="AW1032" s="220"/>
    </row>
    <row r="1033" spans="1:49" s="221" customFormat="1" ht="409.5" x14ac:dyDescent="0.25">
      <c r="A1033" s="63">
        <v>619</v>
      </c>
      <c r="B1033" s="63" t="str">
        <f t="shared" si="108"/>
        <v>3075-619</v>
      </c>
      <c r="C1033" s="76" t="s">
        <v>1141</v>
      </c>
      <c r="D1033" s="76" t="s">
        <v>1142</v>
      </c>
      <c r="E1033" s="76" t="s">
        <v>1143</v>
      </c>
      <c r="F1033" s="76" t="s">
        <v>1158</v>
      </c>
      <c r="G1033" s="88" t="s">
        <v>1159</v>
      </c>
      <c r="H1033" s="78" t="s">
        <v>1160</v>
      </c>
      <c r="I1033" s="76" t="s">
        <v>1147</v>
      </c>
      <c r="J1033" s="76" t="s">
        <v>1148</v>
      </c>
      <c r="K1033" s="76">
        <v>93141506</v>
      </c>
      <c r="L1033" s="63" t="s">
        <v>1149</v>
      </c>
      <c r="M1033" s="63" t="s">
        <v>58</v>
      </c>
      <c r="N1033" s="63" t="s">
        <v>59</v>
      </c>
      <c r="O1033" s="63" t="s">
        <v>1161</v>
      </c>
      <c r="P1033" s="76" t="s">
        <v>2728</v>
      </c>
      <c r="Q1033" s="79">
        <v>4532000</v>
      </c>
      <c r="R1033" s="63">
        <v>1</v>
      </c>
      <c r="S1033" s="80">
        <f t="shared" si="113"/>
        <v>27192000</v>
      </c>
      <c r="T1033" s="63"/>
      <c r="U1033" s="63" t="s">
        <v>1163</v>
      </c>
      <c r="V1033" s="81" t="s">
        <v>1164</v>
      </c>
      <c r="W1033" s="82">
        <v>6</v>
      </c>
      <c r="X1033" s="63" t="s">
        <v>2808</v>
      </c>
      <c r="Y1033" s="89">
        <v>43381</v>
      </c>
      <c r="Z1033" s="83">
        <v>27192000</v>
      </c>
      <c r="AA1033" s="84" t="s">
        <v>2742</v>
      </c>
      <c r="AB1033" s="85"/>
      <c r="AC1033" s="81"/>
      <c r="AD1033" s="86"/>
      <c r="AE1033" s="87">
        <f t="shared" si="114"/>
        <v>0</v>
      </c>
      <c r="AF1033" s="85"/>
      <c r="AG1033" s="81"/>
      <c r="AH1033" s="86"/>
      <c r="AI1033" s="63"/>
      <c r="AJ1033" s="63"/>
      <c r="AK1033" s="87">
        <f t="shared" si="112"/>
        <v>0</v>
      </c>
      <c r="AL1033" s="86">
        <v>0</v>
      </c>
      <c r="AM1033" s="86">
        <f t="shared" si="109"/>
        <v>0</v>
      </c>
      <c r="AN1033" s="63" t="s">
        <v>1155</v>
      </c>
      <c r="AO1033" s="86">
        <f t="shared" si="110"/>
        <v>27192000</v>
      </c>
      <c r="AP1033" s="63"/>
      <c r="AQ1033" s="81">
        <v>43378</v>
      </c>
      <c r="AR1033" s="63" t="s">
        <v>2109</v>
      </c>
      <c r="AS1033" s="81">
        <v>43381</v>
      </c>
      <c r="AT1033" s="63" t="s">
        <v>1453</v>
      </c>
      <c r="AU1033" s="220"/>
      <c r="AV1033" s="220"/>
      <c r="AW1033" s="220"/>
    </row>
    <row r="1034" spans="1:49" s="221" customFormat="1" ht="313.5" x14ac:dyDescent="0.25">
      <c r="A1034" s="63">
        <v>620</v>
      </c>
      <c r="B1034" s="63" t="str">
        <f t="shared" si="108"/>
        <v>3075-620</v>
      </c>
      <c r="C1034" s="76" t="s">
        <v>1141</v>
      </c>
      <c r="D1034" s="76" t="s">
        <v>1142</v>
      </c>
      <c r="E1034" s="76" t="s">
        <v>1143</v>
      </c>
      <c r="F1034" s="76" t="s">
        <v>1158</v>
      </c>
      <c r="G1034" s="88" t="s">
        <v>1159</v>
      </c>
      <c r="H1034" s="78" t="s">
        <v>1160</v>
      </c>
      <c r="I1034" s="76" t="s">
        <v>1147</v>
      </c>
      <c r="J1034" s="76" t="s">
        <v>1148</v>
      </c>
      <c r="K1034" s="76">
        <v>80111600</v>
      </c>
      <c r="L1034" s="63" t="s">
        <v>1149</v>
      </c>
      <c r="M1034" s="63" t="s">
        <v>58</v>
      </c>
      <c r="N1034" s="63" t="s">
        <v>59</v>
      </c>
      <c r="O1034" s="63" t="s">
        <v>1161</v>
      </c>
      <c r="P1034" s="76" t="s">
        <v>2809</v>
      </c>
      <c r="Q1034" s="79">
        <v>6960000</v>
      </c>
      <c r="R1034" s="63">
        <v>1</v>
      </c>
      <c r="S1034" s="80">
        <f t="shared" si="113"/>
        <v>20880000</v>
      </c>
      <c r="T1034" s="63"/>
      <c r="U1034" s="63" t="s">
        <v>1163</v>
      </c>
      <c r="V1034" s="81" t="s">
        <v>1164</v>
      </c>
      <c r="W1034" s="82">
        <v>3</v>
      </c>
      <c r="X1034" s="63" t="s">
        <v>2810</v>
      </c>
      <c r="Y1034" s="89">
        <v>43381</v>
      </c>
      <c r="Z1034" s="83">
        <v>20880000</v>
      </c>
      <c r="AA1034" s="84" t="s">
        <v>2742</v>
      </c>
      <c r="AB1034" s="85"/>
      <c r="AC1034" s="81"/>
      <c r="AD1034" s="86"/>
      <c r="AE1034" s="87">
        <f t="shared" si="114"/>
        <v>0</v>
      </c>
      <c r="AF1034" s="85"/>
      <c r="AG1034" s="81"/>
      <c r="AH1034" s="86"/>
      <c r="AI1034" s="63"/>
      <c r="AJ1034" s="63"/>
      <c r="AK1034" s="87">
        <f t="shared" si="112"/>
        <v>0</v>
      </c>
      <c r="AL1034" s="86">
        <v>0</v>
      </c>
      <c r="AM1034" s="86">
        <f t="shared" si="109"/>
        <v>0</v>
      </c>
      <c r="AN1034" s="63" t="s">
        <v>1155</v>
      </c>
      <c r="AO1034" s="86">
        <f t="shared" si="110"/>
        <v>20880000</v>
      </c>
      <c r="AP1034" s="63"/>
      <c r="AQ1034" s="81">
        <v>43378</v>
      </c>
      <c r="AR1034" s="63" t="s">
        <v>2109</v>
      </c>
      <c r="AS1034" s="81">
        <v>43381</v>
      </c>
      <c r="AT1034" s="63" t="s">
        <v>1453</v>
      </c>
      <c r="AU1034" s="220"/>
      <c r="AV1034" s="220"/>
      <c r="AW1034" s="220"/>
    </row>
    <row r="1035" spans="1:49" s="221" customFormat="1" ht="299.25" x14ac:dyDescent="0.25">
      <c r="A1035" s="63">
        <v>621</v>
      </c>
      <c r="B1035" s="63" t="str">
        <f t="shared" si="108"/>
        <v>3075-621</v>
      </c>
      <c r="C1035" s="76" t="s">
        <v>1141</v>
      </c>
      <c r="D1035" s="76" t="s">
        <v>1142</v>
      </c>
      <c r="E1035" s="76" t="s">
        <v>1165</v>
      </c>
      <c r="F1035" s="76" t="s">
        <v>1166</v>
      </c>
      <c r="G1035" s="77" t="s">
        <v>1167</v>
      </c>
      <c r="H1035" s="78" t="s">
        <v>1168</v>
      </c>
      <c r="I1035" s="76" t="s">
        <v>1147</v>
      </c>
      <c r="J1035" s="76" t="s">
        <v>1148</v>
      </c>
      <c r="K1035" s="76" t="s">
        <v>439</v>
      </c>
      <c r="L1035" s="63" t="s">
        <v>1149</v>
      </c>
      <c r="M1035" s="63" t="s">
        <v>58</v>
      </c>
      <c r="N1035" s="63" t="s">
        <v>59</v>
      </c>
      <c r="O1035" s="76" t="s">
        <v>1169</v>
      </c>
      <c r="P1035" s="63" t="s">
        <v>2811</v>
      </c>
      <c r="Q1035" s="79">
        <v>21951600</v>
      </c>
      <c r="R1035" s="63">
        <v>1</v>
      </c>
      <c r="S1035" s="80">
        <f>Q1035*R1035</f>
        <v>21951600</v>
      </c>
      <c r="T1035" s="63"/>
      <c r="U1035" s="63" t="s">
        <v>1171</v>
      </c>
      <c r="V1035" s="81" t="s">
        <v>1164</v>
      </c>
      <c r="W1035" s="82" t="s">
        <v>439</v>
      </c>
      <c r="X1035" s="90" t="s">
        <v>2812</v>
      </c>
      <c r="Y1035" s="89">
        <v>43381</v>
      </c>
      <c r="Z1035" s="83">
        <v>21951000</v>
      </c>
      <c r="AA1035" s="84" t="s">
        <v>2813</v>
      </c>
      <c r="AB1035" s="85"/>
      <c r="AC1035" s="81"/>
      <c r="AD1035" s="86"/>
      <c r="AE1035" s="87">
        <f t="shared" si="114"/>
        <v>600</v>
      </c>
      <c r="AF1035" s="85"/>
      <c r="AG1035" s="81"/>
      <c r="AH1035" s="86"/>
      <c r="AI1035" s="63"/>
      <c r="AJ1035" s="63"/>
      <c r="AK1035" s="87">
        <f t="shared" si="112"/>
        <v>0</v>
      </c>
      <c r="AL1035" s="86"/>
      <c r="AM1035" s="86">
        <f t="shared" si="109"/>
        <v>0</v>
      </c>
      <c r="AN1035" s="63" t="s">
        <v>1155</v>
      </c>
      <c r="AO1035" s="86">
        <f t="shared" si="110"/>
        <v>21951600</v>
      </c>
      <c r="AP1035" s="63"/>
      <c r="AQ1035" s="81">
        <v>43381</v>
      </c>
      <c r="AR1035" s="63" t="s">
        <v>2109</v>
      </c>
      <c r="AS1035" s="81">
        <v>43381</v>
      </c>
      <c r="AT1035" s="63" t="s">
        <v>1453</v>
      </c>
      <c r="AU1035" s="220"/>
      <c r="AV1035" s="220"/>
      <c r="AW1035" s="220"/>
    </row>
    <row r="1036" spans="1:49" s="221" customFormat="1" ht="299.25" x14ac:dyDescent="0.25">
      <c r="A1036" s="63">
        <v>622</v>
      </c>
      <c r="B1036" s="63" t="str">
        <f t="shared" si="108"/>
        <v>3075-622</v>
      </c>
      <c r="C1036" s="76" t="s">
        <v>1141</v>
      </c>
      <c r="D1036" s="76" t="s">
        <v>1142</v>
      </c>
      <c r="E1036" s="76" t="s">
        <v>1174</v>
      </c>
      <c r="F1036" s="76" t="s">
        <v>1175</v>
      </c>
      <c r="G1036" s="77" t="s">
        <v>1176</v>
      </c>
      <c r="H1036" s="78" t="s">
        <v>1177</v>
      </c>
      <c r="I1036" s="76" t="s">
        <v>1147</v>
      </c>
      <c r="J1036" s="76" t="s">
        <v>1178</v>
      </c>
      <c r="K1036" s="76" t="s">
        <v>439</v>
      </c>
      <c r="L1036" s="63" t="s">
        <v>1149</v>
      </c>
      <c r="M1036" s="63" t="s">
        <v>58</v>
      </c>
      <c r="N1036" s="63" t="s">
        <v>59</v>
      </c>
      <c r="O1036" s="76" t="s">
        <v>1169</v>
      </c>
      <c r="P1036" s="76" t="s">
        <v>2814</v>
      </c>
      <c r="Q1036" s="79">
        <v>69536400</v>
      </c>
      <c r="R1036" s="63">
        <v>1</v>
      </c>
      <c r="S1036" s="80">
        <f>Q1036*R1036</f>
        <v>69536400</v>
      </c>
      <c r="T1036" s="63"/>
      <c r="U1036" s="63" t="s">
        <v>1171</v>
      </c>
      <c r="V1036" s="81" t="s">
        <v>1164</v>
      </c>
      <c r="W1036" s="82" t="s">
        <v>439</v>
      </c>
      <c r="X1036" s="90" t="s">
        <v>2815</v>
      </c>
      <c r="Y1036" s="89">
        <v>43381</v>
      </c>
      <c r="Z1036" s="83">
        <v>69536400</v>
      </c>
      <c r="AA1036" s="84" t="s">
        <v>2649</v>
      </c>
      <c r="AB1036" s="85"/>
      <c r="AC1036" s="81"/>
      <c r="AD1036" s="86"/>
      <c r="AE1036" s="87">
        <f t="shared" si="114"/>
        <v>0</v>
      </c>
      <c r="AF1036" s="85"/>
      <c r="AG1036" s="81"/>
      <c r="AH1036" s="86"/>
      <c r="AI1036" s="63"/>
      <c r="AJ1036" s="63"/>
      <c r="AK1036" s="87">
        <f t="shared" si="112"/>
        <v>0</v>
      </c>
      <c r="AL1036" s="86"/>
      <c r="AM1036" s="86">
        <f t="shared" si="109"/>
        <v>0</v>
      </c>
      <c r="AN1036" s="63" t="s">
        <v>1155</v>
      </c>
      <c r="AO1036" s="86">
        <f t="shared" si="110"/>
        <v>69536400</v>
      </c>
      <c r="AP1036" s="63"/>
      <c r="AQ1036" s="81">
        <v>43381</v>
      </c>
      <c r="AR1036" s="63" t="s">
        <v>2109</v>
      </c>
      <c r="AS1036" s="81">
        <v>43381</v>
      </c>
      <c r="AT1036" s="63" t="s">
        <v>1453</v>
      </c>
      <c r="AU1036" s="220"/>
      <c r="AV1036" s="220"/>
      <c r="AW1036" s="220"/>
    </row>
    <row r="1037" spans="1:49" s="221" customFormat="1" ht="242.25" x14ac:dyDescent="0.25">
      <c r="A1037" s="63">
        <v>623</v>
      </c>
      <c r="B1037" s="63" t="str">
        <f t="shared" si="108"/>
        <v>3075-623</v>
      </c>
      <c r="C1037" s="76" t="s">
        <v>1141</v>
      </c>
      <c r="D1037" s="76" t="s">
        <v>1142</v>
      </c>
      <c r="E1037" s="76" t="s">
        <v>1143</v>
      </c>
      <c r="F1037" s="76" t="s">
        <v>1158</v>
      </c>
      <c r="G1037" s="88" t="s">
        <v>1159</v>
      </c>
      <c r="H1037" s="78" t="s">
        <v>1160</v>
      </c>
      <c r="I1037" s="76" t="s">
        <v>1147</v>
      </c>
      <c r="J1037" s="76" t="s">
        <v>1148</v>
      </c>
      <c r="K1037" s="76">
        <v>80111600</v>
      </c>
      <c r="L1037" s="63" t="s">
        <v>1149</v>
      </c>
      <c r="M1037" s="63" t="s">
        <v>58</v>
      </c>
      <c r="N1037" s="63" t="s">
        <v>59</v>
      </c>
      <c r="O1037" s="63" t="s">
        <v>1161</v>
      </c>
      <c r="P1037" s="76" t="s">
        <v>2816</v>
      </c>
      <c r="Q1037" s="79">
        <v>3326900</v>
      </c>
      <c r="R1037" s="63">
        <v>1</v>
      </c>
      <c r="S1037" s="80">
        <v>7762767</v>
      </c>
      <c r="T1037" s="63"/>
      <c r="U1037" s="63" t="s">
        <v>1163</v>
      </c>
      <c r="V1037" s="81" t="s">
        <v>1164</v>
      </c>
      <c r="W1037" s="82" t="s">
        <v>2817</v>
      </c>
      <c r="X1037" s="63" t="s">
        <v>2818</v>
      </c>
      <c r="Y1037" s="89">
        <v>43381</v>
      </c>
      <c r="Z1037" s="83">
        <v>7762767</v>
      </c>
      <c r="AA1037" s="84" t="s">
        <v>2742</v>
      </c>
      <c r="AB1037" s="85"/>
      <c r="AC1037" s="81"/>
      <c r="AD1037" s="86"/>
      <c r="AE1037" s="87">
        <f t="shared" si="114"/>
        <v>0</v>
      </c>
      <c r="AF1037" s="85"/>
      <c r="AG1037" s="81"/>
      <c r="AH1037" s="86"/>
      <c r="AI1037" s="63"/>
      <c r="AJ1037" s="63"/>
      <c r="AK1037" s="87">
        <f t="shared" si="112"/>
        <v>0</v>
      </c>
      <c r="AL1037" s="86">
        <v>0</v>
      </c>
      <c r="AM1037" s="86">
        <f t="shared" si="109"/>
        <v>0</v>
      </c>
      <c r="AN1037" s="63" t="s">
        <v>1155</v>
      </c>
      <c r="AO1037" s="86">
        <f t="shared" si="110"/>
        <v>7762767</v>
      </c>
      <c r="AP1037" s="63"/>
      <c r="AQ1037" s="63"/>
      <c r="AR1037" s="63"/>
      <c r="AS1037" s="63"/>
      <c r="AT1037" s="63"/>
      <c r="AU1037" s="220"/>
      <c r="AV1037" s="220"/>
      <c r="AW1037" s="220"/>
    </row>
    <row r="1038" spans="1:49" s="221" customFormat="1" ht="242.25" x14ac:dyDescent="0.25">
      <c r="A1038" s="63">
        <v>624</v>
      </c>
      <c r="B1038" s="63" t="str">
        <f t="shared" si="108"/>
        <v>3075-624</v>
      </c>
      <c r="C1038" s="76" t="s">
        <v>1141</v>
      </c>
      <c r="D1038" s="76" t="s">
        <v>1142</v>
      </c>
      <c r="E1038" s="76" t="s">
        <v>1143</v>
      </c>
      <c r="F1038" s="76" t="s">
        <v>1158</v>
      </c>
      <c r="G1038" s="88" t="s">
        <v>1159</v>
      </c>
      <c r="H1038" s="78" t="s">
        <v>1160</v>
      </c>
      <c r="I1038" s="76" t="s">
        <v>1147</v>
      </c>
      <c r="J1038" s="76" t="s">
        <v>1148</v>
      </c>
      <c r="K1038" s="76">
        <v>80111600</v>
      </c>
      <c r="L1038" s="63" t="s">
        <v>1149</v>
      </c>
      <c r="M1038" s="63" t="s">
        <v>58</v>
      </c>
      <c r="N1038" s="63" t="s">
        <v>59</v>
      </c>
      <c r="O1038" s="63" t="s">
        <v>1161</v>
      </c>
      <c r="P1038" s="76" t="s">
        <v>2819</v>
      </c>
      <c r="Q1038" s="79">
        <v>1751000</v>
      </c>
      <c r="R1038" s="63">
        <v>1</v>
      </c>
      <c r="S1038" s="80">
        <v>4085667</v>
      </c>
      <c r="T1038" s="63"/>
      <c r="U1038" s="63" t="s">
        <v>1163</v>
      </c>
      <c r="V1038" s="81" t="s">
        <v>1164</v>
      </c>
      <c r="W1038" s="82" t="s">
        <v>2817</v>
      </c>
      <c r="X1038" s="90" t="s">
        <v>2820</v>
      </c>
      <c r="Y1038" s="89">
        <v>43381</v>
      </c>
      <c r="Z1038" s="83">
        <v>4085667</v>
      </c>
      <c r="AA1038" s="84" t="s">
        <v>2742</v>
      </c>
      <c r="AB1038" s="85"/>
      <c r="AC1038" s="81"/>
      <c r="AD1038" s="86"/>
      <c r="AE1038" s="87">
        <f t="shared" si="114"/>
        <v>0</v>
      </c>
      <c r="AF1038" s="85"/>
      <c r="AG1038" s="81"/>
      <c r="AH1038" s="86"/>
      <c r="AI1038" s="63"/>
      <c r="AJ1038" s="63"/>
      <c r="AK1038" s="87">
        <f t="shared" si="112"/>
        <v>0</v>
      </c>
      <c r="AL1038" s="86">
        <v>0</v>
      </c>
      <c r="AM1038" s="86">
        <f t="shared" si="109"/>
        <v>0</v>
      </c>
      <c r="AN1038" s="63" t="s">
        <v>1155</v>
      </c>
      <c r="AO1038" s="86">
        <f t="shared" si="110"/>
        <v>4085667</v>
      </c>
      <c r="AP1038" s="63"/>
      <c r="AQ1038" s="63"/>
      <c r="AR1038" s="63"/>
      <c r="AS1038" s="63"/>
      <c r="AT1038" s="63"/>
      <c r="AU1038" s="220"/>
      <c r="AV1038" s="220"/>
      <c r="AW1038" s="220"/>
    </row>
    <row r="1039" spans="1:49" s="221" customFormat="1" ht="242.25" x14ac:dyDescent="0.25">
      <c r="A1039" s="63">
        <v>625</v>
      </c>
      <c r="B1039" s="63" t="str">
        <f t="shared" si="108"/>
        <v>3075-625</v>
      </c>
      <c r="C1039" s="76" t="s">
        <v>1141</v>
      </c>
      <c r="D1039" s="76" t="s">
        <v>1142</v>
      </c>
      <c r="E1039" s="76" t="s">
        <v>1143</v>
      </c>
      <c r="F1039" s="76" t="s">
        <v>1158</v>
      </c>
      <c r="G1039" s="88" t="s">
        <v>1159</v>
      </c>
      <c r="H1039" s="78" t="s">
        <v>1160</v>
      </c>
      <c r="I1039" s="76" t="s">
        <v>1147</v>
      </c>
      <c r="J1039" s="76" t="s">
        <v>1148</v>
      </c>
      <c r="K1039" s="76">
        <v>80111600</v>
      </c>
      <c r="L1039" s="63" t="s">
        <v>1149</v>
      </c>
      <c r="M1039" s="63" t="s">
        <v>58</v>
      </c>
      <c r="N1039" s="63" t="s">
        <v>59</v>
      </c>
      <c r="O1039" s="63" t="s">
        <v>1161</v>
      </c>
      <c r="P1039" s="76" t="s">
        <v>2821</v>
      </c>
      <c r="Q1039" s="79">
        <v>3326900</v>
      </c>
      <c r="R1039" s="63">
        <v>1</v>
      </c>
      <c r="S1039" s="80">
        <v>7762767</v>
      </c>
      <c r="T1039" s="63"/>
      <c r="U1039" s="63" t="s">
        <v>1163</v>
      </c>
      <c r="V1039" s="81" t="s">
        <v>1164</v>
      </c>
      <c r="W1039" s="82" t="s">
        <v>2817</v>
      </c>
      <c r="X1039" s="90" t="s">
        <v>2822</v>
      </c>
      <c r="Y1039" s="89">
        <v>43381</v>
      </c>
      <c r="Z1039" s="83">
        <v>7762767</v>
      </c>
      <c r="AA1039" s="84" t="s">
        <v>2742</v>
      </c>
      <c r="AB1039" s="85"/>
      <c r="AC1039" s="81"/>
      <c r="AD1039" s="86"/>
      <c r="AE1039" s="87">
        <f t="shared" si="114"/>
        <v>0</v>
      </c>
      <c r="AF1039" s="85"/>
      <c r="AG1039" s="81"/>
      <c r="AH1039" s="86"/>
      <c r="AI1039" s="63"/>
      <c r="AJ1039" s="63"/>
      <c r="AK1039" s="87">
        <f t="shared" si="112"/>
        <v>0</v>
      </c>
      <c r="AL1039" s="86">
        <v>0</v>
      </c>
      <c r="AM1039" s="86">
        <f t="shared" si="109"/>
        <v>0</v>
      </c>
      <c r="AN1039" s="63" t="s">
        <v>1155</v>
      </c>
      <c r="AO1039" s="86">
        <f t="shared" si="110"/>
        <v>7762767</v>
      </c>
      <c r="AP1039" s="63"/>
      <c r="AQ1039" s="63"/>
      <c r="AR1039" s="63"/>
      <c r="AS1039" s="63"/>
      <c r="AT1039" s="63"/>
      <c r="AU1039" s="220"/>
      <c r="AV1039" s="220"/>
      <c r="AW1039" s="220"/>
    </row>
    <row r="1040" spans="1:49" s="221" customFormat="1" ht="242.25" x14ac:dyDescent="0.25">
      <c r="A1040" s="63">
        <v>626</v>
      </c>
      <c r="B1040" s="63" t="str">
        <f t="shared" si="108"/>
        <v>3075-626</v>
      </c>
      <c r="C1040" s="76" t="s">
        <v>1141</v>
      </c>
      <c r="D1040" s="76" t="s">
        <v>1142</v>
      </c>
      <c r="E1040" s="76" t="s">
        <v>1143</v>
      </c>
      <c r="F1040" s="76" t="s">
        <v>1158</v>
      </c>
      <c r="G1040" s="88" t="s">
        <v>1159</v>
      </c>
      <c r="H1040" s="78" t="s">
        <v>1160</v>
      </c>
      <c r="I1040" s="76" t="s">
        <v>1147</v>
      </c>
      <c r="J1040" s="76" t="s">
        <v>1148</v>
      </c>
      <c r="K1040" s="76">
        <v>80111600</v>
      </c>
      <c r="L1040" s="63" t="s">
        <v>1149</v>
      </c>
      <c r="M1040" s="63" t="s">
        <v>58</v>
      </c>
      <c r="N1040" s="63" t="s">
        <v>59</v>
      </c>
      <c r="O1040" s="63" t="s">
        <v>1161</v>
      </c>
      <c r="P1040" s="76" t="s">
        <v>2819</v>
      </c>
      <c r="Q1040" s="79">
        <v>1751000</v>
      </c>
      <c r="R1040" s="63">
        <v>1</v>
      </c>
      <c r="S1040" s="80">
        <v>4085667</v>
      </c>
      <c r="T1040" s="63"/>
      <c r="U1040" s="63" t="s">
        <v>1163</v>
      </c>
      <c r="V1040" s="81" t="s">
        <v>1164</v>
      </c>
      <c r="W1040" s="82" t="s">
        <v>2817</v>
      </c>
      <c r="X1040" s="63" t="s">
        <v>2823</v>
      </c>
      <c r="Y1040" s="89">
        <v>43381</v>
      </c>
      <c r="Z1040" s="83">
        <v>4085667</v>
      </c>
      <c r="AA1040" s="84" t="s">
        <v>2742</v>
      </c>
      <c r="AB1040" s="85"/>
      <c r="AC1040" s="81"/>
      <c r="AD1040" s="86"/>
      <c r="AE1040" s="87">
        <f t="shared" si="114"/>
        <v>0</v>
      </c>
      <c r="AF1040" s="85"/>
      <c r="AG1040" s="81"/>
      <c r="AH1040" s="86"/>
      <c r="AI1040" s="63"/>
      <c r="AJ1040" s="63"/>
      <c r="AK1040" s="87">
        <f t="shared" si="112"/>
        <v>0</v>
      </c>
      <c r="AL1040" s="86">
        <v>0</v>
      </c>
      <c r="AM1040" s="86">
        <f t="shared" si="109"/>
        <v>0</v>
      </c>
      <c r="AN1040" s="63" t="s">
        <v>1155</v>
      </c>
      <c r="AO1040" s="86">
        <f t="shared" si="110"/>
        <v>4085667</v>
      </c>
      <c r="AP1040" s="63"/>
      <c r="AQ1040" s="63"/>
      <c r="AR1040" s="63"/>
      <c r="AS1040" s="63"/>
      <c r="AT1040" s="63"/>
      <c r="AU1040" s="220"/>
      <c r="AV1040" s="220"/>
      <c r="AW1040" s="220"/>
    </row>
    <row r="1041" spans="1:49" s="221" customFormat="1" ht="242.25" x14ac:dyDescent="0.25">
      <c r="A1041" s="63">
        <v>627</v>
      </c>
      <c r="B1041" s="63" t="str">
        <f t="shared" si="108"/>
        <v>3075-627</v>
      </c>
      <c r="C1041" s="76" t="s">
        <v>1141</v>
      </c>
      <c r="D1041" s="76" t="s">
        <v>1142</v>
      </c>
      <c r="E1041" s="76" t="s">
        <v>1143</v>
      </c>
      <c r="F1041" s="76" t="s">
        <v>1158</v>
      </c>
      <c r="G1041" s="88" t="s">
        <v>1159</v>
      </c>
      <c r="H1041" s="78" t="s">
        <v>1160</v>
      </c>
      <c r="I1041" s="76" t="s">
        <v>1147</v>
      </c>
      <c r="J1041" s="76" t="s">
        <v>1148</v>
      </c>
      <c r="K1041" s="76">
        <v>80111600</v>
      </c>
      <c r="L1041" s="63" t="s">
        <v>1149</v>
      </c>
      <c r="M1041" s="63" t="s">
        <v>58</v>
      </c>
      <c r="N1041" s="63" t="s">
        <v>59</v>
      </c>
      <c r="O1041" s="63" t="s">
        <v>1161</v>
      </c>
      <c r="P1041" s="76" t="s">
        <v>2819</v>
      </c>
      <c r="Q1041" s="79">
        <v>1751000</v>
      </c>
      <c r="R1041" s="63">
        <v>1</v>
      </c>
      <c r="S1041" s="80">
        <v>4085667</v>
      </c>
      <c r="T1041" s="63"/>
      <c r="U1041" s="63" t="s">
        <v>1163</v>
      </c>
      <c r="V1041" s="81" t="s">
        <v>1164</v>
      </c>
      <c r="W1041" s="82" t="s">
        <v>2817</v>
      </c>
      <c r="X1041" s="90" t="s">
        <v>2824</v>
      </c>
      <c r="Y1041" s="89">
        <v>43381</v>
      </c>
      <c r="Z1041" s="83">
        <v>4085667</v>
      </c>
      <c r="AA1041" s="84" t="s">
        <v>2742</v>
      </c>
      <c r="AB1041" s="85"/>
      <c r="AC1041" s="81"/>
      <c r="AD1041" s="86"/>
      <c r="AE1041" s="87">
        <f t="shared" si="114"/>
        <v>0</v>
      </c>
      <c r="AF1041" s="85"/>
      <c r="AG1041" s="81"/>
      <c r="AH1041" s="86"/>
      <c r="AI1041" s="63"/>
      <c r="AJ1041" s="63"/>
      <c r="AK1041" s="87">
        <f t="shared" si="112"/>
        <v>0</v>
      </c>
      <c r="AL1041" s="86">
        <v>0</v>
      </c>
      <c r="AM1041" s="86">
        <f t="shared" si="109"/>
        <v>0</v>
      </c>
      <c r="AN1041" s="63" t="s">
        <v>1155</v>
      </c>
      <c r="AO1041" s="86">
        <f t="shared" si="110"/>
        <v>4085667</v>
      </c>
      <c r="AP1041" s="63"/>
      <c r="AQ1041" s="63"/>
      <c r="AR1041" s="63"/>
      <c r="AS1041" s="63"/>
      <c r="AT1041" s="63"/>
      <c r="AU1041" s="220"/>
      <c r="AV1041" s="220"/>
      <c r="AW1041" s="220"/>
    </row>
    <row r="1042" spans="1:49" s="221" customFormat="1" ht="242.25" x14ac:dyDescent="0.25">
      <c r="A1042" s="63">
        <v>628</v>
      </c>
      <c r="B1042" s="63" t="str">
        <f t="shared" si="108"/>
        <v>3075-628</v>
      </c>
      <c r="C1042" s="76" t="s">
        <v>1141</v>
      </c>
      <c r="D1042" s="76" t="s">
        <v>1142</v>
      </c>
      <c r="E1042" s="76" t="s">
        <v>1143</v>
      </c>
      <c r="F1042" s="76" t="s">
        <v>1158</v>
      </c>
      <c r="G1042" s="88" t="s">
        <v>1159</v>
      </c>
      <c r="H1042" s="78" t="s">
        <v>1160</v>
      </c>
      <c r="I1042" s="76" t="s">
        <v>1147</v>
      </c>
      <c r="J1042" s="76" t="s">
        <v>1148</v>
      </c>
      <c r="K1042" s="76">
        <v>80111600</v>
      </c>
      <c r="L1042" s="63" t="s">
        <v>1149</v>
      </c>
      <c r="M1042" s="63" t="s">
        <v>58</v>
      </c>
      <c r="N1042" s="63" t="s">
        <v>59</v>
      </c>
      <c r="O1042" s="63" t="s">
        <v>1161</v>
      </c>
      <c r="P1042" s="76" t="s">
        <v>2819</v>
      </c>
      <c r="Q1042" s="79">
        <v>1751000</v>
      </c>
      <c r="R1042" s="63">
        <v>1</v>
      </c>
      <c r="S1042" s="80">
        <v>4085667</v>
      </c>
      <c r="T1042" s="63"/>
      <c r="U1042" s="63" t="s">
        <v>1163</v>
      </c>
      <c r="V1042" s="81" t="s">
        <v>1164</v>
      </c>
      <c r="W1042" s="82" t="s">
        <v>2817</v>
      </c>
      <c r="X1042" s="90" t="s">
        <v>2825</v>
      </c>
      <c r="Y1042" s="89">
        <v>43381</v>
      </c>
      <c r="Z1042" s="83">
        <v>4085667</v>
      </c>
      <c r="AA1042" s="84" t="s">
        <v>2742</v>
      </c>
      <c r="AB1042" s="85"/>
      <c r="AC1042" s="81"/>
      <c r="AD1042" s="86"/>
      <c r="AE1042" s="87">
        <f t="shared" si="114"/>
        <v>0</v>
      </c>
      <c r="AF1042" s="85"/>
      <c r="AG1042" s="81"/>
      <c r="AH1042" s="86"/>
      <c r="AI1042" s="63"/>
      <c r="AJ1042" s="63"/>
      <c r="AK1042" s="87">
        <f t="shared" si="112"/>
        <v>0</v>
      </c>
      <c r="AL1042" s="86">
        <v>0</v>
      </c>
      <c r="AM1042" s="86">
        <f t="shared" si="109"/>
        <v>0</v>
      </c>
      <c r="AN1042" s="63" t="s">
        <v>1155</v>
      </c>
      <c r="AO1042" s="86">
        <f t="shared" si="110"/>
        <v>4085667</v>
      </c>
      <c r="AP1042" s="63"/>
      <c r="AQ1042" s="63"/>
      <c r="AR1042" s="63"/>
      <c r="AS1042" s="63"/>
      <c r="AT1042" s="63"/>
      <c r="AU1042" s="220"/>
      <c r="AV1042" s="220"/>
      <c r="AW1042" s="220"/>
    </row>
    <row r="1043" spans="1:49" s="221" customFormat="1" ht="242.25" x14ac:dyDescent="0.25">
      <c r="A1043" s="63">
        <v>629</v>
      </c>
      <c r="B1043" s="63" t="str">
        <f t="shared" si="108"/>
        <v>3075-629</v>
      </c>
      <c r="C1043" s="76" t="s">
        <v>1141</v>
      </c>
      <c r="D1043" s="76" t="s">
        <v>1142</v>
      </c>
      <c r="E1043" s="76" t="s">
        <v>1143</v>
      </c>
      <c r="F1043" s="76" t="s">
        <v>1158</v>
      </c>
      <c r="G1043" s="88" t="s">
        <v>1159</v>
      </c>
      <c r="H1043" s="78" t="s">
        <v>1160</v>
      </c>
      <c r="I1043" s="76" t="s">
        <v>1147</v>
      </c>
      <c r="J1043" s="76" t="s">
        <v>1148</v>
      </c>
      <c r="K1043" s="76">
        <v>80111600</v>
      </c>
      <c r="L1043" s="63" t="s">
        <v>1149</v>
      </c>
      <c r="M1043" s="63" t="s">
        <v>58</v>
      </c>
      <c r="N1043" s="63" t="s">
        <v>59</v>
      </c>
      <c r="O1043" s="63" t="s">
        <v>1161</v>
      </c>
      <c r="P1043" s="76" t="s">
        <v>2819</v>
      </c>
      <c r="Q1043" s="79">
        <v>1751000</v>
      </c>
      <c r="R1043" s="63">
        <v>1</v>
      </c>
      <c r="S1043" s="80">
        <v>4085667</v>
      </c>
      <c r="T1043" s="63"/>
      <c r="U1043" s="63" t="s">
        <v>1163</v>
      </c>
      <c r="V1043" s="81" t="s">
        <v>1164</v>
      </c>
      <c r="W1043" s="82" t="s">
        <v>2817</v>
      </c>
      <c r="X1043" s="63" t="s">
        <v>2826</v>
      </c>
      <c r="Y1043" s="89">
        <v>43381</v>
      </c>
      <c r="Z1043" s="83">
        <v>4085667</v>
      </c>
      <c r="AA1043" s="84" t="s">
        <v>2742</v>
      </c>
      <c r="AB1043" s="85"/>
      <c r="AC1043" s="81"/>
      <c r="AD1043" s="86"/>
      <c r="AE1043" s="87">
        <f t="shared" si="114"/>
        <v>0</v>
      </c>
      <c r="AF1043" s="85"/>
      <c r="AG1043" s="81"/>
      <c r="AH1043" s="86"/>
      <c r="AI1043" s="63"/>
      <c r="AJ1043" s="63"/>
      <c r="AK1043" s="87">
        <f t="shared" si="112"/>
        <v>0</v>
      </c>
      <c r="AL1043" s="86">
        <v>0</v>
      </c>
      <c r="AM1043" s="86">
        <f t="shared" si="109"/>
        <v>0</v>
      </c>
      <c r="AN1043" s="63" t="s">
        <v>1155</v>
      </c>
      <c r="AO1043" s="86">
        <f t="shared" si="110"/>
        <v>4085667</v>
      </c>
      <c r="AP1043" s="63"/>
      <c r="AQ1043" s="63"/>
      <c r="AR1043" s="63"/>
      <c r="AS1043" s="63"/>
      <c r="AT1043" s="63"/>
      <c r="AU1043" s="220"/>
      <c r="AV1043" s="220"/>
      <c r="AW1043" s="220"/>
    </row>
    <row r="1044" spans="1:49" s="221" customFormat="1" ht="213.75" x14ac:dyDescent="0.25">
      <c r="A1044" s="63">
        <v>630</v>
      </c>
      <c r="B1044" s="63" t="str">
        <f t="shared" si="108"/>
        <v>3075-630</v>
      </c>
      <c r="C1044" s="76" t="s">
        <v>1141</v>
      </c>
      <c r="D1044" s="76" t="s">
        <v>1142</v>
      </c>
      <c r="E1044" s="76" t="s">
        <v>1143</v>
      </c>
      <c r="F1044" s="76" t="s">
        <v>1158</v>
      </c>
      <c r="G1044" s="88" t="s">
        <v>1159</v>
      </c>
      <c r="H1044" s="78" t="s">
        <v>1160</v>
      </c>
      <c r="I1044" s="76" t="s">
        <v>1147</v>
      </c>
      <c r="J1044" s="76" t="s">
        <v>1148</v>
      </c>
      <c r="K1044" s="76">
        <v>93141506</v>
      </c>
      <c r="L1044" s="63" t="s">
        <v>1149</v>
      </c>
      <c r="M1044" s="63" t="s">
        <v>58</v>
      </c>
      <c r="N1044" s="63" t="s">
        <v>59</v>
      </c>
      <c r="O1044" s="63" t="s">
        <v>1161</v>
      </c>
      <c r="P1044" s="76" t="s">
        <v>1594</v>
      </c>
      <c r="Q1044" s="79">
        <v>3553500</v>
      </c>
      <c r="R1044" s="63">
        <v>1</v>
      </c>
      <c r="S1044" s="80">
        <v>8291500</v>
      </c>
      <c r="T1044" s="63"/>
      <c r="U1044" s="63" t="s">
        <v>1163</v>
      </c>
      <c r="V1044" s="81" t="s">
        <v>1164</v>
      </c>
      <c r="W1044" s="82" t="s">
        <v>2817</v>
      </c>
      <c r="X1044" s="90" t="s">
        <v>2827</v>
      </c>
      <c r="Y1044" s="89">
        <v>43381</v>
      </c>
      <c r="Z1044" s="83">
        <v>8291500</v>
      </c>
      <c r="AA1044" s="84" t="s">
        <v>2742</v>
      </c>
      <c r="AB1044" s="85"/>
      <c r="AC1044" s="81"/>
      <c r="AD1044" s="86"/>
      <c r="AE1044" s="87">
        <f t="shared" si="114"/>
        <v>0</v>
      </c>
      <c r="AF1044" s="85"/>
      <c r="AG1044" s="81"/>
      <c r="AH1044" s="86"/>
      <c r="AI1044" s="63"/>
      <c r="AJ1044" s="63"/>
      <c r="AK1044" s="87">
        <f t="shared" si="112"/>
        <v>0</v>
      </c>
      <c r="AL1044" s="86">
        <v>0</v>
      </c>
      <c r="AM1044" s="86">
        <f t="shared" si="109"/>
        <v>0</v>
      </c>
      <c r="AN1044" s="63" t="s">
        <v>1155</v>
      </c>
      <c r="AO1044" s="86">
        <f t="shared" si="110"/>
        <v>8291500</v>
      </c>
      <c r="AP1044" s="63"/>
      <c r="AQ1044" s="63"/>
      <c r="AR1044" s="63"/>
      <c r="AS1044" s="63"/>
      <c r="AT1044" s="63"/>
      <c r="AU1044" s="220"/>
      <c r="AV1044" s="220"/>
      <c r="AW1044" s="220"/>
    </row>
    <row r="1045" spans="1:49" s="221" customFormat="1" ht="342" x14ac:dyDescent="0.25">
      <c r="A1045" s="63">
        <v>631</v>
      </c>
      <c r="B1045" s="63" t="str">
        <f t="shared" si="108"/>
        <v>3075-631</v>
      </c>
      <c r="C1045" s="76" t="s">
        <v>1141</v>
      </c>
      <c r="D1045" s="76" t="s">
        <v>1142</v>
      </c>
      <c r="E1045" s="76" t="s">
        <v>1143</v>
      </c>
      <c r="F1045" s="76" t="s">
        <v>1158</v>
      </c>
      <c r="G1045" s="88" t="s">
        <v>1159</v>
      </c>
      <c r="H1045" s="78" t="s">
        <v>1160</v>
      </c>
      <c r="I1045" s="76" t="s">
        <v>1147</v>
      </c>
      <c r="J1045" s="76" t="s">
        <v>1148</v>
      </c>
      <c r="K1045" s="76">
        <v>80111600</v>
      </c>
      <c r="L1045" s="63" t="s">
        <v>1149</v>
      </c>
      <c r="M1045" s="63" t="s">
        <v>58</v>
      </c>
      <c r="N1045" s="63" t="s">
        <v>59</v>
      </c>
      <c r="O1045" s="63" t="s">
        <v>1161</v>
      </c>
      <c r="P1045" s="76" t="s">
        <v>2828</v>
      </c>
      <c r="Q1045" s="79">
        <v>6180000</v>
      </c>
      <c r="R1045" s="63">
        <v>1</v>
      </c>
      <c r="S1045" s="80">
        <v>14420000</v>
      </c>
      <c r="T1045" s="63"/>
      <c r="U1045" s="63" t="s">
        <v>1163</v>
      </c>
      <c r="V1045" s="81" t="s">
        <v>1164</v>
      </c>
      <c r="W1045" s="82" t="s">
        <v>2817</v>
      </c>
      <c r="X1045" s="90" t="s">
        <v>2829</v>
      </c>
      <c r="Y1045" s="89">
        <v>43381</v>
      </c>
      <c r="Z1045" s="83">
        <v>14420000</v>
      </c>
      <c r="AA1045" s="84" t="s">
        <v>2742</v>
      </c>
      <c r="AB1045" s="85"/>
      <c r="AC1045" s="81"/>
      <c r="AD1045" s="86"/>
      <c r="AE1045" s="87">
        <f t="shared" si="114"/>
        <v>0</v>
      </c>
      <c r="AF1045" s="85"/>
      <c r="AG1045" s="81"/>
      <c r="AH1045" s="86"/>
      <c r="AI1045" s="63"/>
      <c r="AJ1045" s="63"/>
      <c r="AK1045" s="87">
        <f t="shared" si="112"/>
        <v>0</v>
      </c>
      <c r="AL1045" s="86">
        <v>0</v>
      </c>
      <c r="AM1045" s="86">
        <f t="shared" si="109"/>
        <v>0</v>
      </c>
      <c r="AN1045" s="63" t="s">
        <v>1155</v>
      </c>
      <c r="AO1045" s="86">
        <f t="shared" si="110"/>
        <v>14420000</v>
      </c>
      <c r="AP1045" s="63"/>
      <c r="AQ1045" s="63"/>
      <c r="AR1045" s="63"/>
      <c r="AS1045" s="63"/>
      <c r="AT1045" s="63"/>
      <c r="AU1045" s="220"/>
      <c r="AV1045" s="220"/>
      <c r="AW1045" s="220"/>
    </row>
    <row r="1046" spans="1:49" s="221" customFormat="1" ht="285" x14ac:dyDescent="0.25">
      <c r="A1046" s="63">
        <v>632</v>
      </c>
      <c r="B1046" s="63" t="str">
        <f t="shared" si="108"/>
        <v>3075-632</v>
      </c>
      <c r="C1046" s="76" t="s">
        <v>1141</v>
      </c>
      <c r="D1046" s="76" t="s">
        <v>1142</v>
      </c>
      <c r="E1046" s="76" t="s">
        <v>1143</v>
      </c>
      <c r="F1046" s="76" t="s">
        <v>1158</v>
      </c>
      <c r="G1046" s="88" t="s">
        <v>1159</v>
      </c>
      <c r="H1046" s="78" t="s">
        <v>1160</v>
      </c>
      <c r="I1046" s="76" t="s">
        <v>1147</v>
      </c>
      <c r="J1046" s="76" t="s">
        <v>1148</v>
      </c>
      <c r="K1046" s="76">
        <v>93151501</v>
      </c>
      <c r="L1046" s="63" t="s">
        <v>1149</v>
      </c>
      <c r="M1046" s="63" t="s">
        <v>58</v>
      </c>
      <c r="N1046" s="63" t="s">
        <v>59</v>
      </c>
      <c r="O1046" s="63" t="s">
        <v>1161</v>
      </c>
      <c r="P1046" s="76" t="s">
        <v>2830</v>
      </c>
      <c r="Q1046" s="79">
        <v>7210000</v>
      </c>
      <c r="R1046" s="63">
        <v>1</v>
      </c>
      <c r="S1046" s="80">
        <v>16823333</v>
      </c>
      <c r="T1046" s="63"/>
      <c r="U1046" s="63" t="s">
        <v>1163</v>
      </c>
      <c r="V1046" s="81" t="s">
        <v>1164</v>
      </c>
      <c r="W1046" s="82" t="s">
        <v>2817</v>
      </c>
      <c r="X1046" s="63" t="s">
        <v>2831</v>
      </c>
      <c r="Y1046" s="89">
        <v>43381</v>
      </c>
      <c r="Z1046" s="83">
        <v>16823333</v>
      </c>
      <c r="AA1046" s="84" t="s">
        <v>2742</v>
      </c>
      <c r="AB1046" s="85"/>
      <c r="AC1046" s="81"/>
      <c r="AD1046" s="86"/>
      <c r="AE1046" s="87">
        <f t="shared" si="114"/>
        <v>0</v>
      </c>
      <c r="AF1046" s="85"/>
      <c r="AG1046" s="81"/>
      <c r="AH1046" s="86"/>
      <c r="AI1046" s="63"/>
      <c r="AJ1046" s="63"/>
      <c r="AK1046" s="87">
        <f t="shared" si="112"/>
        <v>0</v>
      </c>
      <c r="AL1046" s="86">
        <v>0</v>
      </c>
      <c r="AM1046" s="86">
        <f t="shared" si="109"/>
        <v>0</v>
      </c>
      <c r="AN1046" s="63" t="s">
        <v>1155</v>
      </c>
      <c r="AO1046" s="86">
        <f t="shared" si="110"/>
        <v>16823333</v>
      </c>
      <c r="AP1046" s="63"/>
      <c r="AQ1046" s="63"/>
      <c r="AR1046" s="63"/>
      <c r="AS1046" s="63"/>
      <c r="AT1046" s="63"/>
      <c r="AU1046" s="220"/>
      <c r="AV1046" s="220"/>
      <c r="AW1046" s="220"/>
    </row>
    <row r="1047" spans="1:49" s="221" customFormat="1" ht="242.25" x14ac:dyDescent="0.25">
      <c r="A1047" s="63">
        <v>633</v>
      </c>
      <c r="B1047" s="63" t="str">
        <f t="shared" si="108"/>
        <v>3075-633</v>
      </c>
      <c r="C1047" s="76" t="s">
        <v>1141</v>
      </c>
      <c r="D1047" s="76" t="s">
        <v>1142</v>
      </c>
      <c r="E1047" s="76" t="s">
        <v>1143</v>
      </c>
      <c r="F1047" s="76" t="s">
        <v>1158</v>
      </c>
      <c r="G1047" s="88" t="s">
        <v>1159</v>
      </c>
      <c r="H1047" s="78" t="s">
        <v>1160</v>
      </c>
      <c r="I1047" s="76" t="s">
        <v>1147</v>
      </c>
      <c r="J1047" s="76" t="s">
        <v>1148</v>
      </c>
      <c r="K1047" s="76">
        <v>80111600</v>
      </c>
      <c r="L1047" s="63" t="s">
        <v>1149</v>
      </c>
      <c r="M1047" s="63" t="s">
        <v>58</v>
      </c>
      <c r="N1047" s="63" t="s">
        <v>59</v>
      </c>
      <c r="O1047" s="63" t="s">
        <v>1161</v>
      </c>
      <c r="P1047" s="76" t="s">
        <v>2819</v>
      </c>
      <c r="Q1047" s="79">
        <v>1751000</v>
      </c>
      <c r="R1047" s="63">
        <v>1</v>
      </c>
      <c r="S1047" s="80">
        <v>4085667</v>
      </c>
      <c r="T1047" s="63"/>
      <c r="U1047" s="63" t="s">
        <v>1163</v>
      </c>
      <c r="V1047" s="81" t="s">
        <v>1164</v>
      </c>
      <c r="W1047" s="82" t="s">
        <v>2817</v>
      </c>
      <c r="X1047" s="90" t="s">
        <v>2832</v>
      </c>
      <c r="Y1047" s="89">
        <v>43381</v>
      </c>
      <c r="Z1047" s="83">
        <v>4085667</v>
      </c>
      <c r="AA1047" s="84" t="s">
        <v>2742</v>
      </c>
      <c r="AB1047" s="85"/>
      <c r="AC1047" s="81"/>
      <c r="AD1047" s="86"/>
      <c r="AE1047" s="87">
        <f t="shared" si="114"/>
        <v>0</v>
      </c>
      <c r="AF1047" s="85"/>
      <c r="AG1047" s="81"/>
      <c r="AH1047" s="86"/>
      <c r="AI1047" s="63"/>
      <c r="AJ1047" s="63"/>
      <c r="AK1047" s="87">
        <f t="shared" si="112"/>
        <v>0</v>
      </c>
      <c r="AL1047" s="86">
        <v>0</v>
      </c>
      <c r="AM1047" s="86">
        <f t="shared" si="109"/>
        <v>0</v>
      </c>
      <c r="AN1047" s="63" t="s">
        <v>1155</v>
      </c>
      <c r="AO1047" s="86">
        <f t="shared" si="110"/>
        <v>4085667</v>
      </c>
      <c r="AP1047" s="63"/>
      <c r="AQ1047" s="63"/>
      <c r="AR1047" s="63"/>
      <c r="AS1047" s="63"/>
      <c r="AT1047" s="63"/>
      <c r="AU1047" s="220"/>
      <c r="AV1047" s="220"/>
      <c r="AW1047" s="220"/>
    </row>
    <row r="1048" spans="1:49" ht="15.75" thickBot="1" x14ac:dyDescent="0.3">
      <c r="A1048" s="59"/>
      <c r="B1048" s="59"/>
      <c r="C1048" s="59"/>
      <c r="D1048" s="59"/>
      <c r="E1048" s="59"/>
      <c r="F1048" s="59"/>
      <c r="G1048" s="59"/>
      <c r="H1048" s="59"/>
      <c r="I1048" s="59"/>
      <c r="J1048" s="59"/>
      <c r="K1048" s="59"/>
      <c r="L1048" s="59"/>
      <c r="M1048" s="59"/>
      <c r="N1048" s="59"/>
      <c r="O1048" s="59"/>
      <c r="P1048" s="59"/>
      <c r="Q1048" s="59"/>
      <c r="R1048" s="59"/>
      <c r="S1048" s="59"/>
      <c r="T1048" s="59"/>
      <c r="U1048" s="59"/>
      <c r="V1048" s="59"/>
      <c r="W1048" s="59"/>
      <c r="X1048" s="59"/>
      <c r="Y1048" s="59"/>
      <c r="Z1048" s="59"/>
      <c r="AA1048" s="59"/>
      <c r="AB1048" s="59"/>
      <c r="AC1048" s="59"/>
      <c r="AD1048" s="59"/>
      <c r="AE1048" s="59"/>
      <c r="AF1048" s="59"/>
      <c r="AG1048" s="59"/>
      <c r="AH1048" s="59"/>
      <c r="AI1048" s="59"/>
      <c r="AJ1048" s="59"/>
      <c r="AK1048" s="59"/>
      <c r="AL1048" s="59"/>
      <c r="AM1048" s="59"/>
      <c r="AN1048" s="59"/>
      <c r="AO1048" s="59"/>
      <c r="AP1048" s="59"/>
      <c r="AQ1048" s="59"/>
      <c r="AR1048" s="59"/>
      <c r="AS1048" s="59"/>
      <c r="AT1048" s="59"/>
      <c r="AU1048" s="59"/>
      <c r="AV1048" s="59"/>
      <c r="AW1048" s="59"/>
    </row>
    <row r="1049" spans="1:49" ht="357.75" thickTop="1" thickBot="1" x14ac:dyDescent="0.3">
      <c r="A1049" s="193">
        <v>1</v>
      </c>
      <c r="B1049" s="85" t="s">
        <v>2833</v>
      </c>
      <c r="C1049" s="105" t="s">
        <v>2834</v>
      </c>
      <c r="D1049" s="106" t="s">
        <v>714</v>
      </c>
      <c r="E1049" s="106" t="s">
        <v>2835</v>
      </c>
      <c r="F1049" s="106" t="s">
        <v>52</v>
      </c>
      <c r="G1049" s="106" t="s">
        <v>53</v>
      </c>
      <c r="H1049" s="107" t="s">
        <v>733</v>
      </c>
      <c r="I1049" s="106" t="s">
        <v>55</v>
      </c>
      <c r="J1049" s="106" t="s">
        <v>56</v>
      </c>
      <c r="K1049" s="106">
        <v>801116</v>
      </c>
      <c r="L1049" s="106" t="s">
        <v>2836</v>
      </c>
      <c r="M1049" s="106" t="s">
        <v>2837</v>
      </c>
      <c r="N1049" s="106" t="s">
        <v>2838</v>
      </c>
      <c r="O1049" s="106" t="s">
        <v>2839</v>
      </c>
      <c r="P1049" s="107" t="s">
        <v>2840</v>
      </c>
      <c r="Q1049" s="194">
        <v>10021818.181818182</v>
      </c>
      <c r="R1049" s="106">
        <v>1</v>
      </c>
      <c r="S1049" s="195">
        <f>110240000-19825899</f>
        <v>90414101</v>
      </c>
      <c r="T1049" s="108" t="s">
        <v>1215</v>
      </c>
      <c r="U1049" s="106" t="s">
        <v>445</v>
      </c>
      <c r="V1049" s="109">
        <v>43115</v>
      </c>
      <c r="W1049" s="106">
        <v>11</v>
      </c>
      <c r="X1049" s="106"/>
      <c r="Y1049" s="81"/>
      <c r="Z1049" s="110"/>
      <c r="AA1049" s="110"/>
      <c r="AB1049" s="106"/>
      <c r="AC1049" s="106"/>
      <c r="AD1049" s="106"/>
      <c r="AE1049" s="106"/>
      <c r="AF1049" s="106"/>
      <c r="AG1049" s="106"/>
      <c r="AH1049" s="196">
        <v>59017704</v>
      </c>
      <c r="AI1049" s="84" t="s">
        <v>2841</v>
      </c>
      <c r="AJ1049" s="106"/>
      <c r="AK1049" s="106"/>
      <c r="AL1049" s="106"/>
      <c r="AM1049" s="196">
        <v>57930530.284995675</v>
      </c>
      <c r="AN1049" s="196">
        <v>7319864</v>
      </c>
      <c r="AO1049" s="106"/>
      <c r="AP1049" s="106"/>
      <c r="AQ1049" s="106"/>
      <c r="AR1049" s="106"/>
      <c r="AS1049" s="106"/>
      <c r="AT1049" s="106"/>
      <c r="AU1049" s="106"/>
      <c r="AV1049" s="106"/>
      <c r="AW1049" s="106"/>
    </row>
    <row r="1050" spans="1:49" ht="300.75" thickTop="1" thickBot="1" x14ac:dyDescent="0.3">
      <c r="A1050" s="193">
        <v>2</v>
      </c>
      <c r="B1050" s="85" t="s">
        <v>2842</v>
      </c>
      <c r="C1050" s="105" t="s">
        <v>2834</v>
      </c>
      <c r="D1050" s="63" t="s">
        <v>714</v>
      </c>
      <c r="E1050" s="106" t="s">
        <v>2843</v>
      </c>
      <c r="F1050" s="63" t="s">
        <v>52</v>
      </c>
      <c r="G1050" s="63" t="s">
        <v>53</v>
      </c>
      <c r="H1050" s="111" t="s">
        <v>733</v>
      </c>
      <c r="I1050" s="63" t="s">
        <v>55</v>
      </c>
      <c r="J1050" s="106" t="s">
        <v>56</v>
      </c>
      <c r="K1050" s="106">
        <v>801116</v>
      </c>
      <c r="L1050" s="106" t="s">
        <v>2836</v>
      </c>
      <c r="M1050" s="106" t="s">
        <v>2837</v>
      </c>
      <c r="N1050" s="106" t="s">
        <v>2838</v>
      </c>
      <c r="O1050" s="106" t="s">
        <v>2839</v>
      </c>
      <c r="P1050" s="107" t="s">
        <v>2840</v>
      </c>
      <c r="Q1050" s="197">
        <v>5948727.2727272725</v>
      </c>
      <c r="R1050" s="63">
        <v>1</v>
      </c>
      <c r="S1050" s="198">
        <f>37012000-3369935+940563+104537-12929400</f>
        <v>21757765</v>
      </c>
      <c r="T1050" s="112" t="s">
        <v>1215</v>
      </c>
      <c r="U1050" s="63" t="s">
        <v>445</v>
      </c>
      <c r="V1050" s="81">
        <v>43115</v>
      </c>
      <c r="W1050" s="63">
        <v>11</v>
      </c>
      <c r="X1050" s="63"/>
      <c r="Y1050" s="81"/>
      <c r="Z1050" s="84"/>
      <c r="AA1050" s="84"/>
      <c r="AB1050" s="63"/>
      <c r="AC1050" s="63"/>
      <c r="AD1050" s="63"/>
      <c r="AE1050" s="63"/>
      <c r="AF1050" s="63"/>
      <c r="AG1050" s="63"/>
      <c r="AH1050" s="196">
        <v>11648161.70857304</v>
      </c>
      <c r="AI1050" s="84" t="s">
        <v>2841</v>
      </c>
      <c r="AJ1050" s="63"/>
      <c r="AK1050" s="63"/>
      <c r="AL1050" s="63"/>
      <c r="AM1050" s="196">
        <v>11433589.117074735</v>
      </c>
      <c r="AN1050" s="63"/>
      <c r="AO1050" s="63"/>
      <c r="AP1050" s="63"/>
      <c r="AQ1050" s="63"/>
      <c r="AR1050" s="63"/>
      <c r="AS1050" s="63"/>
      <c r="AT1050" s="63"/>
      <c r="AU1050" s="63"/>
      <c r="AV1050" s="63"/>
      <c r="AW1050" s="63"/>
    </row>
    <row r="1051" spans="1:49" ht="409.6" thickTop="1" thickBot="1" x14ac:dyDescent="0.3">
      <c r="A1051" s="193">
        <v>3</v>
      </c>
      <c r="B1051" s="85" t="s">
        <v>2844</v>
      </c>
      <c r="C1051" s="105" t="s">
        <v>2834</v>
      </c>
      <c r="D1051" s="63" t="s">
        <v>714</v>
      </c>
      <c r="E1051" s="106" t="s">
        <v>2845</v>
      </c>
      <c r="F1051" s="63" t="s">
        <v>52</v>
      </c>
      <c r="G1051" s="63" t="s">
        <v>53</v>
      </c>
      <c r="H1051" s="111" t="s">
        <v>733</v>
      </c>
      <c r="I1051" s="63" t="s">
        <v>55</v>
      </c>
      <c r="J1051" s="106" t="s">
        <v>56</v>
      </c>
      <c r="K1051" s="106">
        <v>801116</v>
      </c>
      <c r="L1051" s="106" t="s">
        <v>2836</v>
      </c>
      <c r="M1051" s="106" t="s">
        <v>2837</v>
      </c>
      <c r="N1051" s="106" t="s">
        <v>2838</v>
      </c>
      <c r="O1051" s="106" t="s">
        <v>2839</v>
      </c>
      <c r="P1051" s="107" t="s">
        <v>2840</v>
      </c>
      <c r="Q1051" s="197">
        <v>55476363.636363633</v>
      </c>
      <c r="R1051" s="63">
        <v>1</v>
      </c>
      <c r="S1051" s="198">
        <v>610240000</v>
      </c>
      <c r="T1051" s="112" t="s">
        <v>1215</v>
      </c>
      <c r="U1051" s="63" t="s">
        <v>445</v>
      </c>
      <c r="V1051" s="81">
        <v>43115</v>
      </c>
      <c r="W1051" s="63">
        <v>11</v>
      </c>
      <c r="X1051" s="85" t="s">
        <v>2846</v>
      </c>
      <c r="Y1051" s="81">
        <v>43115</v>
      </c>
      <c r="Z1051" s="196">
        <v>610240000</v>
      </c>
      <c r="AA1051" s="84"/>
      <c r="AB1051" s="63">
        <v>532</v>
      </c>
      <c r="AC1051" s="81">
        <v>43118</v>
      </c>
      <c r="AD1051" s="196">
        <v>610240000</v>
      </c>
      <c r="AE1051" s="84"/>
      <c r="AF1051" s="63" t="s">
        <v>2847</v>
      </c>
      <c r="AG1051" s="81">
        <v>43124</v>
      </c>
      <c r="AH1051" s="196">
        <v>326695973</v>
      </c>
      <c r="AI1051" s="84" t="s">
        <v>2841</v>
      </c>
      <c r="AJ1051" s="63">
        <v>7</v>
      </c>
      <c r="AK1051" s="63"/>
      <c r="AL1051" s="196">
        <v>121346798.16170163</v>
      </c>
      <c r="AM1051" s="196">
        <v>320677855.5979296</v>
      </c>
      <c r="AN1051" s="196"/>
      <c r="AO1051" s="63"/>
      <c r="AP1051" s="63"/>
      <c r="AQ1051" s="63"/>
      <c r="AR1051" s="81">
        <v>43115</v>
      </c>
      <c r="AS1051" s="63" t="s">
        <v>2848</v>
      </c>
      <c r="AT1051" s="81">
        <v>43115</v>
      </c>
      <c r="AU1051" s="63" t="s">
        <v>2849</v>
      </c>
      <c r="AV1051" s="63"/>
      <c r="AW1051" s="63"/>
    </row>
    <row r="1052" spans="1:49" ht="409.6" thickTop="1" thickBot="1" x14ac:dyDescent="0.3">
      <c r="A1052" s="193">
        <v>4</v>
      </c>
      <c r="B1052" s="85" t="s">
        <v>2850</v>
      </c>
      <c r="C1052" s="105" t="s">
        <v>2834</v>
      </c>
      <c r="D1052" s="63" t="s">
        <v>714</v>
      </c>
      <c r="E1052" s="106" t="s">
        <v>2845</v>
      </c>
      <c r="F1052" s="63" t="s">
        <v>52</v>
      </c>
      <c r="G1052" s="63" t="s">
        <v>53</v>
      </c>
      <c r="H1052" s="111" t="s">
        <v>733</v>
      </c>
      <c r="I1052" s="63" t="s">
        <v>55</v>
      </c>
      <c r="J1052" s="106" t="s">
        <v>56</v>
      </c>
      <c r="K1052" s="106">
        <v>801116</v>
      </c>
      <c r="L1052" s="106" t="s">
        <v>2836</v>
      </c>
      <c r="M1052" s="106" t="s">
        <v>2837</v>
      </c>
      <c r="N1052" s="106" t="s">
        <v>2838</v>
      </c>
      <c r="O1052" s="106" t="s">
        <v>2839</v>
      </c>
      <c r="P1052" s="107" t="s">
        <v>2851</v>
      </c>
      <c r="Q1052" s="197">
        <v>8240000</v>
      </c>
      <c r="R1052" s="63">
        <v>1</v>
      </c>
      <c r="S1052" s="198">
        <v>0</v>
      </c>
      <c r="T1052" s="112" t="s">
        <v>888</v>
      </c>
      <c r="U1052" s="63" t="s">
        <v>445</v>
      </c>
      <c r="V1052" s="81">
        <v>43125</v>
      </c>
      <c r="W1052" s="199">
        <v>11</v>
      </c>
      <c r="X1052" s="200" t="s">
        <v>2852</v>
      </c>
      <c r="Y1052" s="81">
        <v>43103</v>
      </c>
      <c r="Z1052" s="201" t="s">
        <v>2853</v>
      </c>
      <c r="AA1052" s="201" t="s">
        <v>2853</v>
      </c>
      <c r="AB1052" s="201" t="s">
        <v>2853</v>
      </c>
      <c r="AC1052" s="201" t="s">
        <v>2853</v>
      </c>
      <c r="AD1052" s="201" t="s">
        <v>2853</v>
      </c>
      <c r="AE1052" s="201" t="s">
        <v>2853</v>
      </c>
      <c r="AF1052" s="63" t="s">
        <v>2853</v>
      </c>
      <c r="AG1052" s="201" t="s">
        <v>2853</v>
      </c>
      <c r="AH1052" s="196" t="s">
        <v>2853</v>
      </c>
      <c r="AI1052" s="201" t="s">
        <v>2853</v>
      </c>
      <c r="AJ1052" s="201" t="s">
        <v>2853</v>
      </c>
      <c r="AK1052" s="201" t="s">
        <v>2853</v>
      </c>
      <c r="AL1052" s="201"/>
      <c r="AM1052" s="196">
        <v>0</v>
      </c>
      <c r="AN1052" s="201" t="s">
        <v>2853</v>
      </c>
      <c r="AO1052" s="201" t="s">
        <v>2853</v>
      </c>
      <c r="AP1052" s="201" t="s">
        <v>2853</v>
      </c>
      <c r="AQ1052" s="113" t="s">
        <v>2854</v>
      </c>
      <c r="AR1052" s="114">
        <v>43102</v>
      </c>
      <c r="AS1052" s="113" t="s">
        <v>2848</v>
      </c>
      <c r="AT1052" s="114">
        <v>43102</v>
      </c>
      <c r="AU1052" s="113" t="s">
        <v>2855</v>
      </c>
      <c r="AV1052" s="201" t="s">
        <v>2853</v>
      </c>
      <c r="AW1052" s="202" t="s">
        <v>2853</v>
      </c>
    </row>
    <row r="1053" spans="1:49" ht="409.6" thickTop="1" thickBot="1" x14ac:dyDescent="0.3">
      <c r="A1053" s="193">
        <v>5</v>
      </c>
      <c r="B1053" s="85" t="s">
        <v>2856</v>
      </c>
      <c r="C1053" s="105" t="s">
        <v>2834</v>
      </c>
      <c r="D1053" s="63" t="s">
        <v>714</v>
      </c>
      <c r="E1053" s="106" t="s">
        <v>2845</v>
      </c>
      <c r="F1053" s="63" t="s">
        <v>52</v>
      </c>
      <c r="G1053" s="63" t="s">
        <v>53</v>
      </c>
      <c r="H1053" s="111" t="s">
        <v>733</v>
      </c>
      <c r="I1053" s="63" t="s">
        <v>55</v>
      </c>
      <c r="J1053" s="106" t="s">
        <v>56</v>
      </c>
      <c r="K1053" s="106">
        <v>801116</v>
      </c>
      <c r="L1053" s="106" t="s">
        <v>2836</v>
      </c>
      <c r="M1053" s="106" t="s">
        <v>2837</v>
      </c>
      <c r="N1053" s="106" t="s">
        <v>2838</v>
      </c>
      <c r="O1053" s="106" t="s">
        <v>2839</v>
      </c>
      <c r="P1053" s="107" t="s">
        <v>2857</v>
      </c>
      <c r="Q1053" s="197">
        <v>3399000</v>
      </c>
      <c r="R1053" s="63">
        <v>1</v>
      </c>
      <c r="S1053" s="198">
        <v>37389000</v>
      </c>
      <c r="T1053" s="112" t="s">
        <v>888</v>
      </c>
      <c r="U1053" s="63" t="s">
        <v>445</v>
      </c>
      <c r="V1053" s="81">
        <v>43125</v>
      </c>
      <c r="W1053" s="199">
        <v>11</v>
      </c>
      <c r="X1053" s="85" t="s">
        <v>2858</v>
      </c>
      <c r="Y1053" s="81">
        <v>43103</v>
      </c>
      <c r="Z1053" s="196">
        <v>37389000</v>
      </c>
      <c r="AA1053" s="84"/>
      <c r="AB1053" s="63">
        <v>153</v>
      </c>
      <c r="AC1053" s="81">
        <v>43105</v>
      </c>
      <c r="AD1053" s="196">
        <v>37389000</v>
      </c>
      <c r="AE1053" s="84"/>
      <c r="AF1053" s="63">
        <v>30</v>
      </c>
      <c r="AG1053" s="81">
        <v>43116</v>
      </c>
      <c r="AH1053" s="196">
        <v>37389000</v>
      </c>
      <c r="AI1053" s="84" t="s">
        <v>2859</v>
      </c>
      <c r="AJ1053" s="63">
        <v>18</v>
      </c>
      <c r="AK1053" s="63"/>
      <c r="AL1053" s="196">
        <f>AH1053</f>
        <v>37389000</v>
      </c>
      <c r="AM1053" s="196">
        <f>+VLOOKUP(AF1053,'[2]CRP a 31 Agosto de 2018'!$J$8:$V$2956,13,0)</f>
        <v>22093500</v>
      </c>
      <c r="AN1053" s="196">
        <f>AL1053-AM1053</f>
        <v>15295500</v>
      </c>
      <c r="AO1053" s="63"/>
      <c r="AP1053" s="63"/>
      <c r="AQ1053" s="63"/>
      <c r="AR1053" s="81">
        <v>43102</v>
      </c>
      <c r="AS1053" s="63" t="s">
        <v>2848</v>
      </c>
      <c r="AT1053" s="81">
        <v>43102</v>
      </c>
      <c r="AU1053" s="63" t="s">
        <v>2855</v>
      </c>
      <c r="AV1053" s="63"/>
      <c r="AW1053" s="63"/>
    </row>
    <row r="1054" spans="1:49" ht="409.6" thickTop="1" thickBot="1" x14ac:dyDescent="0.3">
      <c r="A1054" s="193">
        <v>6</v>
      </c>
      <c r="B1054" s="85" t="s">
        <v>2860</v>
      </c>
      <c r="C1054" s="105" t="s">
        <v>2834</v>
      </c>
      <c r="D1054" s="63" t="s">
        <v>714</v>
      </c>
      <c r="E1054" s="106" t="s">
        <v>2845</v>
      </c>
      <c r="F1054" s="63" t="s">
        <v>52</v>
      </c>
      <c r="G1054" s="63" t="s">
        <v>53</v>
      </c>
      <c r="H1054" s="111" t="s">
        <v>733</v>
      </c>
      <c r="I1054" s="63" t="s">
        <v>55</v>
      </c>
      <c r="J1054" s="106" t="s">
        <v>56</v>
      </c>
      <c r="K1054" s="106">
        <v>801116</v>
      </c>
      <c r="L1054" s="106" t="s">
        <v>2836</v>
      </c>
      <c r="M1054" s="106" t="s">
        <v>2837</v>
      </c>
      <c r="N1054" s="106" t="s">
        <v>2838</v>
      </c>
      <c r="O1054" s="106" t="s">
        <v>2839</v>
      </c>
      <c r="P1054" s="107" t="s">
        <v>2861</v>
      </c>
      <c r="Q1054" s="197">
        <v>5036700</v>
      </c>
      <c r="R1054" s="63">
        <v>1</v>
      </c>
      <c r="S1054" s="198">
        <v>55403700</v>
      </c>
      <c r="T1054" s="112" t="s">
        <v>888</v>
      </c>
      <c r="U1054" s="63" t="s">
        <v>445</v>
      </c>
      <c r="V1054" s="81">
        <v>43125</v>
      </c>
      <c r="W1054" s="199">
        <v>11</v>
      </c>
      <c r="X1054" s="85" t="s">
        <v>2862</v>
      </c>
      <c r="Y1054" s="81">
        <v>43103</v>
      </c>
      <c r="Z1054" s="196">
        <v>55403700</v>
      </c>
      <c r="AA1054" s="84"/>
      <c r="AB1054" s="63">
        <v>154</v>
      </c>
      <c r="AC1054" s="81">
        <v>43105</v>
      </c>
      <c r="AD1054" s="196">
        <v>55403700</v>
      </c>
      <c r="AE1054" s="84"/>
      <c r="AF1054" s="63">
        <v>29</v>
      </c>
      <c r="AG1054" s="81">
        <v>43116</v>
      </c>
      <c r="AH1054" s="196">
        <v>55403700</v>
      </c>
      <c r="AI1054" s="84" t="s">
        <v>2863</v>
      </c>
      <c r="AJ1054" s="63">
        <v>17</v>
      </c>
      <c r="AK1054" s="63"/>
      <c r="AL1054" s="196">
        <f t="shared" ref="AL1054:AL1056" si="115">AH1054</f>
        <v>55403700</v>
      </c>
      <c r="AM1054" s="196">
        <f>+VLOOKUP(AF1054,'[2]CRP a 31 Agosto de 2018'!$J$8:$V$2956,13,0)</f>
        <v>32738550</v>
      </c>
      <c r="AN1054" s="196">
        <f>AL1054-AM1054</f>
        <v>22665150</v>
      </c>
      <c r="AO1054" s="63"/>
      <c r="AP1054" s="63"/>
      <c r="AQ1054" s="63"/>
      <c r="AR1054" s="81">
        <v>43102</v>
      </c>
      <c r="AS1054" s="63" t="s">
        <v>2848</v>
      </c>
      <c r="AT1054" s="81">
        <v>43102</v>
      </c>
      <c r="AU1054" s="63" t="s">
        <v>2855</v>
      </c>
      <c r="AV1054" s="63"/>
      <c r="AW1054" s="63"/>
    </row>
    <row r="1055" spans="1:49" ht="409.6" thickTop="1" thickBot="1" x14ac:dyDescent="0.3">
      <c r="A1055" s="193">
        <v>7</v>
      </c>
      <c r="B1055" s="85" t="s">
        <v>2864</v>
      </c>
      <c r="C1055" s="105" t="s">
        <v>2834</v>
      </c>
      <c r="D1055" s="63" t="s">
        <v>714</v>
      </c>
      <c r="E1055" s="106" t="s">
        <v>2845</v>
      </c>
      <c r="F1055" s="63" t="s">
        <v>52</v>
      </c>
      <c r="G1055" s="63" t="s">
        <v>53</v>
      </c>
      <c r="H1055" s="111" t="s">
        <v>733</v>
      </c>
      <c r="I1055" s="63" t="s">
        <v>55</v>
      </c>
      <c r="J1055" s="106" t="s">
        <v>56</v>
      </c>
      <c r="K1055" s="106">
        <v>801116</v>
      </c>
      <c r="L1055" s="106" t="s">
        <v>2836</v>
      </c>
      <c r="M1055" s="106" t="s">
        <v>2837</v>
      </c>
      <c r="N1055" s="106" t="s">
        <v>2838</v>
      </c>
      <c r="O1055" s="106" t="s">
        <v>2839</v>
      </c>
      <c r="P1055" s="107" t="s">
        <v>2865</v>
      </c>
      <c r="Q1055" s="197">
        <v>3038500</v>
      </c>
      <c r="R1055" s="63">
        <v>1</v>
      </c>
      <c r="S1055" s="198">
        <v>33423500</v>
      </c>
      <c r="T1055" s="112" t="s">
        <v>928</v>
      </c>
      <c r="U1055" s="63" t="s">
        <v>445</v>
      </c>
      <c r="V1055" s="81">
        <v>43125</v>
      </c>
      <c r="W1055" s="199">
        <v>11</v>
      </c>
      <c r="X1055" s="85" t="s">
        <v>2866</v>
      </c>
      <c r="Y1055" s="81">
        <v>43103</v>
      </c>
      <c r="Z1055" s="196">
        <v>33423500</v>
      </c>
      <c r="AA1055" s="84"/>
      <c r="AB1055" s="63">
        <v>155</v>
      </c>
      <c r="AC1055" s="81">
        <v>43105</v>
      </c>
      <c r="AD1055" s="196">
        <v>33423500</v>
      </c>
      <c r="AE1055" s="84"/>
      <c r="AF1055" s="63">
        <v>323</v>
      </c>
      <c r="AG1055" s="81">
        <v>43123</v>
      </c>
      <c r="AH1055" s="196">
        <v>33423500</v>
      </c>
      <c r="AI1055" s="84" t="s">
        <v>2867</v>
      </c>
      <c r="AJ1055" s="63">
        <v>284</v>
      </c>
      <c r="AK1055" s="63"/>
      <c r="AL1055" s="196">
        <f t="shared" si="115"/>
        <v>33423500</v>
      </c>
      <c r="AM1055" s="196">
        <f>+VLOOKUP(AF1055,'[2]CRP a 31 Agosto de 2018'!$J$8:$V$2956,13,0)</f>
        <v>18939983</v>
      </c>
      <c r="AN1055" s="196">
        <f>AL1055-AM1055</f>
        <v>14483517</v>
      </c>
      <c r="AO1055" s="63"/>
      <c r="AP1055" s="63"/>
      <c r="AQ1055" s="63"/>
      <c r="AR1055" s="81">
        <v>43102</v>
      </c>
      <c r="AS1055" s="63" t="s">
        <v>2848</v>
      </c>
      <c r="AT1055" s="81">
        <v>43102</v>
      </c>
      <c r="AU1055" s="63" t="s">
        <v>2855</v>
      </c>
      <c r="AV1055" s="63"/>
      <c r="AW1055" s="63"/>
    </row>
    <row r="1056" spans="1:49" ht="409.6" thickTop="1" thickBot="1" x14ac:dyDescent="0.3">
      <c r="A1056" s="193">
        <v>8</v>
      </c>
      <c r="B1056" s="85" t="s">
        <v>2868</v>
      </c>
      <c r="C1056" s="105" t="s">
        <v>2834</v>
      </c>
      <c r="D1056" s="63" t="s">
        <v>714</v>
      </c>
      <c r="E1056" s="106" t="s">
        <v>2845</v>
      </c>
      <c r="F1056" s="63" t="s">
        <v>52</v>
      </c>
      <c r="G1056" s="63" t="s">
        <v>53</v>
      </c>
      <c r="H1056" s="111" t="s">
        <v>733</v>
      </c>
      <c r="I1056" s="63" t="s">
        <v>55</v>
      </c>
      <c r="J1056" s="106" t="s">
        <v>56</v>
      </c>
      <c r="K1056" s="106">
        <v>801116</v>
      </c>
      <c r="L1056" s="106" t="s">
        <v>2836</v>
      </c>
      <c r="M1056" s="106" t="s">
        <v>2837</v>
      </c>
      <c r="N1056" s="106" t="s">
        <v>2838</v>
      </c>
      <c r="O1056" s="106" t="s">
        <v>2839</v>
      </c>
      <c r="P1056" s="107" t="s">
        <v>2869</v>
      </c>
      <c r="Q1056" s="197">
        <v>3399000</v>
      </c>
      <c r="R1056" s="63">
        <v>1</v>
      </c>
      <c r="S1056" s="198">
        <v>37389000</v>
      </c>
      <c r="T1056" s="112" t="s">
        <v>888</v>
      </c>
      <c r="U1056" s="63" t="s">
        <v>445</v>
      </c>
      <c r="V1056" s="81">
        <v>43125</v>
      </c>
      <c r="W1056" s="199">
        <v>11</v>
      </c>
      <c r="X1056" s="85" t="s">
        <v>2870</v>
      </c>
      <c r="Y1056" s="81">
        <v>43103</v>
      </c>
      <c r="Z1056" s="196">
        <v>37389000</v>
      </c>
      <c r="AA1056" s="84"/>
      <c r="AB1056" s="63">
        <v>156</v>
      </c>
      <c r="AC1056" s="81">
        <v>43105</v>
      </c>
      <c r="AD1056" s="196">
        <v>37389000</v>
      </c>
      <c r="AE1056" s="84"/>
      <c r="AF1056" s="63">
        <v>61</v>
      </c>
      <c r="AG1056" s="81">
        <v>43116</v>
      </c>
      <c r="AH1056" s="196">
        <v>37389000</v>
      </c>
      <c r="AI1056" s="84" t="s">
        <v>2871</v>
      </c>
      <c r="AJ1056" s="63">
        <v>26</v>
      </c>
      <c r="AK1056" s="63"/>
      <c r="AL1056" s="196">
        <f t="shared" si="115"/>
        <v>37389000</v>
      </c>
      <c r="AM1056" s="196">
        <f>+VLOOKUP(AF1056,'[2]CRP a 31 Agosto de 2018'!$J$8:$V$2956,13,0)</f>
        <v>22093500</v>
      </c>
      <c r="AN1056" s="196">
        <f>AL1056-AM1056</f>
        <v>15295500</v>
      </c>
      <c r="AO1056" s="63"/>
      <c r="AP1056" s="63"/>
      <c r="AQ1056" s="63"/>
      <c r="AR1056" s="81">
        <v>43102</v>
      </c>
      <c r="AS1056" s="63" t="s">
        <v>2848</v>
      </c>
      <c r="AT1056" s="81">
        <v>43102</v>
      </c>
      <c r="AU1056" s="63" t="s">
        <v>2855</v>
      </c>
      <c r="AV1056" s="63"/>
      <c r="AW1056" s="63"/>
    </row>
    <row r="1057" spans="1:49" ht="409.6" thickTop="1" thickBot="1" x14ac:dyDescent="0.3">
      <c r="A1057" s="193">
        <v>9</v>
      </c>
      <c r="B1057" s="85" t="s">
        <v>2872</v>
      </c>
      <c r="C1057" s="105" t="s">
        <v>2834</v>
      </c>
      <c r="D1057" s="63" t="s">
        <v>714</v>
      </c>
      <c r="E1057" s="106" t="s">
        <v>2845</v>
      </c>
      <c r="F1057" s="63" t="s">
        <v>52</v>
      </c>
      <c r="G1057" s="63" t="s">
        <v>53</v>
      </c>
      <c r="H1057" s="111" t="s">
        <v>733</v>
      </c>
      <c r="I1057" s="63" t="s">
        <v>55</v>
      </c>
      <c r="J1057" s="106" t="s">
        <v>56</v>
      </c>
      <c r="K1057" s="106">
        <v>801116</v>
      </c>
      <c r="L1057" s="106" t="s">
        <v>2836</v>
      </c>
      <c r="M1057" s="106" t="s">
        <v>2837</v>
      </c>
      <c r="N1057" s="106" t="s">
        <v>2838</v>
      </c>
      <c r="O1057" s="106" t="s">
        <v>2839</v>
      </c>
      <c r="P1057" s="107" t="s">
        <v>2873</v>
      </c>
      <c r="Q1057" s="197">
        <v>5100000</v>
      </c>
      <c r="R1057" s="63">
        <v>1</v>
      </c>
      <c r="S1057" s="198">
        <v>25500000</v>
      </c>
      <c r="T1057" s="112" t="s">
        <v>888</v>
      </c>
      <c r="U1057" s="63" t="s">
        <v>445</v>
      </c>
      <c r="V1057" s="81">
        <v>43125</v>
      </c>
      <c r="W1057" s="199">
        <v>5</v>
      </c>
      <c r="X1057" s="85" t="s">
        <v>2874</v>
      </c>
      <c r="Y1057" s="81">
        <v>43103</v>
      </c>
      <c r="Z1057" s="196">
        <v>25500000</v>
      </c>
      <c r="AA1057" s="84"/>
      <c r="AB1057" s="63">
        <v>157</v>
      </c>
      <c r="AC1057" s="81">
        <v>43105</v>
      </c>
      <c r="AD1057" s="196">
        <v>25500000</v>
      </c>
      <c r="AE1057" s="63"/>
      <c r="AF1057" s="63">
        <v>650</v>
      </c>
      <c r="AG1057" s="81">
        <v>43133</v>
      </c>
      <c r="AH1057" s="196">
        <v>25500000</v>
      </c>
      <c r="AI1057" s="84" t="s">
        <v>2875</v>
      </c>
      <c r="AJ1057" s="63"/>
      <c r="AK1057" s="63"/>
      <c r="AL1057" s="196">
        <v>25500000</v>
      </c>
      <c r="AM1057" s="196">
        <f>+VLOOKUP(AF1057,'[2]CRP a 31 Agosto de 2018'!$J$8:$V$2956,13,0)</f>
        <v>25500000</v>
      </c>
      <c r="AN1057" s="196">
        <f>+AL1057-AM1057</f>
        <v>0</v>
      </c>
      <c r="AO1057" s="63"/>
      <c r="AP1057" s="63"/>
      <c r="AQ1057" s="63"/>
      <c r="AR1057" s="81">
        <v>43102</v>
      </c>
      <c r="AS1057" s="63" t="s">
        <v>2848</v>
      </c>
      <c r="AT1057" s="81">
        <v>43102</v>
      </c>
      <c r="AU1057" s="63" t="s">
        <v>2876</v>
      </c>
      <c r="AV1057" s="63"/>
      <c r="AW1057" s="63"/>
    </row>
    <row r="1058" spans="1:49" ht="409.6" thickTop="1" thickBot="1" x14ac:dyDescent="0.3">
      <c r="A1058" s="193">
        <v>10</v>
      </c>
      <c r="B1058" s="85" t="s">
        <v>2877</v>
      </c>
      <c r="C1058" s="105" t="s">
        <v>2834</v>
      </c>
      <c r="D1058" s="63" t="s">
        <v>714</v>
      </c>
      <c r="E1058" s="106" t="s">
        <v>2845</v>
      </c>
      <c r="F1058" s="63" t="s">
        <v>52</v>
      </c>
      <c r="G1058" s="63" t="s">
        <v>53</v>
      </c>
      <c r="H1058" s="111" t="s">
        <v>733</v>
      </c>
      <c r="I1058" s="63" t="s">
        <v>55</v>
      </c>
      <c r="J1058" s="106" t="s">
        <v>56</v>
      </c>
      <c r="K1058" s="106">
        <v>801116</v>
      </c>
      <c r="L1058" s="106" t="s">
        <v>2836</v>
      </c>
      <c r="M1058" s="106" t="s">
        <v>2837</v>
      </c>
      <c r="N1058" s="106" t="s">
        <v>2838</v>
      </c>
      <c r="O1058" s="106" t="s">
        <v>2839</v>
      </c>
      <c r="P1058" s="107" t="s">
        <v>2869</v>
      </c>
      <c r="Q1058" s="197">
        <v>5253000</v>
      </c>
      <c r="R1058" s="63">
        <v>1</v>
      </c>
      <c r="S1058" s="198">
        <v>26265000</v>
      </c>
      <c r="T1058" s="112" t="s">
        <v>888</v>
      </c>
      <c r="U1058" s="63" t="s">
        <v>445</v>
      </c>
      <c r="V1058" s="81">
        <v>43125</v>
      </c>
      <c r="W1058" s="199">
        <v>5</v>
      </c>
      <c r="X1058" s="85" t="s">
        <v>2878</v>
      </c>
      <c r="Y1058" s="81">
        <v>43103</v>
      </c>
      <c r="Z1058" s="196">
        <v>26265000</v>
      </c>
      <c r="AA1058" s="84"/>
      <c r="AB1058" s="63">
        <v>158</v>
      </c>
      <c r="AC1058" s="81">
        <v>43105</v>
      </c>
      <c r="AD1058" s="196">
        <v>26265000</v>
      </c>
      <c r="AE1058" s="63"/>
      <c r="AF1058" s="63">
        <v>2511</v>
      </c>
      <c r="AG1058" s="81">
        <v>43300</v>
      </c>
      <c r="AH1058" s="196">
        <v>26265000</v>
      </c>
      <c r="AI1058" s="84" t="s">
        <v>2879</v>
      </c>
      <c r="AJ1058" s="63">
        <v>447</v>
      </c>
      <c r="AK1058" s="63"/>
      <c r="AL1058" s="196">
        <v>26265000</v>
      </c>
      <c r="AM1058" s="196">
        <f>+VLOOKUP(AF1058,'[2]CRP a 31 Agosto de 2018'!$J$8:$V$2956,13,0)</f>
        <v>2101200</v>
      </c>
      <c r="AN1058" s="196">
        <f>+AL1058-AM1058</f>
        <v>24163800</v>
      </c>
      <c r="AO1058" s="63"/>
      <c r="AP1058" s="63"/>
      <c r="AQ1058" s="63"/>
      <c r="AR1058" s="81">
        <v>43102</v>
      </c>
      <c r="AS1058" s="63" t="s">
        <v>2848</v>
      </c>
      <c r="AT1058" s="81">
        <v>43102</v>
      </c>
      <c r="AU1058" s="63" t="s">
        <v>2855</v>
      </c>
      <c r="AV1058" s="63"/>
      <c r="AW1058" s="63"/>
    </row>
    <row r="1059" spans="1:49" ht="409.6" thickTop="1" thickBot="1" x14ac:dyDescent="0.3">
      <c r="A1059" s="193">
        <v>11</v>
      </c>
      <c r="B1059" s="85" t="s">
        <v>2880</v>
      </c>
      <c r="C1059" s="105" t="s">
        <v>2834</v>
      </c>
      <c r="D1059" s="63" t="s">
        <v>714</v>
      </c>
      <c r="E1059" s="106" t="s">
        <v>2845</v>
      </c>
      <c r="F1059" s="63" t="s">
        <v>52</v>
      </c>
      <c r="G1059" s="63" t="s">
        <v>53</v>
      </c>
      <c r="H1059" s="111" t="s">
        <v>733</v>
      </c>
      <c r="I1059" s="63" t="s">
        <v>55</v>
      </c>
      <c r="J1059" s="106" t="s">
        <v>56</v>
      </c>
      <c r="K1059" s="106">
        <v>801116</v>
      </c>
      <c r="L1059" s="106" t="s">
        <v>2836</v>
      </c>
      <c r="M1059" s="106" t="s">
        <v>2837</v>
      </c>
      <c r="N1059" s="106" t="s">
        <v>2838</v>
      </c>
      <c r="O1059" s="106" t="s">
        <v>2839</v>
      </c>
      <c r="P1059" s="107" t="s">
        <v>2869</v>
      </c>
      <c r="Q1059" s="197">
        <v>3399000</v>
      </c>
      <c r="R1059" s="63">
        <v>1</v>
      </c>
      <c r="S1059" s="198">
        <v>37389000</v>
      </c>
      <c r="T1059" s="112" t="s">
        <v>888</v>
      </c>
      <c r="U1059" s="63" t="s">
        <v>445</v>
      </c>
      <c r="V1059" s="81">
        <v>43125</v>
      </c>
      <c r="W1059" s="199">
        <v>11</v>
      </c>
      <c r="X1059" s="85" t="s">
        <v>2881</v>
      </c>
      <c r="Y1059" s="81">
        <v>43103</v>
      </c>
      <c r="Z1059" s="196">
        <v>37389000</v>
      </c>
      <c r="AA1059" s="84"/>
      <c r="AB1059" s="63">
        <v>159</v>
      </c>
      <c r="AC1059" s="81">
        <v>43105</v>
      </c>
      <c r="AD1059" s="196">
        <v>37389000</v>
      </c>
      <c r="AE1059" s="63"/>
      <c r="AF1059" s="63">
        <v>156</v>
      </c>
      <c r="AG1059" s="81">
        <v>43118</v>
      </c>
      <c r="AH1059" s="196">
        <v>37389000</v>
      </c>
      <c r="AI1059" s="84" t="s">
        <v>2882</v>
      </c>
      <c r="AJ1059" s="63">
        <v>128</v>
      </c>
      <c r="AK1059" s="63"/>
      <c r="AL1059" s="196">
        <v>37389000</v>
      </c>
      <c r="AM1059" s="196">
        <f>+VLOOKUP(AF1059,'[2]CRP a 31 Agosto de 2018'!$J$8:$V$2956,13,0)</f>
        <v>21866900</v>
      </c>
      <c r="AN1059" s="196">
        <f>+AL1059-AM1059</f>
        <v>15522100</v>
      </c>
      <c r="AO1059" s="63"/>
      <c r="AP1059" s="63"/>
      <c r="AQ1059" s="63"/>
      <c r="AR1059" s="81">
        <v>43102</v>
      </c>
      <c r="AS1059" s="63" t="s">
        <v>2848</v>
      </c>
      <c r="AT1059" s="81">
        <v>43102</v>
      </c>
      <c r="AU1059" s="63" t="s">
        <v>2855</v>
      </c>
      <c r="AV1059" s="63"/>
      <c r="AW1059" s="63"/>
    </row>
    <row r="1060" spans="1:49" ht="409.6" thickTop="1" thickBot="1" x14ac:dyDescent="0.3">
      <c r="A1060" s="193">
        <v>12</v>
      </c>
      <c r="B1060" s="85" t="s">
        <v>2883</v>
      </c>
      <c r="C1060" s="105" t="s">
        <v>2834</v>
      </c>
      <c r="D1060" s="63" t="s">
        <v>714</v>
      </c>
      <c r="E1060" s="106" t="s">
        <v>2845</v>
      </c>
      <c r="F1060" s="63" t="s">
        <v>52</v>
      </c>
      <c r="G1060" s="63" t="s">
        <v>53</v>
      </c>
      <c r="H1060" s="111" t="s">
        <v>733</v>
      </c>
      <c r="I1060" s="63" t="s">
        <v>55</v>
      </c>
      <c r="J1060" s="106" t="s">
        <v>56</v>
      </c>
      <c r="K1060" s="106">
        <v>801116</v>
      </c>
      <c r="L1060" s="106" t="s">
        <v>2836</v>
      </c>
      <c r="M1060" s="106" t="s">
        <v>2837</v>
      </c>
      <c r="N1060" s="106" t="s">
        <v>2838</v>
      </c>
      <c r="O1060" s="106" t="s">
        <v>2839</v>
      </c>
      <c r="P1060" s="107" t="s">
        <v>2884</v>
      </c>
      <c r="Q1060" s="197">
        <v>3038500</v>
      </c>
      <c r="R1060" s="63">
        <v>1</v>
      </c>
      <c r="S1060" s="198">
        <v>33423500</v>
      </c>
      <c r="T1060" s="112" t="s">
        <v>888</v>
      </c>
      <c r="U1060" s="63" t="s">
        <v>445</v>
      </c>
      <c r="V1060" s="81">
        <v>43125</v>
      </c>
      <c r="W1060" s="199">
        <v>11</v>
      </c>
      <c r="X1060" s="85" t="s">
        <v>2885</v>
      </c>
      <c r="Y1060" s="81">
        <v>43103</v>
      </c>
      <c r="Z1060" s="196">
        <v>33423500</v>
      </c>
      <c r="AA1060" s="84"/>
      <c r="AB1060" s="63">
        <v>160</v>
      </c>
      <c r="AC1060" s="81">
        <v>43105</v>
      </c>
      <c r="AD1060" s="196">
        <v>33423500</v>
      </c>
      <c r="AE1060" s="63"/>
      <c r="AF1060" s="63">
        <v>31</v>
      </c>
      <c r="AG1060" s="81">
        <v>43116</v>
      </c>
      <c r="AH1060" s="196">
        <v>33423500</v>
      </c>
      <c r="AI1060" s="84" t="s">
        <v>2886</v>
      </c>
      <c r="AJ1060" s="63">
        <v>16</v>
      </c>
      <c r="AK1060" s="63"/>
      <c r="AL1060" s="196">
        <f t="shared" ref="AL1060:AL1069" si="116">AH1060</f>
        <v>33423500</v>
      </c>
      <c r="AM1060" s="196">
        <f>+VLOOKUP(AF1060,'[2]CRP a 31 Agosto de 2018'!$J$8:$V$2956,13,0)</f>
        <v>19750250</v>
      </c>
      <c r="AN1060" s="196">
        <f t="shared" ref="AN1060:AN1069" si="117">AL1060-AM1060</f>
        <v>13673250</v>
      </c>
      <c r="AO1060" s="63"/>
      <c r="AP1060" s="63"/>
      <c r="AQ1060" s="63"/>
      <c r="AR1060" s="81">
        <v>43102</v>
      </c>
      <c r="AS1060" s="63" t="s">
        <v>2848</v>
      </c>
      <c r="AT1060" s="81">
        <v>43102</v>
      </c>
      <c r="AU1060" s="63" t="s">
        <v>2855</v>
      </c>
      <c r="AV1060" s="63"/>
      <c r="AW1060" s="63"/>
    </row>
    <row r="1061" spans="1:49" ht="409.6" thickTop="1" thickBot="1" x14ac:dyDescent="0.3">
      <c r="A1061" s="193">
        <v>13</v>
      </c>
      <c r="B1061" s="85" t="s">
        <v>2887</v>
      </c>
      <c r="C1061" s="105" t="s">
        <v>2834</v>
      </c>
      <c r="D1061" s="63" t="s">
        <v>714</v>
      </c>
      <c r="E1061" s="106" t="s">
        <v>2845</v>
      </c>
      <c r="F1061" s="63" t="s">
        <v>52</v>
      </c>
      <c r="G1061" s="63" t="s">
        <v>53</v>
      </c>
      <c r="H1061" s="111" t="s">
        <v>733</v>
      </c>
      <c r="I1061" s="63" t="s">
        <v>55</v>
      </c>
      <c r="J1061" s="106" t="s">
        <v>56</v>
      </c>
      <c r="K1061" s="106">
        <v>801116</v>
      </c>
      <c r="L1061" s="106" t="s">
        <v>2836</v>
      </c>
      <c r="M1061" s="106" t="s">
        <v>2837</v>
      </c>
      <c r="N1061" s="106" t="s">
        <v>2838</v>
      </c>
      <c r="O1061" s="106" t="s">
        <v>2839</v>
      </c>
      <c r="P1061" s="107" t="s">
        <v>2888</v>
      </c>
      <c r="Q1061" s="197">
        <v>3038500</v>
      </c>
      <c r="R1061" s="63">
        <v>1</v>
      </c>
      <c r="S1061" s="198">
        <v>33423500</v>
      </c>
      <c r="T1061" s="112" t="s">
        <v>928</v>
      </c>
      <c r="U1061" s="63" t="s">
        <v>445</v>
      </c>
      <c r="V1061" s="81">
        <v>43125</v>
      </c>
      <c r="W1061" s="199">
        <v>11</v>
      </c>
      <c r="X1061" s="85" t="s">
        <v>2889</v>
      </c>
      <c r="Y1061" s="81">
        <v>43103</v>
      </c>
      <c r="Z1061" s="196">
        <v>33423500</v>
      </c>
      <c r="AA1061" s="84"/>
      <c r="AB1061" s="63">
        <v>161</v>
      </c>
      <c r="AC1061" s="81">
        <v>43105</v>
      </c>
      <c r="AD1061" s="196">
        <v>33423500</v>
      </c>
      <c r="AE1061" s="63"/>
      <c r="AF1061" s="63">
        <v>416</v>
      </c>
      <c r="AG1061" s="81">
        <v>43124</v>
      </c>
      <c r="AH1061" s="196">
        <v>33423500</v>
      </c>
      <c r="AI1061" s="84" t="s">
        <v>2890</v>
      </c>
      <c r="AJ1061" s="63">
        <v>337</v>
      </c>
      <c r="AK1061" s="63"/>
      <c r="AL1061" s="196">
        <f t="shared" si="116"/>
        <v>33423500</v>
      </c>
      <c r="AM1061" s="196">
        <f>+VLOOKUP(AF1061,'[2]CRP a 31 Agosto de 2018'!$J$8:$V$2956,13,0)</f>
        <v>18838700</v>
      </c>
      <c r="AN1061" s="196">
        <f t="shared" si="117"/>
        <v>14584800</v>
      </c>
      <c r="AO1061" s="63"/>
      <c r="AP1061" s="63"/>
      <c r="AQ1061" s="63"/>
      <c r="AR1061" s="81">
        <v>43102</v>
      </c>
      <c r="AS1061" s="63" t="s">
        <v>2848</v>
      </c>
      <c r="AT1061" s="81">
        <v>43102</v>
      </c>
      <c r="AU1061" s="63" t="s">
        <v>2855</v>
      </c>
      <c r="AV1061" s="63"/>
      <c r="AW1061" s="63"/>
    </row>
    <row r="1062" spans="1:49" ht="409.6" thickTop="1" thickBot="1" x14ac:dyDescent="0.3">
      <c r="A1062" s="193">
        <v>14</v>
      </c>
      <c r="B1062" s="85" t="s">
        <v>2891</v>
      </c>
      <c r="C1062" s="105" t="s">
        <v>2834</v>
      </c>
      <c r="D1062" s="63" t="s">
        <v>714</v>
      </c>
      <c r="E1062" s="106" t="s">
        <v>2845</v>
      </c>
      <c r="F1062" s="63" t="s">
        <v>52</v>
      </c>
      <c r="G1062" s="63" t="s">
        <v>53</v>
      </c>
      <c r="H1062" s="111" t="s">
        <v>733</v>
      </c>
      <c r="I1062" s="63" t="s">
        <v>55</v>
      </c>
      <c r="J1062" s="106" t="s">
        <v>56</v>
      </c>
      <c r="K1062" s="106">
        <v>801116</v>
      </c>
      <c r="L1062" s="106" t="s">
        <v>2836</v>
      </c>
      <c r="M1062" s="106" t="s">
        <v>2837</v>
      </c>
      <c r="N1062" s="106" t="s">
        <v>2838</v>
      </c>
      <c r="O1062" s="106" t="s">
        <v>2839</v>
      </c>
      <c r="P1062" s="107" t="s">
        <v>2888</v>
      </c>
      <c r="Q1062" s="197">
        <v>3038500</v>
      </c>
      <c r="R1062" s="63">
        <v>1</v>
      </c>
      <c r="S1062" s="198">
        <v>33423500</v>
      </c>
      <c r="T1062" s="112" t="s">
        <v>928</v>
      </c>
      <c r="U1062" s="63" t="s">
        <v>445</v>
      </c>
      <c r="V1062" s="81">
        <v>43125</v>
      </c>
      <c r="W1062" s="199">
        <v>11</v>
      </c>
      <c r="X1062" s="85" t="s">
        <v>2892</v>
      </c>
      <c r="Y1062" s="81">
        <v>43103</v>
      </c>
      <c r="Z1062" s="196">
        <v>33423500</v>
      </c>
      <c r="AA1062" s="84"/>
      <c r="AB1062" s="63">
        <v>162</v>
      </c>
      <c r="AC1062" s="81">
        <v>43105</v>
      </c>
      <c r="AD1062" s="196">
        <v>33423500</v>
      </c>
      <c r="AE1062" s="63"/>
      <c r="AF1062" s="63">
        <v>211</v>
      </c>
      <c r="AG1062" s="81">
        <v>43118</v>
      </c>
      <c r="AH1062" s="196">
        <v>33423500</v>
      </c>
      <c r="AI1062" s="84" t="s">
        <v>2893</v>
      </c>
      <c r="AJ1062" s="63">
        <v>188</v>
      </c>
      <c r="AK1062" s="63"/>
      <c r="AL1062" s="196">
        <f t="shared" si="116"/>
        <v>33423500</v>
      </c>
      <c r="AM1062" s="196">
        <f>+VLOOKUP(AF1062,'[2]CRP a 31 Agosto de 2018'!$J$8:$V$2956,13,0)</f>
        <v>19446400</v>
      </c>
      <c r="AN1062" s="196">
        <f t="shared" si="117"/>
        <v>13977100</v>
      </c>
      <c r="AO1062" s="63"/>
      <c r="AP1062" s="63"/>
      <c r="AQ1062" s="63"/>
      <c r="AR1062" s="81">
        <v>43102</v>
      </c>
      <c r="AS1062" s="63" t="s">
        <v>2848</v>
      </c>
      <c r="AT1062" s="81">
        <v>43102</v>
      </c>
      <c r="AU1062" s="63" t="s">
        <v>2855</v>
      </c>
      <c r="AV1062" s="63"/>
      <c r="AW1062" s="63"/>
    </row>
    <row r="1063" spans="1:49" ht="409.6" thickTop="1" thickBot="1" x14ac:dyDescent="0.3">
      <c r="A1063" s="193">
        <v>15</v>
      </c>
      <c r="B1063" s="85" t="s">
        <v>2894</v>
      </c>
      <c r="C1063" s="105" t="s">
        <v>2834</v>
      </c>
      <c r="D1063" s="63" t="s">
        <v>714</v>
      </c>
      <c r="E1063" s="106" t="s">
        <v>2845</v>
      </c>
      <c r="F1063" s="63" t="s">
        <v>52</v>
      </c>
      <c r="G1063" s="63" t="s">
        <v>53</v>
      </c>
      <c r="H1063" s="111" t="s">
        <v>733</v>
      </c>
      <c r="I1063" s="63" t="s">
        <v>55</v>
      </c>
      <c r="J1063" s="106" t="s">
        <v>56</v>
      </c>
      <c r="K1063" s="106">
        <v>801116</v>
      </c>
      <c r="L1063" s="106" t="s">
        <v>2836</v>
      </c>
      <c r="M1063" s="106" t="s">
        <v>2837</v>
      </c>
      <c r="N1063" s="106" t="s">
        <v>2838</v>
      </c>
      <c r="O1063" s="106" t="s">
        <v>2839</v>
      </c>
      <c r="P1063" s="107" t="s">
        <v>2895</v>
      </c>
      <c r="Q1063" s="197">
        <v>4120000</v>
      </c>
      <c r="R1063" s="63">
        <v>1</v>
      </c>
      <c r="S1063" s="198">
        <v>45320000</v>
      </c>
      <c r="T1063" s="112" t="s">
        <v>888</v>
      </c>
      <c r="U1063" s="63" t="s">
        <v>445</v>
      </c>
      <c r="V1063" s="81">
        <v>43125</v>
      </c>
      <c r="W1063" s="199">
        <v>11</v>
      </c>
      <c r="X1063" s="85" t="s">
        <v>2896</v>
      </c>
      <c r="Y1063" s="81">
        <v>43103</v>
      </c>
      <c r="Z1063" s="196">
        <v>45320000</v>
      </c>
      <c r="AA1063" s="84"/>
      <c r="AB1063" s="63">
        <v>163</v>
      </c>
      <c r="AC1063" s="81">
        <v>43105</v>
      </c>
      <c r="AD1063" s="196">
        <v>45320000</v>
      </c>
      <c r="AE1063" s="63"/>
      <c r="AF1063" s="63">
        <v>137</v>
      </c>
      <c r="AG1063" s="81">
        <v>43117</v>
      </c>
      <c r="AH1063" s="196">
        <v>45320000</v>
      </c>
      <c r="AI1063" s="84" t="s">
        <v>2897</v>
      </c>
      <c r="AJ1063" s="63">
        <v>145</v>
      </c>
      <c r="AK1063" s="63"/>
      <c r="AL1063" s="196">
        <f t="shared" si="116"/>
        <v>45320000</v>
      </c>
      <c r="AM1063" s="196">
        <f>+VLOOKUP(AF1063,'[2]CRP a 31 Agosto de 2018'!$J$8:$V$2956,13,0)</f>
        <v>26505333</v>
      </c>
      <c r="AN1063" s="196">
        <f t="shared" si="117"/>
        <v>18814667</v>
      </c>
      <c r="AO1063" s="63"/>
      <c r="AP1063" s="63"/>
      <c r="AQ1063" s="63"/>
      <c r="AR1063" s="81">
        <v>43102</v>
      </c>
      <c r="AS1063" s="63" t="s">
        <v>2848</v>
      </c>
      <c r="AT1063" s="81">
        <v>43102</v>
      </c>
      <c r="AU1063" s="63" t="s">
        <v>2855</v>
      </c>
      <c r="AV1063" s="63"/>
      <c r="AW1063" s="63"/>
    </row>
    <row r="1064" spans="1:49" ht="409.6" thickTop="1" thickBot="1" x14ac:dyDescent="0.3">
      <c r="A1064" s="193">
        <v>16</v>
      </c>
      <c r="B1064" s="85" t="s">
        <v>2898</v>
      </c>
      <c r="C1064" s="105" t="s">
        <v>2834</v>
      </c>
      <c r="D1064" s="63" t="s">
        <v>714</v>
      </c>
      <c r="E1064" s="106" t="s">
        <v>2845</v>
      </c>
      <c r="F1064" s="63" t="s">
        <v>52</v>
      </c>
      <c r="G1064" s="63" t="s">
        <v>53</v>
      </c>
      <c r="H1064" s="111" t="s">
        <v>733</v>
      </c>
      <c r="I1064" s="63" t="s">
        <v>55</v>
      </c>
      <c r="J1064" s="106" t="s">
        <v>56</v>
      </c>
      <c r="K1064" s="106">
        <v>801116</v>
      </c>
      <c r="L1064" s="106" t="s">
        <v>2836</v>
      </c>
      <c r="M1064" s="106" t="s">
        <v>2837</v>
      </c>
      <c r="N1064" s="106" t="s">
        <v>2838</v>
      </c>
      <c r="O1064" s="106" t="s">
        <v>2839</v>
      </c>
      <c r="P1064" s="107" t="s">
        <v>2899</v>
      </c>
      <c r="Q1064" s="197">
        <v>3399000</v>
      </c>
      <c r="R1064" s="63">
        <v>1</v>
      </c>
      <c r="S1064" s="198">
        <v>37389000</v>
      </c>
      <c r="T1064" s="112" t="s">
        <v>888</v>
      </c>
      <c r="U1064" s="63" t="s">
        <v>445</v>
      </c>
      <c r="V1064" s="81">
        <v>43125</v>
      </c>
      <c r="W1064" s="199">
        <v>11</v>
      </c>
      <c r="X1064" s="85" t="s">
        <v>2900</v>
      </c>
      <c r="Y1064" s="81">
        <v>43103</v>
      </c>
      <c r="Z1064" s="196">
        <v>37389000</v>
      </c>
      <c r="AA1064" s="84"/>
      <c r="AB1064" s="63">
        <v>164</v>
      </c>
      <c r="AC1064" s="81">
        <v>43105</v>
      </c>
      <c r="AD1064" s="196">
        <v>37389000</v>
      </c>
      <c r="AE1064" s="63"/>
      <c r="AF1064" s="63">
        <v>28</v>
      </c>
      <c r="AG1064" s="81">
        <v>43116</v>
      </c>
      <c r="AH1064" s="196">
        <v>37389000</v>
      </c>
      <c r="AI1064" s="84" t="s">
        <v>2901</v>
      </c>
      <c r="AJ1064" s="63">
        <v>15</v>
      </c>
      <c r="AK1064" s="63"/>
      <c r="AL1064" s="196">
        <f t="shared" si="116"/>
        <v>37389000</v>
      </c>
      <c r="AM1064" s="196">
        <f>+VLOOKUP(AF1064,'[2]CRP a 31 Agosto de 2018'!$J$8:$V$2956,13,0)</f>
        <v>22093500</v>
      </c>
      <c r="AN1064" s="196">
        <f t="shared" si="117"/>
        <v>15295500</v>
      </c>
      <c r="AO1064" s="63"/>
      <c r="AP1064" s="63"/>
      <c r="AQ1064" s="63"/>
      <c r="AR1064" s="81">
        <v>43102</v>
      </c>
      <c r="AS1064" s="63" t="s">
        <v>2848</v>
      </c>
      <c r="AT1064" s="81">
        <v>43102</v>
      </c>
      <c r="AU1064" s="63" t="s">
        <v>2855</v>
      </c>
      <c r="AV1064" s="63"/>
      <c r="AW1064" s="63"/>
    </row>
    <row r="1065" spans="1:49" ht="409.6" thickTop="1" thickBot="1" x14ac:dyDescent="0.3">
      <c r="A1065" s="193">
        <v>17</v>
      </c>
      <c r="B1065" s="85" t="s">
        <v>2902</v>
      </c>
      <c r="C1065" s="105" t="s">
        <v>2834</v>
      </c>
      <c r="D1065" s="63" t="s">
        <v>714</v>
      </c>
      <c r="E1065" s="106" t="s">
        <v>2845</v>
      </c>
      <c r="F1065" s="63" t="s">
        <v>52</v>
      </c>
      <c r="G1065" s="63" t="s">
        <v>53</v>
      </c>
      <c r="H1065" s="111" t="s">
        <v>733</v>
      </c>
      <c r="I1065" s="63" t="s">
        <v>55</v>
      </c>
      <c r="J1065" s="106" t="s">
        <v>56</v>
      </c>
      <c r="K1065" s="106">
        <v>801116</v>
      </c>
      <c r="L1065" s="106" t="s">
        <v>2836</v>
      </c>
      <c r="M1065" s="106" t="s">
        <v>2837</v>
      </c>
      <c r="N1065" s="106" t="s">
        <v>2838</v>
      </c>
      <c r="O1065" s="106" t="s">
        <v>2839</v>
      </c>
      <c r="P1065" s="107" t="s">
        <v>2895</v>
      </c>
      <c r="Q1065" s="197">
        <v>4120000</v>
      </c>
      <c r="R1065" s="63">
        <v>1</v>
      </c>
      <c r="S1065" s="198">
        <v>45320000</v>
      </c>
      <c r="T1065" s="112" t="s">
        <v>888</v>
      </c>
      <c r="U1065" s="63" t="s">
        <v>445</v>
      </c>
      <c r="V1065" s="81">
        <v>43125</v>
      </c>
      <c r="W1065" s="199">
        <v>11</v>
      </c>
      <c r="X1065" s="85" t="s">
        <v>2903</v>
      </c>
      <c r="Y1065" s="81">
        <v>43103</v>
      </c>
      <c r="Z1065" s="196">
        <v>45320000</v>
      </c>
      <c r="AA1065" s="84"/>
      <c r="AB1065" s="63">
        <v>165</v>
      </c>
      <c r="AC1065" s="81">
        <v>43105</v>
      </c>
      <c r="AD1065" s="196">
        <v>45320000</v>
      </c>
      <c r="AE1065" s="63"/>
      <c r="AF1065" s="63">
        <v>200</v>
      </c>
      <c r="AG1065" s="81">
        <v>43118</v>
      </c>
      <c r="AH1065" s="196">
        <v>45320000</v>
      </c>
      <c r="AI1065" s="84" t="s">
        <v>2904</v>
      </c>
      <c r="AJ1065" s="63">
        <v>189</v>
      </c>
      <c r="AK1065" s="63"/>
      <c r="AL1065" s="196">
        <f t="shared" si="116"/>
        <v>45320000</v>
      </c>
      <c r="AM1065" s="196">
        <f>+VLOOKUP(AF1065,'[2]CRP a 31 Agosto de 2018'!$J$8:$V$2956,13,0)</f>
        <v>26368000</v>
      </c>
      <c r="AN1065" s="196">
        <f t="shared" si="117"/>
        <v>18952000</v>
      </c>
      <c r="AO1065" s="63"/>
      <c r="AP1065" s="63"/>
      <c r="AQ1065" s="63"/>
      <c r="AR1065" s="81">
        <v>43102</v>
      </c>
      <c r="AS1065" s="63" t="s">
        <v>2848</v>
      </c>
      <c r="AT1065" s="81">
        <v>43102</v>
      </c>
      <c r="AU1065" s="63" t="s">
        <v>2855</v>
      </c>
      <c r="AV1065" s="63"/>
      <c r="AW1065" s="63"/>
    </row>
    <row r="1066" spans="1:49" ht="409.6" thickTop="1" thickBot="1" x14ac:dyDescent="0.3">
      <c r="A1066" s="193">
        <v>18</v>
      </c>
      <c r="B1066" s="85" t="s">
        <v>2905</v>
      </c>
      <c r="C1066" s="105" t="s">
        <v>2834</v>
      </c>
      <c r="D1066" s="63" t="s">
        <v>714</v>
      </c>
      <c r="E1066" s="106" t="s">
        <v>2845</v>
      </c>
      <c r="F1066" s="63" t="s">
        <v>52</v>
      </c>
      <c r="G1066" s="63" t="s">
        <v>53</v>
      </c>
      <c r="H1066" s="111" t="s">
        <v>733</v>
      </c>
      <c r="I1066" s="63" t="s">
        <v>55</v>
      </c>
      <c r="J1066" s="106" t="s">
        <v>56</v>
      </c>
      <c r="K1066" s="106">
        <v>801116</v>
      </c>
      <c r="L1066" s="106" t="s">
        <v>2836</v>
      </c>
      <c r="M1066" s="106" t="s">
        <v>2837</v>
      </c>
      <c r="N1066" s="106" t="s">
        <v>2838</v>
      </c>
      <c r="O1066" s="106" t="s">
        <v>2839</v>
      </c>
      <c r="P1066" s="107" t="s">
        <v>2906</v>
      </c>
      <c r="Q1066" s="197">
        <v>6180000</v>
      </c>
      <c r="R1066" s="63">
        <v>1</v>
      </c>
      <c r="S1066" s="198">
        <v>67980000</v>
      </c>
      <c r="T1066" s="112" t="s">
        <v>888</v>
      </c>
      <c r="U1066" s="63" t="s">
        <v>445</v>
      </c>
      <c r="V1066" s="81">
        <v>43125</v>
      </c>
      <c r="W1066" s="199">
        <v>11</v>
      </c>
      <c r="X1066" s="85" t="s">
        <v>2907</v>
      </c>
      <c r="Y1066" s="81">
        <v>43103</v>
      </c>
      <c r="Z1066" s="196">
        <v>67980000</v>
      </c>
      <c r="AA1066" s="84"/>
      <c r="AB1066" s="63">
        <v>166</v>
      </c>
      <c r="AC1066" s="81">
        <v>43105</v>
      </c>
      <c r="AD1066" s="196">
        <v>67980000</v>
      </c>
      <c r="AE1066" s="63"/>
      <c r="AF1066" s="63">
        <v>266</v>
      </c>
      <c r="AG1066" s="81">
        <v>43119</v>
      </c>
      <c r="AH1066" s="196">
        <v>67980000</v>
      </c>
      <c r="AI1066" s="84" t="s">
        <v>2908</v>
      </c>
      <c r="AJ1066" s="63">
        <v>236</v>
      </c>
      <c r="AK1066" s="63"/>
      <c r="AL1066" s="196">
        <f t="shared" si="116"/>
        <v>67980000</v>
      </c>
      <c r="AM1066" s="196">
        <f>+VLOOKUP(AF1066,'[2]CRP a 31 Agosto de 2018'!$J$8:$V$2956,13,0)</f>
        <v>38728000</v>
      </c>
      <c r="AN1066" s="196">
        <f t="shared" si="117"/>
        <v>29252000</v>
      </c>
      <c r="AO1066" s="63"/>
      <c r="AP1066" s="63"/>
      <c r="AQ1066" s="63"/>
      <c r="AR1066" s="81">
        <v>43102</v>
      </c>
      <c r="AS1066" s="63" t="s">
        <v>2848</v>
      </c>
      <c r="AT1066" s="81">
        <v>43102</v>
      </c>
      <c r="AU1066" s="63" t="s">
        <v>2855</v>
      </c>
      <c r="AV1066" s="63"/>
      <c r="AW1066" s="63"/>
    </row>
    <row r="1067" spans="1:49" ht="409.6" thickTop="1" thickBot="1" x14ac:dyDescent="0.3">
      <c r="A1067" s="193">
        <v>19</v>
      </c>
      <c r="B1067" s="85" t="s">
        <v>2909</v>
      </c>
      <c r="C1067" s="105" t="s">
        <v>2834</v>
      </c>
      <c r="D1067" s="63" t="s">
        <v>714</v>
      </c>
      <c r="E1067" s="106" t="s">
        <v>2845</v>
      </c>
      <c r="F1067" s="63" t="s">
        <v>52</v>
      </c>
      <c r="G1067" s="63" t="s">
        <v>53</v>
      </c>
      <c r="H1067" s="111" t="s">
        <v>733</v>
      </c>
      <c r="I1067" s="63" t="s">
        <v>55</v>
      </c>
      <c r="J1067" s="106" t="s">
        <v>56</v>
      </c>
      <c r="K1067" s="106">
        <v>801116</v>
      </c>
      <c r="L1067" s="106" t="s">
        <v>2836</v>
      </c>
      <c r="M1067" s="106" t="s">
        <v>2837</v>
      </c>
      <c r="N1067" s="106" t="s">
        <v>2838</v>
      </c>
      <c r="O1067" s="106" t="s">
        <v>2839</v>
      </c>
      <c r="P1067" s="107" t="s">
        <v>2910</v>
      </c>
      <c r="Q1067" s="197">
        <v>2472000</v>
      </c>
      <c r="R1067" s="63">
        <v>1</v>
      </c>
      <c r="S1067" s="198">
        <v>27192000</v>
      </c>
      <c r="T1067" s="112" t="s">
        <v>888</v>
      </c>
      <c r="U1067" s="63" t="s">
        <v>445</v>
      </c>
      <c r="V1067" s="81">
        <v>43125</v>
      </c>
      <c r="W1067" s="199">
        <v>11</v>
      </c>
      <c r="X1067" s="85" t="s">
        <v>2911</v>
      </c>
      <c r="Y1067" s="81">
        <v>43103</v>
      </c>
      <c r="Z1067" s="196">
        <v>27192000</v>
      </c>
      <c r="AA1067" s="84"/>
      <c r="AB1067" s="63">
        <v>167</v>
      </c>
      <c r="AC1067" s="81">
        <v>43105</v>
      </c>
      <c r="AD1067" s="196">
        <v>27192000</v>
      </c>
      <c r="AE1067" s="63"/>
      <c r="AF1067" s="63">
        <v>63</v>
      </c>
      <c r="AG1067" s="81">
        <v>43116</v>
      </c>
      <c r="AH1067" s="196">
        <v>27192000</v>
      </c>
      <c r="AI1067" s="84" t="s">
        <v>2912</v>
      </c>
      <c r="AJ1067" s="63">
        <v>28</v>
      </c>
      <c r="AK1067" s="63"/>
      <c r="AL1067" s="196">
        <f t="shared" si="116"/>
        <v>27192000</v>
      </c>
      <c r="AM1067" s="196">
        <f>+VLOOKUP(AF1067,'[2]CRP a 31 Agosto de 2018'!$J$8:$V$2956,13,0)</f>
        <v>16068000</v>
      </c>
      <c r="AN1067" s="196">
        <f t="shared" si="117"/>
        <v>11124000</v>
      </c>
      <c r="AO1067" s="63"/>
      <c r="AP1067" s="63"/>
      <c r="AQ1067" s="63"/>
      <c r="AR1067" s="81">
        <v>43102</v>
      </c>
      <c r="AS1067" s="63" t="s">
        <v>2848</v>
      </c>
      <c r="AT1067" s="81">
        <v>43102</v>
      </c>
      <c r="AU1067" s="63" t="s">
        <v>2855</v>
      </c>
      <c r="AV1067" s="63"/>
      <c r="AW1067" s="63"/>
    </row>
    <row r="1068" spans="1:49" ht="409.6" thickTop="1" thickBot="1" x14ac:dyDescent="0.3">
      <c r="A1068" s="193">
        <v>20</v>
      </c>
      <c r="B1068" s="85" t="s">
        <v>2913</v>
      </c>
      <c r="C1068" s="105" t="s">
        <v>2834</v>
      </c>
      <c r="D1068" s="63" t="s">
        <v>714</v>
      </c>
      <c r="E1068" s="106" t="s">
        <v>2845</v>
      </c>
      <c r="F1068" s="63" t="s">
        <v>52</v>
      </c>
      <c r="G1068" s="63" t="s">
        <v>53</v>
      </c>
      <c r="H1068" s="111" t="s">
        <v>733</v>
      </c>
      <c r="I1068" s="63" t="s">
        <v>55</v>
      </c>
      <c r="J1068" s="106" t="s">
        <v>56</v>
      </c>
      <c r="K1068" s="106">
        <v>801116</v>
      </c>
      <c r="L1068" s="106" t="s">
        <v>2836</v>
      </c>
      <c r="M1068" s="106" t="s">
        <v>2837</v>
      </c>
      <c r="N1068" s="106" t="s">
        <v>2838</v>
      </c>
      <c r="O1068" s="106" t="s">
        <v>2839</v>
      </c>
      <c r="P1068" s="107" t="s">
        <v>2914</v>
      </c>
      <c r="Q1068" s="197">
        <v>1545000</v>
      </c>
      <c r="R1068" s="63">
        <v>1</v>
      </c>
      <c r="S1068" s="198">
        <v>16995000</v>
      </c>
      <c r="T1068" s="112" t="s">
        <v>928</v>
      </c>
      <c r="U1068" s="63" t="s">
        <v>445</v>
      </c>
      <c r="V1068" s="81">
        <v>43125</v>
      </c>
      <c r="W1068" s="199">
        <v>11</v>
      </c>
      <c r="X1068" s="85" t="s">
        <v>2915</v>
      </c>
      <c r="Y1068" s="81">
        <v>43103</v>
      </c>
      <c r="Z1068" s="196">
        <v>16995000</v>
      </c>
      <c r="AA1068" s="84"/>
      <c r="AB1068" s="63">
        <v>168</v>
      </c>
      <c r="AC1068" s="81">
        <v>43105</v>
      </c>
      <c r="AD1068" s="196">
        <v>16995000</v>
      </c>
      <c r="AE1068" s="63"/>
      <c r="AF1068" s="63">
        <v>108</v>
      </c>
      <c r="AG1068" s="81">
        <v>43116</v>
      </c>
      <c r="AH1068" s="196">
        <v>16995000</v>
      </c>
      <c r="AI1068" s="84" t="s">
        <v>2916</v>
      </c>
      <c r="AJ1068" s="63">
        <v>71</v>
      </c>
      <c r="AK1068" s="63"/>
      <c r="AL1068" s="196">
        <f t="shared" si="116"/>
        <v>16995000</v>
      </c>
      <c r="AM1068" s="196">
        <f>+VLOOKUP(AF1068,'[2]CRP a 31 Agosto de 2018'!$J$8:$V$2956,13,0)</f>
        <v>8446000</v>
      </c>
      <c r="AN1068" s="196">
        <f t="shared" si="117"/>
        <v>8549000</v>
      </c>
      <c r="AO1068" s="63"/>
      <c r="AP1068" s="63"/>
      <c r="AQ1068" s="63"/>
      <c r="AR1068" s="81">
        <v>43102</v>
      </c>
      <c r="AS1068" s="63" t="s">
        <v>2848</v>
      </c>
      <c r="AT1068" s="81">
        <v>43102</v>
      </c>
      <c r="AU1068" s="63" t="s">
        <v>2855</v>
      </c>
      <c r="AV1068" s="63"/>
      <c r="AW1068" s="63"/>
    </row>
    <row r="1069" spans="1:49" ht="409.6" thickTop="1" thickBot="1" x14ac:dyDescent="0.3">
      <c r="A1069" s="193">
        <v>21</v>
      </c>
      <c r="B1069" s="85" t="s">
        <v>2917</v>
      </c>
      <c r="C1069" s="105" t="s">
        <v>2834</v>
      </c>
      <c r="D1069" s="63" t="s">
        <v>714</v>
      </c>
      <c r="E1069" s="106" t="s">
        <v>2845</v>
      </c>
      <c r="F1069" s="63" t="s">
        <v>52</v>
      </c>
      <c r="G1069" s="63" t="s">
        <v>53</v>
      </c>
      <c r="H1069" s="111" t="s">
        <v>733</v>
      </c>
      <c r="I1069" s="63" t="s">
        <v>55</v>
      </c>
      <c r="J1069" s="106" t="s">
        <v>56</v>
      </c>
      <c r="K1069" s="106">
        <v>801116</v>
      </c>
      <c r="L1069" s="106" t="s">
        <v>2836</v>
      </c>
      <c r="M1069" s="106" t="s">
        <v>2837</v>
      </c>
      <c r="N1069" s="106" t="s">
        <v>2838</v>
      </c>
      <c r="O1069" s="106" t="s">
        <v>2839</v>
      </c>
      <c r="P1069" s="107" t="s">
        <v>2914</v>
      </c>
      <c r="Q1069" s="197">
        <v>1545000</v>
      </c>
      <c r="R1069" s="63">
        <v>1</v>
      </c>
      <c r="S1069" s="198">
        <v>16995000</v>
      </c>
      <c r="T1069" s="112" t="s">
        <v>928</v>
      </c>
      <c r="U1069" s="63" t="s">
        <v>445</v>
      </c>
      <c r="V1069" s="81">
        <v>43125</v>
      </c>
      <c r="W1069" s="199">
        <v>11</v>
      </c>
      <c r="X1069" s="85" t="s">
        <v>2918</v>
      </c>
      <c r="Y1069" s="81">
        <v>43103</v>
      </c>
      <c r="Z1069" s="196">
        <v>16995000</v>
      </c>
      <c r="AA1069" s="84"/>
      <c r="AB1069" s="63">
        <v>169</v>
      </c>
      <c r="AC1069" s="81">
        <v>43105</v>
      </c>
      <c r="AD1069" s="196">
        <v>16995000</v>
      </c>
      <c r="AE1069" s="63"/>
      <c r="AF1069" s="63">
        <v>78</v>
      </c>
      <c r="AG1069" s="81">
        <v>43116</v>
      </c>
      <c r="AH1069" s="196">
        <v>16995000</v>
      </c>
      <c r="AI1069" s="84" t="s">
        <v>2919</v>
      </c>
      <c r="AJ1069" s="63">
        <v>67</v>
      </c>
      <c r="AK1069" s="63"/>
      <c r="AL1069" s="196">
        <f t="shared" si="116"/>
        <v>16995000</v>
      </c>
      <c r="AM1069" s="196">
        <f>+VLOOKUP(AF1069,'[2]CRP a 31 Agosto de 2018'!$J$8:$V$2956,13,0)</f>
        <v>6901000</v>
      </c>
      <c r="AN1069" s="196">
        <f t="shared" si="117"/>
        <v>10094000</v>
      </c>
      <c r="AO1069" s="63"/>
      <c r="AP1069" s="63"/>
      <c r="AQ1069" s="63"/>
      <c r="AR1069" s="81">
        <v>43102</v>
      </c>
      <c r="AS1069" s="63" t="s">
        <v>2848</v>
      </c>
      <c r="AT1069" s="81">
        <v>43102</v>
      </c>
      <c r="AU1069" s="63" t="s">
        <v>2855</v>
      </c>
      <c r="AV1069" s="63"/>
      <c r="AW1069" s="63"/>
    </row>
    <row r="1070" spans="1:49" ht="300.75" thickTop="1" thickBot="1" x14ac:dyDescent="0.3">
      <c r="A1070" s="193">
        <v>22</v>
      </c>
      <c r="B1070" s="85" t="s">
        <v>2920</v>
      </c>
      <c r="C1070" s="105" t="s">
        <v>2834</v>
      </c>
      <c r="D1070" s="63" t="s">
        <v>714</v>
      </c>
      <c r="E1070" s="106" t="s">
        <v>2843</v>
      </c>
      <c r="F1070" s="63" t="s">
        <v>52</v>
      </c>
      <c r="G1070" s="63" t="s">
        <v>53</v>
      </c>
      <c r="H1070" s="111" t="s">
        <v>733</v>
      </c>
      <c r="I1070" s="63" t="s">
        <v>55</v>
      </c>
      <c r="J1070" s="106" t="s">
        <v>56</v>
      </c>
      <c r="K1070" s="106">
        <v>801116</v>
      </c>
      <c r="L1070" s="106" t="s">
        <v>2836</v>
      </c>
      <c r="M1070" s="106" t="s">
        <v>2837</v>
      </c>
      <c r="N1070" s="106" t="s">
        <v>2838</v>
      </c>
      <c r="O1070" s="106" t="s">
        <v>2839</v>
      </c>
      <c r="P1070" s="107" t="s">
        <v>2921</v>
      </c>
      <c r="Q1070" s="197">
        <v>1500000</v>
      </c>
      <c r="R1070" s="63">
        <v>1</v>
      </c>
      <c r="S1070" s="198">
        <v>3000000</v>
      </c>
      <c r="T1070" s="112" t="s">
        <v>928</v>
      </c>
      <c r="U1070" s="63" t="s">
        <v>445</v>
      </c>
      <c r="V1070" s="81">
        <v>43125</v>
      </c>
      <c r="W1070" s="199">
        <v>2</v>
      </c>
      <c r="X1070" s="85" t="s">
        <v>2922</v>
      </c>
      <c r="Y1070" s="81">
        <v>43103</v>
      </c>
      <c r="Z1070" s="196">
        <v>3000000</v>
      </c>
      <c r="AA1070" s="84"/>
      <c r="AB1070" s="63">
        <v>170</v>
      </c>
      <c r="AC1070" s="81">
        <v>43105</v>
      </c>
      <c r="AD1070" s="196">
        <v>3000000</v>
      </c>
      <c r="AE1070" s="63"/>
      <c r="AF1070" s="63">
        <v>1776</v>
      </c>
      <c r="AG1070" s="81">
        <v>43202</v>
      </c>
      <c r="AH1070" s="196">
        <v>3000000</v>
      </c>
      <c r="AI1070" s="84" t="s">
        <v>2923</v>
      </c>
      <c r="AJ1070" s="63">
        <v>145</v>
      </c>
      <c r="AK1070" s="63"/>
      <c r="AL1070" s="196">
        <v>3000000</v>
      </c>
      <c r="AM1070" s="196">
        <f>+VLOOKUP(AF1070,'[2]CRP a 31 Agosto de 2018'!$J$8:$V$2956,13,0)</f>
        <v>3000000</v>
      </c>
      <c r="AN1070" s="196">
        <f>+AL1070-AM1070</f>
        <v>0</v>
      </c>
      <c r="AO1070" s="63"/>
      <c r="AP1070" s="63"/>
      <c r="AQ1070" s="63"/>
      <c r="AR1070" s="81">
        <v>43102</v>
      </c>
      <c r="AS1070" s="63" t="s">
        <v>2848</v>
      </c>
      <c r="AT1070" s="81">
        <v>43102</v>
      </c>
      <c r="AU1070" s="63" t="s">
        <v>2924</v>
      </c>
      <c r="AV1070" s="63"/>
      <c r="AW1070" s="63"/>
    </row>
    <row r="1071" spans="1:49" ht="300.75" thickTop="1" thickBot="1" x14ac:dyDescent="0.3">
      <c r="A1071" s="193">
        <v>23</v>
      </c>
      <c r="B1071" s="85" t="s">
        <v>2925</v>
      </c>
      <c r="C1071" s="105" t="s">
        <v>2834</v>
      </c>
      <c r="D1071" s="63" t="s">
        <v>714</v>
      </c>
      <c r="E1071" s="106" t="s">
        <v>2843</v>
      </c>
      <c r="F1071" s="63" t="s">
        <v>52</v>
      </c>
      <c r="G1071" s="63" t="s">
        <v>53</v>
      </c>
      <c r="H1071" s="111" t="s">
        <v>733</v>
      </c>
      <c r="I1071" s="63" t="s">
        <v>55</v>
      </c>
      <c r="J1071" s="106" t="s">
        <v>56</v>
      </c>
      <c r="K1071" s="106">
        <v>801116</v>
      </c>
      <c r="L1071" s="106" t="s">
        <v>2836</v>
      </c>
      <c r="M1071" s="106" t="s">
        <v>2837</v>
      </c>
      <c r="N1071" s="106" t="s">
        <v>2838</v>
      </c>
      <c r="O1071" s="106" t="s">
        <v>2839</v>
      </c>
      <c r="P1071" s="107" t="s">
        <v>2914</v>
      </c>
      <c r="Q1071" s="197">
        <v>1545000</v>
      </c>
      <c r="R1071" s="63">
        <v>1</v>
      </c>
      <c r="S1071" s="198">
        <f>9270000-1545000</f>
        <v>7725000</v>
      </c>
      <c r="T1071" s="112" t="s">
        <v>928</v>
      </c>
      <c r="U1071" s="63" t="s">
        <v>445</v>
      </c>
      <c r="V1071" s="81">
        <v>43125</v>
      </c>
      <c r="W1071" s="199">
        <v>5</v>
      </c>
      <c r="X1071" s="85" t="s">
        <v>2926</v>
      </c>
      <c r="Y1071" s="81">
        <v>43277</v>
      </c>
      <c r="Z1071" s="196">
        <v>7725000</v>
      </c>
      <c r="AA1071" s="84"/>
      <c r="AB1071" s="63">
        <v>929</v>
      </c>
      <c r="AC1071" s="81">
        <v>43279</v>
      </c>
      <c r="AD1071" s="196">
        <v>7725000</v>
      </c>
      <c r="AE1071" s="63"/>
      <c r="AF1071" s="63">
        <v>2512</v>
      </c>
      <c r="AG1071" s="81">
        <v>43300</v>
      </c>
      <c r="AH1071" s="196">
        <v>7725000</v>
      </c>
      <c r="AI1071" s="84" t="s">
        <v>2927</v>
      </c>
      <c r="AJ1071" s="63">
        <v>449</v>
      </c>
      <c r="AK1071" s="63"/>
      <c r="AL1071" s="196">
        <v>7725000</v>
      </c>
      <c r="AM1071" s="196">
        <f>+VLOOKUP(AF1071,'[2]CRP a 31 Agosto de 2018'!$J$8:$V$2956,13,0)</f>
        <v>618000</v>
      </c>
      <c r="AN1071" s="196">
        <f>+AL1071-AM1071</f>
        <v>7107000</v>
      </c>
      <c r="AO1071" s="63"/>
      <c r="AP1071" s="63"/>
      <c r="AQ1071" s="63"/>
      <c r="AR1071" s="63"/>
      <c r="AS1071" s="63"/>
      <c r="AT1071" s="63"/>
      <c r="AU1071" s="63"/>
      <c r="AV1071" s="63"/>
      <c r="AW1071" s="63"/>
    </row>
    <row r="1072" spans="1:49" ht="409.6" thickTop="1" thickBot="1" x14ac:dyDescent="0.3">
      <c r="A1072" s="193">
        <v>24</v>
      </c>
      <c r="B1072" s="85" t="s">
        <v>2928</v>
      </c>
      <c r="C1072" s="105" t="s">
        <v>2834</v>
      </c>
      <c r="D1072" s="63" t="s">
        <v>714</v>
      </c>
      <c r="E1072" s="106" t="s">
        <v>2845</v>
      </c>
      <c r="F1072" s="63" t="s">
        <v>52</v>
      </c>
      <c r="G1072" s="63" t="s">
        <v>53</v>
      </c>
      <c r="H1072" s="111" t="s">
        <v>733</v>
      </c>
      <c r="I1072" s="63" t="s">
        <v>55</v>
      </c>
      <c r="J1072" s="106" t="s">
        <v>56</v>
      </c>
      <c r="K1072" s="106">
        <v>801116</v>
      </c>
      <c r="L1072" s="106" t="s">
        <v>2836</v>
      </c>
      <c r="M1072" s="106" t="s">
        <v>2837</v>
      </c>
      <c r="N1072" s="106" t="s">
        <v>2838</v>
      </c>
      <c r="O1072" s="106" t="s">
        <v>2839</v>
      </c>
      <c r="P1072" s="107" t="s">
        <v>2910</v>
      </c>
      <c r="Q1072" s="197">
        <v>3038500</v>
      </c>
      <c r="R1072" s="63">
        <v>1</v>
      </c>
      <c r="S1072" s="198">
        <v>33423500</v>
      </c>
      <c r="T1072" s="112" t="s">
        <v>928</v>
      </c>
      <c r="U1072" s="63" t="s">
        <v>445</v>
      </c>
      <c r="V1072" s="81">
        <v>43125</v>
      </c>
      <c r="W1072" s="199">
        <v>11</v>
      </c>
      <c r="X1072" s="85" t="s">
        <v>2929</v>
      </c>
      <c r="Y1072" s="81">
        <v>43103</v>
      </c>
      <c r="Z1072" s="196">
        <v>33423500</v>
      </c>
      <c r="AA1072" s="84"/>
      <c r="AB1072" s="63">
        <v>171</v>
      </c>
      <c r="AC1072" s="81">
        <v>43105</v>
      </c>
      <c r="AD1072" s="196">
        <v>33423500</v>
      </c>
      <c r="AE1072" s="63"/>
      <c r="AF1072" s="63">
        <v>7</v>
      </c>
      <c r="AG1072" s="81">
        <v>43112</v>
      </c>
      <c r="AH1072" s="196">
        <v>33423500</v>
      </c>
      <c r="AI1072" s="84" t="s">
        <v>2930</v>
      </c>
      <c r="AJ1072" s="63">
        <v>3</v>
      </c>
      <c r="AK1072" s="63"/>
      <c r="AL1072" s="196">
        <f>AH1072</f>
        <v>33423500</v>
      </c>
      <c r="AM1072" s="196">
        <f>+VLOOKUP(AF1072,'[2]CRP a 31 Agosto de 2018'!$J$8:$V$2956,13,0)</f>
        <v>20155383</v>
      </c>
      <c r="AN1072" s="196">
        <f>AL1072-AM1072</f>
        <v>13268117</v>
      </c>
      <c r="AO1072" s="63"/>
      <c r="AP1072" s="63"/>
      <c r="AQ1072" s="63"/>
      <c r="AR1072" s="81">
        <v>43102</v>
      </c>
      <c r="AS1072" s="63" t="s">
        <v>2848</v>
      </c>
      <c r="AT1072" s="81">
        <v>43102</v>
      </c>
      <c r="AU1072" s="63" t="s">
        <v>2855</v>
      </c>
      <c r="AV1072" s="63"/>
      <c r="AW1072" s="63"/>
    </row>
    <row r="1073" spans="1:49" ht="409.6" thickTop="1" thickBot="1" x14ac:dyDescent="0.3">
      <c r="A1073" s="193">
        <v>25</v>
      </c>
      <c r="B1073" s="85" t="s">
        <v>2931</v>
      </c>
      <c r="C1073" s="105" t="s">
        <v>2834</v>
      </c>
      <c r="D1073" s="63" t="s">
        <v>714</v>
      </c>
      <c r="E1073" s="106" t="s">
        <v>2845</v>
      </c>
      <c r="F1073" s="63" t="s">
        <v>52</v>
      </c>
      <c r="G1073" s="63" t="s">
        <v>53</v>
      </c>
      <c r="H1073" s="111" t="s">
        <v>733</v>
      </c>
      <c r="I1073" s="63" t="s">
        <v>55</v>
      </c>
      <c r="J1073" s="106" t="s">
        <v>56</v>
      </c>
      <c r="K1073" s="106">
        <v>801116</v>
      </c>
      <c r="L1073" s="106" t="s">
        <v>2836</v>
      </c>
      <c r="M1073" s="106" t="s">
        <v>2837</v>
      </c>
      <c r="N1073" s="106" t="s">
        <v>2838</v>
      </c>
      <c r="O1073" s="106" t="s">
        <v>2839</v>
      </c>
      <c r="P1073" s="107" t="s">
        <v>2910</v>
      </c>
      <c r="Q1073" s="197">
        <v>2472000</v>
      </c>
      <c r="R1073" s="63">
        <v>1</v>
      </c>
      <c r="S1073" s="198">
        <v>27192000</v>
      </c>
      <c r="T1073" s="112" t="s">
        <v>928</v>
      </c>
      <c r="U1073" s="63" t="s">
        <v>445</v>
      </c>
      <c r="V1073" s="81">
        <v>43125</v>
      </c>
      <c r="W1073" s="199">
        <v>11</v>
      </c>
      <c r="X1073" s="85" t="s">
        <v>2932</v>
      </c>
      <c r="Y1073" s="81">
        <v>43103</v>
      </c>
      <c r="Z1073" s="196">
        <v>27192000</v>
      </c>
      <c r="AA1073" s="84"/>
      <c r="AB1073" s="63">
        <v>172</v>
      </c>
      <c r="AC1073" s="81">
        <v>43105</v>
      </c>
      <c r="AD1073" s="196">
        <v>27192000</v>
      </c>
      <c r="AE1073" s="63"/>
      <c r="AF1073" s="63">
        <v>399</v>
      </c>
      <c r="AG1073" s="81">
        <v>43124</v>
      </c>
      <c r="AH1073" s="196">
        <v>27192000</v>
      </c>
      <c r="AI1073" s="84" t="s">
        <v>2933</v>
      </c>
      <c r="AJ1073" s="63">
        <v>320</v>
      </c>
      <c r="AK1073" s="63"/>
      <c r="AL1073" s="196">
        <f t="shared" ref="AL1073:AL1082" si="118">AH1073</f>
        <v>27192000</v>
      </c>
      <c r="AM1073" s="196">
        <f>+VLOOKUP(AF1073,'[2]CRP a 31 Agosto de 2018'!$J$8:$V$2956,13,0)</f>
        <v>15408800</v>
      </c>
      <c r="AN1073" s="196">
        <f>AL1073-AM1073</f>
        <v>11783200</v>
      </c>
      <c r="AO1073" s="63"/>
      <c r="AP1073" s="63"/>
      <c r="AQ1073" s="63"/>
      <c r="AR1073" s="81">
        <v>43102</v>
      </c>
      <c r="AS1073" s="63" t="s">
        <v>2848</v>
      </c>
      <c r="AT1073" s="81">
        <v>43102</v>
      </c>
      <c r="AU1073" s="63" t="s">
        <v>2855</v>
      </c>
      <c r="AV1073" s="63"/>
      <c r="AW1073" s="63"/>
    </row>
    <row r="1074" spans="1:49" ht="357.75" thickTop="1" thickBot="1" x14ac:dyDescent="0.3">
      <c r="A1074" s="193">
        <v>26</v>
      </c>
      <c r="B1074" s="85" t="s">
        <v>2934</v>
      </c>
      <c r="C1074" s="105" t="s">
        <v>2834</v>
      </c>
      <c r="D1074" s="63" t="s">
        <v>714</v>
      </c>
      <c r="E1074" s="106" t="s">
        <v>2835</v>
      </c>
      <c r="F1074" s="63" t="s">
        <v>52</v>
      </c>
      <c r="G1074" s="63" t="s">
        <v>53</v>
      </c>
      <c r="H1074" s="111" t="s">
        <v>733</v>
      </c>
      <c r="I1074" s="63" t="s">
        <v>55</v>
      </c>
      <c r="J1074" s="106" t="s">
        <v>56</v>
      </c>
      <c r="K1074" s="106">
        <v>801116</v>
      </c>
      <c r="L1074" s="106" t="s">
        <v>2836</v>
      </c>
      <c r="M1074" s="106" t="s">
        <v>2837</v>
      </c>
      <c r="N1074" s="106" t="s">
        <v>2838</v>
      </c>
      <c r="O1074" s="106" t="s">
        <v>2839</v>
      </c>
      <c r="P1074" s="107" t="s">
        <v>2914</v>
      </c>
      <c r="Q1074" s="197">
        <v>1545000</v>
      </c>
      <c r="R1074" s="63">
        <v>1</v>
      </c>
      <c r="S1074" s="198">
        <v>16995000</v>
      </c>
      <c r="T1074" s="112" t="s">
        <v>888</v>
      </c>
      <c r="U1074" s="63" t="s">
        <v>445</v>
      </c>
      <c r="V1074" s="81">
        <v>43125</v>
      </c>
      <c r="W1074" s="199">
        <v>11</v>
      </c>
      <c r="X1074" s="85" t="s">
        <v>2935</v>
      </c>
      <c r="Y1074" s="81">
        <v>43103</v>
      </c>
      <c r="Z1074" s="196">
        <v>16995000</v>
      </c>
      <c r="AA1074" s="84"/>
      <c r="AB1074" s="63">
        <v>173</v>
      </c>
      <c r="AC1074" s="81">
        <v>43105</v>
      </c>
      <c r="AD1074" s="196">
        <v>16995000</v>
      </c>
      <c r="AE1074" s="63"/>
      <c r="AF1074" s="63">
        <v>66</v>
      </c>
      <c r="AG1074" s="81">
        <v>43116</v>
      </c>
      <c r="AH1074" s="196">
        <v>16995000</v>
      </c>
      <c r="AI1074" s="84" t="s">
        <v>2936</v>
      </c>
      <c r="AJ1074" s="63">
        <v>31</v>
      </c>
      <c r="AK1074" s="63"/>
      <c r="AL1074" s="196">
        <f t="shared" si="118"/>
        <v>16995000</v>
      </c>
      <c r="AM1074" s="196">
        <f>+VLOOKUP(AF1074,'[2]CRP a 31 Agosto de 2018'!$J$8:$V$2956,13,0)</f>
        <v>10042500</v>
      </c>
      <c r="AN1074" s="196">
        <f>AL1074-AM1074</f>
        <v>6952500</v>
      </c>
      <c r="AO1074" s="63"/>
      <c r="AP1074" s="63"/>
      <c r="AQ1074" s="63"/>
      <c r="AR1074" s="81">
        <v>43102</v>
      </c>
      <c r="AS1074" s="63" t="s">
        <v>2848</v>
      </c>
      <c r="AT1074" s="81">
        <v>43102</v>
      </c>
      <c r="AU1074" s="63" t="s">
        <v>2855</v>
      </c>
      <c r="AV1074" s="63"/>
      <c r="AW1074" s="63"/>
    </row>
    <row r="1075" spans="1:49" ht="409.6" thickTop="1" thickBot="1" x14ac:dyDescent="0.3">
      <c r="A1075" s="193">
        <v>27</v>
      </c>
      <c r="B1075" s="85" t="s">
        <v>2937</v>
      </c>
      <c r="C1075" s="105" t="s">
        <v>2834</v>
      </c>
      <c r="D1075" s="63" t="s">
        <v>714</v>
      </c>
      <c r="E1075" s="106" t="s">
        <v>2845</v>
      </c>
      <c r="F1075" s="63" t="s">
        <v>52</v>
      </c>
      <c r="G1075" s="63" t="s">
        <v>53</v>
      </c>
      <c r="H1075" s="111" t="s">
        <v>733</v>
      </c>
      <c r="I1075" s="63" t="s">
        <v>55</v>
      </c>
      <c r="J1075" s="106" t="s">
        <v>56</v>
      </c>
      <c r="K1075" s="106">
        <v>801116</v>
      </c>
      <c r="L1075" s="106" t="s">
        <v>2836</v>
      </c>
      <c r="M1075" s="106" t="s">
        <v>2837</v>
      </c>
      <c r="N1075" s="106" t="s">
        <v>2838</v>
      </c>
      <c r="O1075" s="106" t="s">
        <v>2839</v>
      </c>
      <c r="P1075" s="107" t="s">
        <v>2938</v>
      </c>
      <c r="Q1075" s="197">
        <v>1545000</v>
      </c>
      <c r="R1075" s="63">
        <v>1</v>
      </c>
      <c r="S1075" s="198">
        <v>16995000</v>
      </c>
      <c r="T1075" s="112" t="s">
        <v>888</v>
      </c>
      <c r="U1075" s="63" t="s">
        <v>445</v>
      </c>
      <c r="V1075" s="81">
        <v>43125</v>
      </c>
      <c r="W1075" s="199">
        <v>11</v>
      </c>
      <c r="X1075" s="85" t="s">
        <v>2939</v>
      </c>
      <c r="Y1075" s="81">
        <v>43103</v>
      </c>
      <c r="Z1075" s="196">
        <v>16995000</v>
      </c>
      <c r="AA1075" s="84"/>
      <c r="AB1075" s="63">
        <v>174</v>
      </c>
      <c r="AC1075" s="81">
        <v>43105</v>
      </c>
      <c r="AD1075" s="196">
        <v>16995000</v>
      </c>
      <c r="AE1075" s="63"/>
      <c r="AF1075" s="63">
        <v>169</v>
      </c>
      <c r="AG1075" s="81">
        <v>43118</v>
      </c>
      <c r="AH1075" s="196">
        <v>16995000</v>
      </c>
      <c r="AI1075" s="84" t="s">
        <v>2940</v>
      </c>
      <c r="AJ1075" s="63">
        <v>140</v>
      </c>
      <c r="AK1075" s="63"/>
      <c r="AL1075" s="196">
        <f t="shared" si="118"/>
        <v>16995000</v>
      </c>
      <c r="AM1075" s="196">
        <f>+VLOOKUP(AF1075,'[2]CRP a 31 Agosto de 2018'!$J$8:$V$2956,13,0)</f>
        <v>9888000</v>
      </c>
      <c r="AN1075" s="196">
        <f>AL1075-AM1075</f>
        <v>7107000</v>
      </c>
      <c r="AO1075" s="63"/>
      <c r="AP1075" s="63"/>
      <c r="AQ1075" s="63"/>
      <c r="AR1075" s="81">
        <v>43102</v>
      </c>
      <c r="AS1075" s="63" t="s">
        <v>2848</v>
      </c>
      <c r="AT1075" s="81">
        <v>43102</v>
      </c>
      <c r="AU1075" s="63" t="s">
        <v>2855</v>
      </c>
      <c r="AV1075" s="63"/>
      <c r="AW1075" s="63"/>
    </row>
    <row r="1076" spans="1:49" ht="409.6" thickTop="1" thickBot="1" x14ac:dyDescent="0.3">
      <c r="A1076" s="193">
        <v>28</v>
      </c>
      <c r="B1076" s="85" t="s">
        <v>2941</v>
      </c>
      <c r="C1076" s="105" t="s">
        <v>2834</v>
      </c>
      <c r="D1076" s="63" t="s">
        <v>714</v>
      </c>
      <c r="E1076" s="106" t="s">
        <v>2845</v>
      </c>
      <c r="F1076" s="63" t="s">
        <v>52</v>
      </c>
      <c r="G1076" s="63" t="s">
        <v>53</v>
      </c>
      <c r="H1076" s="111" t="s">
        <v>733</v>
      </c>
      <c r="I1076" s="63" t="s">
        <v>55</v>
      </c>
      <c r="J1076" s="106" t="s">
        <v>56</v>
      </c>
      <c r="K1076" s="106">
        <v>801116</v>
      </c>
      <c r="L1076" s="106" t="s">
        <v>2836</v>
      </c>
      <c r="M1076" s="106" t="s">
        <v>2837</v>
      </c>
      <c r="N1076" s="106" t="s">
        <v>2838</v>
      </c>
      <c r="O1076" s="106" t="s">
        <v>2839</v>
      </c>
      <c r="P1076" s="107" t="s">
        <v>2942</v>
      </c>
      <c r="Q1076" s="197">
        <v>7210000</v>
      </c>
      <c r="R1076" s="63">
        <v>1</v>
      </c>
      <c r="S1076" s="198">
        <v>79310000</v>
      </c>
      <c r="T1076" s="112" t="s">
        <v>888</v>
      </c>
      <c r="U1076" s="63" t="s">
        <v>445</v>
      </c>
      <c r="V1076" s="81">
        <v>43125</v>
      </c>
      <c r="W1076" s="199">
        <v>11</v>
      </c>
      <c r="X1076" s="85" t="s">
        <v>2943</v>
      </c>
      <c r="Y1076" s="81">
        <v>43103</v>
      </c>
      <c r="Z1076" s="196">
        <v>79310000</v>
      </c>
      <c r="AA1076" s="84"/>
      <c r="AB1076" s="63">
        <v>175</v>
      </c>
      <c r="AC1076" s="81">
        <v>43105</v>
      </c>
      <c r="AD1076" s="196">
        <v>79310000</v>
      </c>
      <c r="AE1076" s="63"/>
      <c r="AF1076" s="63">
        <v>64</v>
      </c>
      <c r="AG1076" s="81">
        <v>43116</v>
      </c>
      <c r="AH1076" s="196">
        <v>79310000</v>
      </c>
      <c r="AI1076" s="84" t="s">
        <v>2944</v>
      </c>
      <c r="AJ1076" s="63">
        <v>29</v>
      </c>
      <c r="AK1076" s="63"/>
      <c r="AL1076" s="196">
        <f t="shared" si="118"/>
        <v>79310000</v>
      </c>
      <c r="AM1076" s="196">
        <f>+VLOOKUP(AF1076,'[2]CRP a 31 Agosto de 2018'!$J$8:$V$2956,13,0)</f>
        <v>43019667</v>
      </c>
      <c r="AN1076" s="196">
        <f>AL1076-AM1076</f>
        <v>36290333</v>
      </c>
      <c r="AO1076" s="63"/>
      <c r="AP1076" s="63"/>
      <c r="AQ1076" s="63"/>
      <c r="AR1076" s="81">
        <v>43102</v>
      </c>
      <c r="AS1076" s="63" t="s">
        <v>2848</v>
      </c>
      <c r="AT1076" s="81">
        <v>43102</v>
      </c>
      <c r="AU1076" s="63" t="s">
        <v>2855</v>
      </c>
      <c r="AV1076" s="63"/>
      <c r="AW1076" s="63"/>
    </row>
    <row r="1077" spans="1:49" ht="357.75" thickTop="1" thickBot="1" x14ac:dyDescent="0.3">
      <c r="A1077" s="193">
        <v>29</v>
      </c>
      <c r="B1077" s="85" t="s">
        <v>2945</v>
      </c>
      <c r="C1077" s="105" t="s">
        <v>2834</v>
      </c>
      <c r="D1077" s="63" t="s">
        <v>714</v>
      </c>
      <c r="E1077" s="106" t="s">
        <v>2835</v>
      </c>
      <c r="F1077" s="63" t="s">
        <v>52</v>
      </c>
      <c r="G1077" s="63" t="s">
        <v>53</v>
      </c>
      <c r="H1077" s="111" t="s">
        <v>733</v>
      </c>
      <c r="I1077" s="63" t="s">
        <v>55</v>
      </c>
      <c r="J1077" s="106" t="s">
        <v>56</v>
      </c>
      <c r="K1077" s="106">
        <v>801116</v>
      </c>
      <c r="L1077" s="106" t="s">
        <v>2836</v>
      </c>
      <c r="M1077" s="106" t="s">
        <v>2837</v>
      </c>
      <c r="N1077" s="106" t="s">
        <v>2838</v>
      </c>
      <c r="O1077" s="106" t="s">
        <v>2839</v>
      </c>
      <c r="P1077" s="107" t="s">
        <v>2946</v>
      </c>
      <c r="Q1077" s="197">
        <v>5665000</v>
      </c>
      <c r="R1077" s="63">
        <v>1</v>
      </c>
      <c r="S1077" s="198">
        <v>62315000</v>
      </c>
      <c r="T1077" s="112" t="s">
        <v>888</v>
      </c>
      <c r="U1077" s="63" t="s">
        <v>445</v>
      </c>
      <c r="V1077" s="81">
        <v>43125</v>
      </c>
      <c r="W1077" s="199">
        <v>11</v>
      </c>
      <c r="X1077" s="85" t="s">
        <v>2947</v>
      </c>
      <c r="Y1077" s="81">
        <v>43103</v>
      </c>
      <c r="Z1077" s="196">
        <v>62315000</v>
      </c>
      <c r="AA1077" s="84"/>
      <c r="AB1077" s="63">
        <v>176</v>
      </c>
      <c r="AC1077" s="81">
        <v>43105</v>
      </c>
      <c r="AD1077" s="196">
        <v>62315000</v>
      </c>
      <c r="AE1077" s="63"/>
      <c r="AF1077" s="63">
        <v>285</v>
      </c>
      <c r="AG1077" s="81">
        <v>43122</v>
      </c>
      <c r="AH1077" s="196">
        <v>62315000</v>
      </c>
      <c r="AI1077" s="84" t="s">
        <v>2948</v>
      </c>
      <c r="AJ1077" s="63">
        <v>255</v>
      </c>
      <c r="AK1077" s="63"/>
      <c r="AL1077" s="196">
        <f t="shared" si="118"/>
        <v>62315000</v>
      </c>
      <c r="AM1077" s="196">
        <f>+VLOOKUP(AF1077,'[2]CRP a 31 Agosto de 2018'!$J$8:$V$2956,13,0)</f>
        <v>35689500</v>
      </c>
      <c r="AN1077" s="196">
        <f t="shared" ref="AN1077:AN1078" si="119">AL1077-AM1077</f>
        <v>26625500</v>
      </c>
      <c r="AO1077" s="63"/>
      <c r="AP1077" s="63"/>
      <c r="AQ1077" s="63"/>
      <c r="AR1077" s="81">
        <v>43102</v>
      </c>
      <c r="AS1077" s="63" t="s">
        <v>2848</v>
      </c>
      <c r="AT1077" s="81">
        <v>43102</v>
      </c>
      <c r="AU1077" s="63" t="s">
        <v>2855</v>
      </c>
      <c r="AV1077" s="63"/>
      <c r="AW1077" s="63"/>
    </row>
    <row r="1078" spans="1:49" ht="357.75" thickTop="1" thickBot="1" x14ac:dyDescent="0.3">
      <c r="A1078" s="193">
        <v>30</v>
      </c>
      <c r="B1078" s="85" t="s">
        <v>2949</v>
      </c>
      <c r="C1078" s="105" t="s">
        <v>2834</v>
      </c>
      <c r="D1078" s="63" t="s">
        <v>714</v>
      </c>
      <c r="E1078" s="106" t="s">
        <v>2835</v>
      </c>
      <c r="F1078" s="63" t="s">
        <v>52</v>
      </c>
      <c r="G1078" s="63" t="s">
        <v>53</v>
      </c>
      <c r="H1078" s="111" t="s">
        <v>733</v>
      </c>
      <c r="I1078" s="63" t="s">
        <v>55</v>
      </c>
      <c r="J1078" s="106" t="s">
        <v>56</v>
      </c>
      <c r="K1078" s="106">
        <v>801116</v>
      </c>
      <c r="L1078" s="106" t="s">
        <v>2836</v>
      </c>
      <c r="M1078" s="106" t="s">
        <v>2837</v>
      </c>
      <c r="N1078" s="106" t="s">
        <v>2838</v>
      </c>
      <c r="O1078" s="106" t="s">
        <v>2839</v>
      </c>
      <c r="P1078" s="107" t="s">
        <v>2950</v>
      </c>
      <c r="Q1078" s="197">
        <v>3038500</v>
      </c>
      <c r="R1078" s="63">
        <v>1</v>
      </c>
      <c r="S1078" s="198">
        <v>21269500</v>
      </c>
      <c r="T1078" s="112" t="s">
        <v>928</v>
      </c>
      <c r="U1078" s="63" t="s">
        <v>445</v>
      </c>
      <c r="V1078" s="81">
        <v>43125</v>
      </c>
      <c r="W1078" s="199">
        <v>7</v>
      </c>
      <c r="X1078" s="85" t="s">
        <v>2951</v>
      </c>
      <c r="Y1078" s="81">
        <v>43103</v>
      </c>
      <c r="Z1078" s="196">
        <v>21269500</v>
      </c>
      <c r="AA1078" s="84"/>
      <c r="AB1078" s="63">
        <v>178</v>
      </c>
      <c r="AC1078" s="81">
        <v>43105</v>
      </c>
      <c r="AD1078" s="196">
        <v>21269500</v>
      </c>
      <c r="AE1078" s="63"/>
      <c r="AF1078" s="63">
        <v>279</v>
      </c>
      <c r="AG1078" s="81">
        <v>43122</v>
      </c>
      <c r="AH1078" s="196">
        <v>21269500</v>
      </c>
      <c r="AI1078" s="84" t="s">
        <v>2952</v>
      </c>
      <c r="AJ1078" s="63">
        <v>249</v>
      </c>
      <c r="AK1078" s="63"/>
      <c r="AL1078" s="196">
        <f t="shared" si="118"/>
        <v>21269500</v>
      </c>
      <c r="AM1078" s="196">
        <f>+VLOOKUP(AF1078,'[2]CRP a 31 Agosto de 2018'!$J$8:$V$2956,13,0)</f>
        <v>18939983</v>
      </c>
      <c r="AN1078" s="196">
        <f t="shared" si="119"/>
        <v>2329517</v>
      </c>
      <c r="AO1078" s="63"/>
      <c r="AP1078" s="63"/>
      <c r="AQ1078" s="63"/>
      <c r="AR1078" s="81">
        <v>43102</v>
      </c>
      <c r="AS1078" s="63" t="s">
        <v>2848</v>
      </c>
      <c r="AT1078" s="81">
        <v>43102</v>
      </c>
      <c r="AU1078" s="63" t="s">
        <v>2855</v>
      </c>
      <c r="AV1078" s="63"/>
      <c r="AW1078" s="63"/>
    </row>
    <row r="1079" spans="1:49" ht="357.75" thickTop="1" thickBot="1" x14ac:dyDescent="0.3">
      <c r="A1079" s="193">
        <v>31</v>
      </c>
      <c r="B1079" s="85" t="s">
        <v>2953</v>
      </c>
      <c r="C1079" s="105" t="s">
        <v>2834</v>
      </c>
      <c r="D1079" s="63" t="s">
        <v>714</v>
      </c>
      <c r="E1079" s="106" t="s">
        <v>2835</v>
      </c>
      <c r="F1079" s="63" t="s">
        <v>52</v>
      </c>
      <c r="G1079" s="63" t="s">
        <v>53</v>
      </c>
      <c r="H1079" s="111" t="s">
        <v>733</v>
      </c>
      <c r="I1079" s="63" t="s">
        <v>55</v>
      </c>
      <c r="J1079" s="106" t="s">
        <v>56</v>
      </c>
      <c r="K1079" s="106">
        <v>801116</v>
      </c>
      <c r="L1079" s="106" t="s">
        <v>2836</v>
      </c>
      <c r="M1079" s="106" t="s">
        <v>2837</v>
      </c>
      <c r="N1079" s="106" t="s">
        <v>2838</v>
      </c>
      <c r="O1079" s="106" t="s">
        <v>2839</v>
      </c>
      <c r="P1079" s="107" t="s">
        <v>2954</v>
      </c>
      <c r="Q1079" s="197">
        <v>4532000</v>
      </c>
      <c r="R1079" s="63">
        <v>1</v>
      </c>
      <c r="S1079" s="198">
        <v>49852000</v>
      </c>
      <c r="T1079" s="112" t="s">
        <v>888</v>
      </c>
      <c r="U1079" s="63" t="s">
        <v>445</v>
      </c>
      <c r="V1079" s="81">
        <v>43125</v>
      </c>
      <c r="W1079" s="199">
        <v>11</v>
      </c>
      <c r="X1079" s="85" t="s">
        <v>2955</v>
      </c>
      <c r="Y1079" s="81">
        <v>43103</v>
      </c>
      <c r="Z1079" s="196">
        <v>49852000</v>
      </c>
      <c r="AA1079" s="84"/>
      <c r="AB1079" s="63">
        <v>179</v>
      </c>
      <c r="AC1079" s="81">
        <v>43105</v>
      </c>
      <c r="AD1079" s="196">
        <v>49852000</v>
      </c>
      <c r="AE1079" s="63"/>
      <c r="AF1079" s="63">
        <v>8</v>
      </c>
      <c r="AG1079" s="81">
        <v>43112</v>
      </c>
      <c r="AH1079" s="196">
        <v>49852000</v>
      </c>
      <c r="AI1079" s="84" t="s">
        <v>2956</v>
      </c>
      <c r="AJ1079" s="63">
        <v>4</v>
      </c>
      <c r="AK1079" s="63"/>
      <c r="AL1079" s="196">
        <f t="shared" si="118"/>
        <v>49852000</v>
      </c>
      <c r="AM1079" s="196">
        <f>+VLOOKUP(AF1079,'[2]CRP a 31 Agosto de 2018'!$J$8:$V$2956,13,0)</f>
        <v>30062267</v>
      </c>
      <c r="AN1079" s="196">
        <f>AL1079-AM1079</f>
        <v>19789733</v>
      </c>
      <c r="AO1079" s="63"/>
      <c r="AP1079" s="63"/>
      <c r="AQ1079" s="63"/>
      <c r="AR1079" s="81">
        <v>43102</v>
      </c>
      <c r="AS1079" s="63" t="s">
        <v>2848</v>
      </c>
      <c r="AT1079" s="81">
        <v>43102</v>
      </c>
      <c r="AU1079" s="63" t="s">
        <v>2855</v>
      </c>
      <c r="AV1079" s="63"/>
      <c r="AW1079" s="63"/>
    </row>
    <row r="1080" spans="1:49" ht="409.6" thickTop="1" thickBot="1" x14ac:dyDescent="0.3">
      <c r="A1080" s="193">
        <v>32</v>
      </c>
      <c r="B1080" s="85" t="s">
        <v>2957</v>
      </c>
      <c r="C1080" s="105" t="s">
        <v>2834</v>
      </c>
      <c r="D1080" s="63" t="s">
        <v>714</v>
      </c>
      <c r="E1080" s="106" t="s">
        <v>2845</v>
      </c>
      <c r="F1080" s="63" t="s">
        <v>52</v>
      </c>
      <c r="G1080" s="63" t="s">
        <v>53</v>
      </c>
      <c r="H1080" s="111" t="s">
        <v>733</v>
      </c>
      <c r="I1080" s="63" t="s">
        <v>55</v>
      </c>
      <c r="J1080" s="106" t="s">
        <v>56</v>
      </c>
      <c r="K1080" s="106">
        <v>801116</v>
      </c>
      <c r="L1080" s="106" t="s">
        <v>2836</v>
      </c>
      <c r="M1080" s="106" t="s">
        <v>2837</v>
      </c>
      <c r="N1080" s="106" t="s">
        <v>2838</v>
      </c>
      <c r="O1080" s="106" t="s">
        <v>2839</v>
      </c>
      <c r="P1080" s="107" t="s">
        <v>2958</v>
      </c>
      <c r="Q1080" s="197">
        <v>5253000</v>
      </c>
      <c r="R1080" s="63">
        <v>1</v>
      </c>
      <c r="S1080" s="198">
        <v>57783000</v>
      </c>
      <c r="T1080" s="112" t="s">
        <v>888</v>
      </c>
      <c r="U1080" s="63" t="s">
        <v>445</v>
      </c>
      <c r="V1080" s="81">
        <v>43125</v>
      </c>
      <c r="W1080" s="199">
        <v>11</v>
      </c>
      <c r="X1080" s="85" t="s">
        <v>2959</v>
      </c>
      <c r="Y1080" s="81">
        <v>43103</v>
      </c>
      <c r="Z1080" s="196">
        <v>57783000</v>
      </c>
      <c r="AA1080" s="84"/>
      <c r="AB1080" s="63">
        <v>181</v>
      </c>
      <c r="AC1080" s="81">
        <v>43105</v>
      </c>
      <c r="AD1080" s="196">
        <v>57783000</v>
      </c>
      <c r="AE1080" s="63"/>
      <c r="AF1080" s="63">
        <v>196</v>
      </c>
      <c r="AG1080" s="81">
        <v>43118</v>
      </c>
      <c r="AH1080" s="196">
        <v>57783000</v>
      </c>
      <c r="AI1080" s="84" t="s">
        <v>2960</v>
      </c>
      <c r="AJ1080" s="63">
        <v>182</v>
      </c>
      <c r="AK1080" s="63"/>
      <c r="AL1080" s="196">
        <f t="shared" si="118"/>
        <v>57783000</v>
      </c>
      <c r="AM1080" s="196">
        <f>+VLOOKUP(AF1080,'[2]CRP a 31 Agosto de 2018'!$J$8:$V$2956,13,0)</f>
        <v>33619200</v>
      </c>
      <c r="AN1080" s="196">
        <f>AL1080-AM1080</f>
        <v>24163800</v>
      </c>
      <c r="AO1080" s="63"/>
      <c r="AP1080" s="63"/>
      <c r="AQ1080" s="63"/>
      <c r="AR1080" s="81">
        <v>43102</v>
      </c>
      <c r="AS1080" s="63" t="s">
        <v>2848</v>
      </c>
      <c r="AT1080" s="81">
        <v>43102</v>
      </c>
      <c r="AU1080" s="63" t="s">
        <v>2855</v>
      </c>
      <c r="AV1080" s="63"/>
      <c r="AW1080" s="63"/>
    </row>
    <row r="1081" spans="1:49" ht="409.6" thickTop="1" thickBot="1" x14ac:dyDescent="0.3">
      <c r="A1081" s="193">
        <v>33</v>
      </c>
      <c r="B1081" s="85" t="s">
        <v>2961</v>
      </c>
      <c r="C1081" s="105" t="s">
        <v>2834</v>
      </c>
      <c r="D1081" s="63" t="s">
        <v>714</v>
      </c>
      <c r="E1081" s="106" t="s">
        <v>2845</v>
      </c>
      <c r="F1081" s="63" t="s">
        <v>52</v>
      </c>
      <c r="G1081" s="63" t="s">
        <v>53</v>
      </c>
      <c r="H1081" s="111" t="s">
        <v>733</v>
      </c>
      <c r="I1081" s="63" t="s">
        <v>55</v>
      </c>
      <c r="J1081" s="106" t="s">
        <v>56</v>
      </c>
      <c r="K1081" s="106">
        <v>801116</v>
      </c>
      <c r="L1081" s="106" t="s">
        <v>2836</v>
      </c>
      <c r="M1081" s="106" t="s">
        <v>2837</v>
      </c>
      <c r="N1081" s="106" t="s">
        <v>2838</v>
      </c>
      <c r="O1081" s="106" t="s">
        <v>2839</v>
      </c>
      <c r="P1081" s="107" t="s">
        <v>2962</v>
      </c>
      <c r="Q1081" s="197">
        <v>5665000</v>
      </c>
      <c r="R1081" s="63">
        <v>1</v>
      </c>
      <c r="S1081" s="198">
        <v>62315000</v>
      </c>
      <c r="T1081" s="112" t="s">
        <v>888</v>
      </c>
      <c r="U1081" s="63" t="s">
        <v>445</v>
      </c>
      <c r="V1081" s="81">
        <v>43125</v>
      </c>
      <c r="W1081" s="199">
        <v>11</v>
      </c>
      <c r="X1081" s="85" t="s">
        <v>2963</v>
      </c>
      <c r="Y1081" s="81">
        <v>43103</v>
      </c>
      <c r="Z1081" s="196">
        <v>62315000</v>
      </c>
      <c r="AA1081" s="84"/>
      <c r="AB1081" s="63">
        <v>182</v>
      </c>
      <c r="AC1081" s="81">
        <v>43105</v>
      </c>
      <c r="AD1081" s="196">
        <v>62315000</v>
      </c>
      <c r="AE1081" s="63"/>
      <c r="AF1081" s="63">
        <v>27</v>
      </c>
      <c r="AG1081" s="81">
        <v>43115</v>
      </c>
      <c r="AH1081" s="196">
        <v>62315000</v>
      </c>
      <c r="AI1081" s="84" t="s">
        <v>2964</v>
      </c>
      <c r="AJ1081" s="63">
        <v>19</v>
      </c>
      <c r="AK1081" s="63"/>
      <c r="AL1081" s="196">
        <f t="shared" si="118"/>
        <v>62315000</v>
      </c>
      <c r="AM1081" s="196">
        <f>+VLOOKUP(AF1081,'[2]CRP a 31 Agosto de 2018'!$J$8:$V$2956,13,0)</f>
        <v>37011333</v>
      </c>
      <c r="AN1081" s="196">
        <f>AL1081-AM1081</f>
        <v>25303667</v>
      </c>
      <c r="AO1081" s="63"/>
      <c r="AP1081" s="63"/>
      <c r="AQ1081" s="63"/>
      <c r="AR1081" s="81">
        <v>43102</v>
      </c>
      <c r="AS1081" s="63" t="s">
        <v>2848</v>
      </c>
      <c r="AT1081" s="81">
        <v>43102</v>
      </c>
      <c r="AU1081" s="63" t="s">
        <v>2855</v>
      </c>
      <c r="AV1081" s="63"/>
      <c r="AW1081" s="63"/>
    </row>
    <row r="1082" spans="1:49" ht="343.5" thickTop="1" thickBot="1" x14ac:dyDescent="0.3">
      <c r="A1082" s="193">
        <v>34</v>
      </c>
      <c r="B1082" s="85" t="s">
        <v>2965</v>
      </c>
      <c r="C1082" s="105" t="s">
        <v>2834</v>
      </c>
      <c r="D1082" s="63" t="s">
        <v>714</v>
      </c>
      <c r="E1082" s="106" t="s">
        <v>2843</v>
      </c>
      <c r="F1082" s="63" t="s">
        <v>52</v>
      </c>
      <c r="G1082" s="63" t="s">
        <v>53</v>
      </c>
      <c r="H1082" s="111" t="s">
        <v>733</v>
      </c>
      <c r="I1082" s="63" t="s">
        <v>55</v>
      </c>
      <c r="J1082" s="106" t="s">
        <v>56</v>
      </c>
      <c r="K1082" s="106">
        <v>801116</v>
      </c>
      <c r="L1082" s="106" t="s">
        <v>2836</v>
      </c>
      <c r="M1082" s="106" t="s">
        <v>2837</v>
      </c>
      <c r="N1082" s="106" t="s">
        <v>2838</v>
      </c>
      <c r="O1082" s="106" t="s">
        <v>2839</v>
      </c>
      <c r="P1082" s="107" t="s">
        <v>2966</v>
      </c>
      <c r="Q1082" s="197">
        <v>9520000</v>
      </c>
      <c r="R1082" s="63">
        <v>1</v>
      </c>
      <c r="S1082" s="198">
        <v>47600000</v>
      </c>
      <c r="T1082" s="112" t="s">
        <v>888</v>
      </c>
      <c r="U1082" s="63" t="s">
        <v>445</v>
      </c>
      <c r="V1082" s="81">
        <v>43125</v>
      </c>
      <c r="W1082" s="199">
        <v>5</v>
      </c>
      <c r="X1082" s="85" t="s">
        <v>2967</v>
      </c>
      <c r="Y1082" s="81">
        <v>43103</v>
      </c>
      <c r="Z1082" s="196">
        <v>47600000</v>
      </c>
      <c r="AA1082" s="84"/>
      <c r="AB1082" s="63">
        <v>183</v>
      </c>
      <c r="AC1082" s="81">
        <v>43105</v>
      </c>
      <c r="AD1082" s="196">
        <v>47600000</v>
      </c>
      <c r="AE1082" s="63"/>
      <c r="AF1082" s="63">
        <v>434</v>
      </c>
      <c r="AG1082" s="81">
        <v>43124</v>
      </c>
      <c r="AH1082" s="196">
        <v>47600000</v>
      </c>
      <c r="AI1082" s="84" t="s">
        <v>2968</v>
      </c>
      <c r="AJ1082" s="63">
        <v>317</v>
      </c>
      <c r="AK1082" s="63"/>
      <c r="AL1082" s="196">
        <f t="shared" si="118"/>
        <v>47600000</v>
      </c>
      <c r="AM1082" s="196">
        <f>+VLOOKUP(AF1082,'[2]CRP a 31 Agosto de 2018'!$J$8:$V$2956,13,0)</f>
        <v>47600000</v>
      </c>
      <c r="AN1082" s="196">
        <f>AL1082-AM1082</f>
        <v>0</v>
      </c>
      <c r="AO1082" s="63"/>
      <c r="AP1082" s="63"/>
      <c r="AQ1082" s="63"/>
      <c r="AR1082" s="63" t="s">
        <v>2967</v>
      </c>
      <c r="AS1082" s="63" t="s">
        <v>2848</v>
      </c>
      <c r="AT1082" s="63" t="s">
        <v>2967</v>
      </c>
      <c r="AU1082" s="63" t="s">
        <v>2855</v>
      </c>
      <c r="AV1082" s="63"/>
      <c r="AW1082" s="63"/>
    </row>
    <row r="1083" spans="1:49" ht="300.75" thickTop="1" thickBot="1" x14ac:dyDescent="0.3">
      <c r="A1083" s="193">
        <v>35</v>
      </c>
      <c r="B1083" s="85" t="s">
        <v>2969</v>
      </c>
      <c r="C1083" s="105" t="s">
        <v>2834</v>
      </c>
      <c r="D1083" s="63" t="s">
        <v>714</v>
      </c>
      <c r="E1083" s="106" t="s">
        <v>2843</v>
      </c>
      <c r="F1083" s="63" t="s">
        <v>52</v>
      </c>
      <c r="G1083" s="63" t="s">
        <v>53</v>
      </c>
      <c r="H1083" s="111" t="s">
        <v>733</v>
      </c>
      <c r="I1083" s="63" t="s">
        <v>55</v>
      </c>
      <c r="J1083" s="106" t="s">
        <v>56</v>
      </c>
      <c r="K1083" s="106">
        <v>801116</v>
      </c>
      <c r="L1083" s="106" t="s">
        <v>2836</v>
      </c>
      <c r="M1083" s="106" t="s">
        <v>2837</v>
      </c>
      <c r="N1083" s="106" t="s">
        <v>2838</v>
      </c>
      <c r="O1083" s="106" t="s">
        <v>2839</v>
      </c>
      <c r="P1083" s="107" t="s">
        <v>2970</v>
      </c>
      <c r="Q1083" s="197">
        <v>9805600</v>
      </c>
      <c r="R1083" s="63">
        <v>1</v>
      </c>
      <c r="S1083" s="198">
        <f>58833600-49000000-9167000-666600</f>
        <v>0</v>
      </c>
      <c r="T1083" s="112" t="s">
        <v>888</v>
      </c>
      <c r="U1083" s="63" t="s">
        <v>445</v>
      </c>
      <c r="V1083" s="81">
        <v>43125</v>
      </c>
      <c r="W1083" s="199">
        <v>6</v>
      </c>
      <c r="X1083" s="85" t="s">
        <v>2971</v>
      </c>
      <c r="Y1083" s="81">
        <v>43276</v>
      </c>
      <c r="Z1083" s="198">
        <v>29416800</v>
      </c>
      <c r="AA1083" s="84"/>
      <c r="AB1083" s="63"/>
      <c r="AC1083" s="63"/>
      <c r="AD1083" s="63"/>
      <c r="AE1083" s="63"/>
      <c r="AF1083" s="63"/>
      <c r="AG1083" s="63"/>
      <c r="AH1083" s="196"/>
      <c r="AI1083" s="84" t="s">
        <v>2968</v>
      </c>
      <c r="AJ1083" s="63"/>
      <c r="AK1083" s="63"/>
      <c r="AL1083" s="196"/>
      <c r="AM1083" s="196">
        <v>0</v>
      </c>
      <c r="AN1083" s="63"/>
      <c r="AO1083" s="63"/>
      <c r="AP1083" s="63"/>
      <c r="AQ1083" s="63" t="s">
        <v>2972</v>
      </c>
      <c r="AR1083" s="63"/>
      <c r="AS1083" s="63"/>
      <c r="AT1083" s="63"/>
      <c r="AU1083" s="63"/>
      <c r="AV1083" s="63"/>
      <c r="AW1083" s="63"/>
    </row>
    <row r="1084" spans="1:49" ht="357.75" thickTop="1" thickBot="1" x14ac:dyDescent="0.3">
      <c r="A1084" s="193">
        <v>36</v>
      </c>
      <c r="B1084" s="85" t="s">
        <v>2973</v>
      </c>
      <c r="C1084" s="105" t="s">
        <v>2834</v>
      </c>
      <c r="D1084" s="63" t="s">
        <v>714</v>
      </c>
      <c r="E1084" s="106" t="s">
        <v>2835</v>
      </c>
      <c r="F1084" s="63" t="s">
        <v>52</v>
      </c>
      <c r="G1084" s="63" t="s">
        <v>53</v>
      </c>
      <c r="H1084" s="111" t="s">
        <v>733</v>
      </c>
      <c r="I1084" s="63" t="s">
        <v>55</v>
      </c>
      <c r="J1084" s="106" t="s">
        <v>56</v>
      </c>
      <c r="K1084" s="106">
        <v>801116</v>
      </c>
      <c r="L1084" s="106" t="s">
        <v>2836</v>
      </c>
      <c r="M1084" s="106" t="s">
        <v>2837</v>
      </c>
      <c r="N1084" s="106" t="s">
        <v>2838</v>
      </c>
      <c r="O1084" s="106" t="s">
        <v>2839</v>
      </c>
      <c r="P1084" s="107" t="s">
        <v>2851</v>
      </c>
      <c r="Q1084" s="197">
        <v>6695000</v>
      </c>
      <c r="R1084" s="63">
        <v>1</v>
      </c>
      <c r="S1084" s="198">
        <v>73645000</v>
      </c>
      <c r="T1084" s="112" t="s">
        <v>888</v>
      </c>
      <c r="U1084" s="63" t="s">
        <v>445</v>
      </c>
      <c r="V1084" s="81">
        <v>43125</v>
      </c>
      <c r="W1084" s="199">
        <v>11</v>
      </c>
      <c r="X1084" s="85" t="s">
        <v>2974</v>
      </c>
      <c r="Y1084" s="81">
        <v>43103</v>
      </c>
      <c r="Z1084" s="196">
        <v>73645000</v>
      </c>
      <c r="AA1084" s="84"/>
      <c r="AB1084" s="63">
        <v>185</v>
      </c>
      <c r="AC1084" s="81">
        <v>43105</v>
      </c>
      <c r="AD1084" s="196">
        <v>73645000</v>
      </c>
      <c r="AE1084" s="84"/>
      <c r="AF1084" s="63">
        <v>240</v>
      </c>
      <c r="AG1084" s="81">
        <v>43119</v>
      </c>
      <c r="AH1084" s="196">
        <v>73645000</v>
      </c>
      <c r="AI1084" s="84" t="s">
        <v>2975</v>
      </c>
      <c r="AJ1084" s="63">
        <v>221</v>
      </c>
      <c r="AK1084" s="63"/>
      <c r="AL1084" s="196">
        <f t="shared" ref="AL1084:AL1096" si="120">AH1084</f>
        <v>73645000</v>
      </c>
      <c r="AM1084" s="196">
        <f>+VLOOKUP(AF1084,'[2]CRP a 31 Agosto de 2018'!$J$8:$V$2956,13,0)</f>
        <v>42178500</v>
      </c>
      <c r="AN1084" s="196">
        <f>AL1084-AM1084</f>
        <v>31466500</v>
      </c>
      <c r="AO1084" s="63"/>
      <c r="AP1084" s="63"/>
      <c r="AQ1084" s="63"/>
      <c r="AR1084" s="81">
        <v>43102</v>
      </c>
      <c r="AS1084" s="63" t="s">
        <v>2848</v>
      </c>
      <c r="AT1084" s="81">
        <v>43102</v>
      </c>
      <c r="AU1084" s="63" t="s">
        <v>2855</v>
      </c>
      <c r="AV1084" s="63"/>
      <c r="AW1084" s="63"/>
    </row>
    <row r="1085" spans="1:49" ht="300.75" thickTop="1" thickBot="1" x14ac:dyDescent="0.3">
      <c r="A1085" s="193">
        <v>37</v>
      </c>
      <c r="B1085" s="85" t="s">
        <v>2976</v>
      </c>
      <c r="C1085" s="105" t="s">
        <v>2834</v>
      </c>
      <c r="D1085" s="63" t="s">
        <v>714</v>
      </c>
      <c r="E1085" s="106" t="s">
        <v>2843</v>
      </c>
      <c r="F1085" s="63" t="s">
        <v>52</v>
      </c>
      <c r="G1085" s="63" t="s">
        <v>53</v>
      </c>
      <c r="H1085" s="111" t="s">
        <v>733</v>
      </c>
      <c r="I1085" s="63" t="s">
        <v>55</v>
      </c>
      <c r="J1085" s="106" t="s">
        <v>56</v>
      </c>
      <c r="K1085" s="106">
        <v>801116</v>
      </c>
      <c r="L1085" s="106" t="s">
        <v>2836</v>
      </c>
      <c r="M1085" s="106" t="s">
        <v>2837</v>
      </c>
      <c r="N1085" s="106" t="s">
        <v>2838</v>
      </c>
      <c r="O1085" s="106" t="s">
        <v>2839</v>
      </c>
      <c r="P1085" s="107" t="s">
        <v>2851</v>
      </c>
      <c r="Q1085" s="197">
        <v>6695000</v>
      </c>
      <c r="R1085" s="63">
        <v>1</v>
      </c>
      <c r="S1085" s="198">
        <v>73645000</v>
      </c>
      <c r="T1085" s="112" t="s">
        <v>888</v>
      </c>
      <c r="U1085" s="63" t="s">
        <v>445</v>
      </c>
      <c r="V1085" s="81">
        <v>43125</v>
      </c>
      <c r="W1085" s="199">
        <v>11</v>
      </c>
      <c r="X1085" s="85" t="s">
        <v>2977</v>
      </c>
      <c r="Y1085" s="81">
        <v>43103</v>
      </c>
      <c r="Z1085" s="196">
        <v>73645000</v>
      </c>
      <c r="AA1085" s="84"/>
      <c r="AB1085" s="63">
        <v>186</v>
      </c>
      <c r="AC1085" s="81">
        <v>43105</v>
      </c>
      <c r="AD1085" s="196">
        <v>73645000</v>
      </c>
      <c r="AE1085" s="63"/>
      <c r="AF1085" s="63">
        <v>5</v>
      </c>
      <c r="AG1085" s="81">
        <v>43112</v>
      </c>
      <c r="AH1085" s="196">
        <v>73645000</v>
      </c>
      <c r="AI1085" s="84" t="s">
        <v>2978</v>
      </c>
      <c r="AJ1085" s="63">
        <v>5</v>
      </c>
      <c r="AK1085" s="63"/>
      <c r="AL1085" s="196">
        <f t="shared" si="120"/>
        <v>73645000</v>
      </c>
      <c r="AM1085" s="196">
        <f>+VLOOKUP(AF1085,'[2]CRP a 31 Agosto de 2018'!$J$8:$V$2956,13,0)</f>
        <v>44410167</v>
      </c>
      <c r="AN1085" s="196">
        <f>AL1085-AM1085</f>
        <v>29234833</v>
      </c>
      <c r="AO1085" s="63"/>
      <c r="AP1085" s="63"/>
      <c r="AQ1085" s="63"/>
      <c r="AR1085" s="81">
        <v>43102</v>
      </c>
      <c r="AS1085" s="63" t="s">
        <v>2848</v>
      </c>
      <c r="AT1085" s="81">
        <v>43102</v>
      </c>
      <c r="AU1085" s="63" t="s">
        <v>2855</v>
      </c>
      <c r="AV1085" s="63"/>
      <c r="AW1085" s="63"/>
    </row>
    <row r="1086" spans="1:49" ht="357.75" thickTop="1" thickBot="1" x14ac:dyDescent="0.3">
      <c r="A1086" s="193">
        <v>38</v>
      </c>
      <c r="B1086" s="85" t="s">
        <v>2979</v>
      </c>
      <c r="C1086" s="105" t="s">
        <v>2834</v>
      </c>
      <c r="D1086" s="63" t="s">
        <v>714</v>
      </c>
      <c r="E1086" s="106" t="s">
        <v>2835</v>
      </c>
      <c r="F1086" s="63" t="s">
        <v>52</v>
      </c>
      <c r="G1086" s="63" t="s">
        <v>53</v>
      </c>
      <c r="H1086" s="111" t="s">
        <v>733</v>
      </c>
      <c r="I1086" s="63" t="s">
        <v>55</v>
      </c>
      <c r="J1086" s="106" t="s">
        <v>56</v>
      </c>
      <c r="K1086" s="106">
        <v>801116</v>
      </c>
      <c r="L1086" s="106" t="s">
        <v>2836</v>
      </c>
      <c r="M1086" s="106" t="s">
        <v>2837</v>
      </c>
      <c r="N1086" s="106" t="s">
        <v>2838</v>
      </c>
      <c r="O1086" s="106" t="s">
        <v>2839</v>
      </c>
      <c r="P1086" s="107" t="s">
        <v>2851</v>
      </c>
      <c r="Q1086" s="197">
        <v>6695000</v>
      </c>
      <c r="R1086" s="63">
        <v>1</v>
      </c>
      <c r="S1086" s="198">
        <v>46865000</v>
      </c>
      <c r="T1086" s="112" t="s">
        <v>888</v>
      </c>
      <c r="U1086" s="63" t="s">
        <v>445</v>
      </c>
      <c r="V1086" s="81">
        <v>43125</v>
      </c>
      <c r="W1086" s="199">
        <v>7</v>
      </c>
      <c r="X1086" s="85" t="s">
        <v>2980</v>
      </c>
      <c r="Y1086" s="81">
        <v>43103</v>
      </c>
      <c r="Z1086" s="196">
        <v>46865000</v>
      </c>
      <c r="AA1086" s="84"/>
      <c r="AB1086" s="63">
        <v>188</v>
      </c>
      <c r="AC1086" s="81">
        <v>43105</v>
      </c>
      <c r="AD1086" s="196">
        <v>46865000</v>
      </c>
      <c r="AE1086" s="63"/>
      <c r="AF1086" s="63">
        <v>143</v>
      </c>
      <c r="AG1086" s="81">
        <v>43117</v>
      </c>
      <c r="AH1086" s="196">
        <v>46865000</v>
      </c>
      <c r="AI1086" s="84" t="s">
        <v>2981</v>
      </c>
      <c r="AJ1086" s="63">
        <v>152</v>
      </c>
      <c r="AK1086" s="63"/>
      <c r="AL1086" s="196">
        <f t="shared" si="120"/>
        <v>46865000</v>
      </c>
      <c r="AM1086" s="196">
        <f>+VLOOKUP(AF1086,'[2]CRP a 31 Agosto de 2018'!$J$8:$V$2956,13,0)</f>
        <v>43071167</v>
      </c>
      <c r="AN1086" s="196">
        <f>AL1086-AM1086</f>
        <v>3793833</v>
      </c>
      <c r="AO1086" s="63"/>
      <c r="AP1086" s="63"/>
      <c r="AQ1086" s="63"/>
      <c r="AR1086" s="81">
        <v>43102</v>
      </c>
      <c r="AS1086" s="63" t="s">
        <v>2848</v>
      </c>
      <c r="AT1086" s="81">
        <v>43102</v>
      </c>
      <c r="AU1086" s="63" t="s">
        <v>2855</v>
      </c>
      <c r="AV1086" s="63"/>
      <c r="AW1086" s="63"/>
    </row>
    <row r="1087" spans="1:49" ht="357.75" thickTop="1" thickBot="1" x14ac:dyDescent="0.3">
      <c r="A1087" s="193">
        <v>39</v>
      </c>
      <c r="B1087" s="85" t="s">
        <v>2982</v>
      </c>
      <c r="C1087" s="105" t="s">
        <v>2834</v>
      </c>
      <c r="D1087" s="63" t="s">
        <v>714</v>
      </c>
      <c r="E1087" s="106" t="s">
        <v>2835</v>
      </c>
      <c r="F1087" s="63" t="s">
        <v>52</v>
      </c>
      <c r="G1087" s="63" t="s">
        <v>53</v>
      </c>
      <c r="H1087" s="111" t="s">
        <v>733</v>
      </c>
      <c r="I1087" s="63" t="s">
        <v>55</v>
      </c>
      <c r="J1087" s="106" t="s">
        <v>56</v>
      </c>
      <c r="K1087" s="106">
        <v>801116</v>
      </c>
      <c r="L1087" s="106" t="s">
        <v>2836</v>
      </c>
      <c r="M1087" s="106" t="s">
        <v>2837</v>
      </c>
      <c r="N1087" s="106" t="s">
        <v>2838</v>
      </c>
      <c r="O1087" s="106" t="s">
        <v>2839</v>
      </c>
      <c r="P1087" s="107" t="s">
        <v>2851</v>
      </c>
      <c r="Q1087" s="197">
        <v>6695000</v>
      </c>
      <c r="R1087" s="63">
        <v>1</v>
      </c>
      <c r="S1087" s="198">
        <v>46865000</v>
      </c>
      <c r="T1087" s="112" t="s">
        <v>888</v>
      </c>
      <c r="U1087" s="63" t="s">
        <v>445</v>
      </c>
      <c r="V1087" s="81">
        <v>43125</v>
      </c>
      <c r="W1087" s="199">
        <v>7</v>
      </c>
      <c r="X1087" s="85" t="s">
        <v>2983</v>
      </c>
      <c r="Y1087" s="81">
        <v>43103</v>
      </c>
      <c r="Z1087" s="196">
        <v>46865000</v>
      </c>
      <c r="AA1087" s="84"/>
      <c r="AB1087" s="63">
        <v>189</v>
      </c>
      <c r="AC1087" s="81">
        <v>43105</v>
      </c>
      <c r="AD1087" s="196">
        <v>46865000</v>
      </c>
      <c r="AE1087" s="63"/>
      <c r="AF1087" s="63">
        <v>32</v>
      </c>
      <c r="AG1087" s="81">
        <v>43116</v>
      </c>
      <c r="AH1087" s="196">
        <v>46865000</v>
      </c>
      <c r="AI1087" s="84" t="s">
        <v>2984</v>
      </c>
      <c r="AJ1087" s="63">
        <v>20</v>
      </c>
      <c r="AK1087" s="63"/>
      <c r="AL1087" s="196">
        <f t="shared" si="120"/>
        <v>46865000</v>
      </c>
      <c r="AM1087" s="196">
        <f>+VLOOKUP(AF1087,'[2]CRP a 31 Agosto de 2018'!$J$8:$V$2956,13,0)</f>
        <v>43517500</v>
      </c>
      <c r="AN1087" s="196">
        <f t="shared" ref="AN1087:AN1088" si="121">AL1087-AM1087</f>
        <v>3347500</v>
      </c>
      <c r="AO1087" s="63"/>
      <c r="AP1087" s="63"/>
      <c r="AQ1087" s="63"/>
      <c r="AR1087" s="81">
        <v>43102</v>
      </c>
      <c r="AS1087" s="63" t="s">
        <v>2848</v>
      </c>
      <c r="AT1087" s="81">
        <v>43102</v>
      </c>
      <c r="AU1087" s="63" t="s">
        <v>2855</v>
      </c>
      <c r="AV1087" s="63"/>
      <c r="AW1087" s="63"/>
    </row>
    <row r="1088" spans="1:49" ht="357.75" thickTop="1" thickBot="1" x14ac:dyDescent="0.3">
      <c r="A1088" s="193">
        <v>40</v>
      </c>
      <c r="B1088" s="85" t="s">
        <v>2985</v>
      </c>
      <c r="C1088" s="105" t="s">
        <v>2834</v>
      </c>
      <c r="D1088" s="63" t="s">
        <v>714</v>
      </c>
      <c r="E1088" s="106" t="s">
        <v>2835</v>
      </c>
      <c r="F1088" s="63" t="s">
        <v>52</v>
      </c>
      <c r="G1088" s="63" t="s">
        <v>53</v>
      </c>
      <c r="H1088" s="111" t="s">
        <v>733</v>
      </c>
      <c r="I1088" s="63" t="s">
        <v>55</v>
      </c>
      <c r="J1088" s="106" t="s">
        <v>56</v>
      </c>
      <c r="K1088" s="106">
        <v>801116</v>
      </c>
      <c r="L1088" s="106" t="s">
        <v>2836</v>
      </c>
      <c r="M1088" s="106" t="s">
        <v>2837</v>
      </c>
      <c r="N1088" s="106" t="s">
        <v>2838</v>
      </c>
      <c r="O1088" s="106" t="s">
        <v>2839</v>
      </c>
      <c r="P1088" s="107" t="s">
        <v>2851</v>
      </c>
      <c r="Q1088" s="197">
        <v>5036700</v>
      </c>
      <c r="R1088" s="63">
        <v>1</v>
      </c>
      <c r="S1088" s="198">
        <v>35256900</v>
      </c>
      <c r="T1088" s="112" t="s">
        <v>888</v>
      </c>
      <c r="U1088" s="63" t="s">
        <v>445</v>
      </c>
      <c r="V1088" s="81">
        <v>43125</v>
      </c>
      <c r="W1088" s="199">
        <v>7</v>
      </c>
      <c r="X1088" s="85" t="s">
        <v>2986</v>
      </c>
      <c r="Y1088" s="81">
        <v>43103</v>
      </c>
      <c r="Z1088" s="196">
        <v>35256900</v>
      </c>
      <c r="AA1088" s="84"/>
      <c r="AB1088" s="63">
        <v>190</v>
      </c>
      <c r="AC1088" s="81">
        <v>43105</v>
      </c>
      <c r="AD1088" s="196">
        <v>35256900</v>
      </c>
      <c r="AE1088" s="63"/>
      <c r="AF1088" s="63">
        <v>33</v>
      </c>
      <c r="AG1088" s="81">
        <v>43116</v>
      </c>
      <c r="AH1088" s="196">
        <v>35256900</v>
      </c>
      <c r="AI1088" s="84" t="s">
        <v>2987</v>
      </c>
      <c r="AJ1088" s="63">
        <v>23</v>
      </c>
      <c r="AK1088" s="63"/>
      <c r="AL1088" s="196">
        <f t="shared" si="120"/>
        <v>35256900</v>
      </c>
      <c r="AM1088" s="196">
        <f>+VLOOKUP(AF1088,'[2]CRP a 31 Agosto de 2018'!$J$8:$V$2956,13,0)</f>
        <v>32738550</v>
      </c>
      <c r="AN1088" s="196">
        <f t="shared" si="121"/>
        <v>2518350</v>
      </c>
      <c r="AO1088" s="63"/>
      <c r="AP1088" s="63"/>
      <c r="AQ1088" s="63"/>
      <c r="AR1088" s="81">
        <v>43102</v>
      </c>
      <c r="AS1088" s="63" t="s">
        <v>2848</v>
      </c>
      <c r="AT1088" s="81">
        <v>43102</v>
      </c>
      <c r="AU1088" s="63" t="s">
        <v>2855</v>
      </c>
      <c r="AV1088" s="63"/>
      <c r="AW1088" s="63"/>
    </row>
    <row r="1089" spans="1:49" ht="357.75" thickTop="1" thickBot="1" x14ac:dyDescent="0.3">
      <c r="A1089" s="193">
        <v>41</v>
      </c>
      <c r="B1089" s="85" t="s">
        <v>2988</v>
      </c>
      <c r="C1089" s="105" t="s">
        <v>2834</v>
      </c>
      <c r="D1089" s="63" t="s">
        <v>714</v>
      </c>
      <c r="E1089" s="106" t="s">
        <v>2835</v>
      </c>
      <c r="F1089" s="63" t="s">
        <v>52</v>
      </c>
      <c r="G1089" s="63" t="s">
        <v>53</v>
      </c>
      <c r="H1089" s="111" t="s">
        <v>733</v>
      </c>
      <c r="I1089" s="63" t="s">
        <v>55</v>
      </c>
      <c r="J1089" s="106" t="s">
        <v>56</v>
      </c>
      <c r="K1089" s="106">
        <v>801116</v>
      </c>
      <c r="L1089" s="106" t="s">
        <v>2836</v>
      </c>
      <c r="M1089" s="106" t="s">
        <v>2837</v>
      </c>
      <c r="N1089" s="106" t="s">
        <v>2838</v>
      </c>
      <c r="O1089" s="106" t="s">
        <v>2839</v>
      </c>
      <c r="P1089" s="107" t="s">
        <v>2989</v>
      </c>
      <c r="Q1089" s="197">
        <v>4120000</v>
      </c>
      <c r="R1089" s="63">
        <v>1</v>
      </c>
      <c r="S1089" s="198">
        <v>28840000</v>
      </c>
      <c r="T1089" s="112" t="s">
        <v>888</v>
      </c>
      <c r="U1089" s="63" t="s">
        <v>445</v>
      </c>
      <c r="V1089" s="81">
        <v>43125</v>
      </c>
      <c r="W1089" s="199">
        <v>7</v>
      </c>
      <c r="X1089" s="85" t="s">
        <v>2990</v>
      </c>
      <c r="Y1089" s="81">
        <v>43103</v>
      </c>
      <c r="Z1089" s="196">
        <v>28840000</v>
      </c>
      <c r="AA1089" s="84"/>
      <c r="AB1089" s="63">
        <v>191</v>
      </c>
      <c r="AC1089" s="81">
        <v>43105</v>
      </c>
      <c r="AD1089" s="196">
        <v>28840000</v>
      </c>
      <c r="AE1089" s="63"/>
      <c r="AF1089" s="63">
        <v>141</v>
      </c>
      <c r="AG1089" s="81">
        <v>43117</v>
      </c>
      <c r="AH1089" s="196">
        <v>28840000</v>
      </c>
      <c r="AI1089" s="84" t="s">
        <v>2991</v>
      </c>
      <c r="AJ1089" s="63">
        <v>151</v>
      </c>
      <c r="AK1089" s="63"/>
      <c r="AL1089" s="196">
        <f t="shared" si="120"/>
        <v>28840000</v>
      </c>
      <c r="AM1089" s="196">
        <f>+VLOOKUP(AF1089,'[2]CRP a 31 Agosto de 2018'!$J$8:$V$2956,13,0)</f>
        <v>26505333</v>
      </c>
      <c r="AN1089" s="196">
        <f>+AL1089-AM1089</f>
        <v>2334667</v>
      </c>
      <c r="AO1089" s="63"/>
      <c r="AP1089" s="63"/>
      <c r="AQ1089" s="63"/>
      <c r="AR1089" s="81">
        <v>43102</v>
      </c>
      <c r="AS1089" s="63" t="s">
        <v>2848</v>
      </c>
      <c r="AT1089" s="81">
        <v>43102</v>
      </c>
      <c r="AU1089" s="63" t="s">
        <v>2855</v>
      </c>
      <c r="AV1089" s="63"/>
      <c r="AW1089" s="63"/>
    </row>
    <row r="1090" spans="1:49" ht="300.75" thickTop="1" thickBot="1" x14ac:dyDescent="0.3">
      <c r="A1090" s="193">
        <v>42</v>
      </c>
      <c r="B1090" s="85" t="s">
        <v>2992</v>
      </c>
      <c r="C1090" s="105" t="s">
        <v>2834</v>
      </c>
      <c r="D1090" s="63" t="s">
        <v>714</v>
      </c>
      <c r="E1090" s="106" t="s">
        <v>2843</v>
      </c>
      <c r="F1090" s="63" t="s">
        <v>52</v>
      </c>
      <c r="G1090" s="63" t="s">
        <v>53</v>
      </c>
      <c r="H1090" s="111" t="s">
        <v>733</v>
      </c>
      <c r="I1090" s="63" t="s">
        <v>55</v>
      </c>
      <c r="J1090" s="106" t="s">
        <v>56</v>
      </c>
      <c r="K1090" s="106">
        <v>801116</v>
      </c>
      <c r="L1090" s="106" t="s">
        <v>2836</v>
      </c>
      <c r="M1090" s="106" t="s">
        <v>2837</v>
      </c>
      <c r="N1090" s="106" t="s">
        <v>2838</v>
      </c>
      <c r="O1090" s="106" t="s">
        <v>2839</v>
      </c>
      <c r="P1090" s="107" t="s">
        <v>2993</v>
      </c>
      <c r="Q1090" s="197">
        <v>4120000</v>
      </c>
      <c r="R1090" s="63">
        <v>1</v>
      </c>
      <c r="S1090" s="198">
        <v>28840000</v>
      </c>
      <c r="T1090" s="112" t="s">
        <v>888</v>
      </c>
      <c r="U1090" s="63" t="s">
        <v>445</v>
      </c>
      <c r="V1090" s="81">
        <v>43125</v>
      </c>
      <c r="W1090" s="199">
        <v>7</v>
      </c>
      <c r="X1090" s="85" t="s">
        <v>2994</v>
      </c>
      <c r="Y1090" s="81">
        <v>43103</v>
      </c>
      <c r="Z1090" s="196">
        <v>28840000</v>
      </c>
      <c r="AA1090" s="84"/>
      <c r="AB1090" s="63">
        <v>192</v>
      </c>
      <c r="AC1090" s="81">
        <v>43105</v>
      </c>
      <c r="AD1090" s="196">
        <v>28840000</v>
      </c>
      <c r="AE1090" s="63"/>
      <c r="AF1090" s="63">
        <v>34</v>
      </c>
      <c r="AG1090" s="81">
        <v>43115</v>
      </c>
      <c r="AH1090" s="196">
        <v>28840000</v>
      </c>
      <c r="AI1090" s="84" t="s">
        <v>2995</v>
      </c>
      <c r="AJ1090" s="63">
        <v>21</v>
      </c>
      <c r="AK1090" s="63"/>
      <c r="AL1090" s="196">
        <f t="shared" si="120"/>
        <v>28840000</v>
      </c>
      <c r="AM1090" s="196">
        <f>+VLOOKUP(AF1090,'[2]CRP a 31 Agosto de 2018'!$J$8:$V$2956,13,0)</f>
        <v>26780000</v>
      </c>
      <c r="AN1090" s="196">
        <f>AL1090-AM1090</f>
        <v>2060000</v>
      </c>
      <c r="AO1090" s="63"/>
      <c r="AP1090" s="63"/>
      <c r="AQ1090" s="63"/>
      <c r="AR1090" s="81">
        <v>43102</v>
      </c>
      <c r="AS1090" s="63" t="s">
        <v>2848</v>
      </c>
      <c r="AT1090" s="81">
        <v>43102</v>
      </c>
      <c r="AU1090" s="63" t="s">
        <v>2855</v>
      </c>
      <c r="AV1090" s="63"/>
      <c r="AW1090" s="63"/>
    </row>
    <row r="1091" spans="1:49" ht="300.75" thickTop="1" thickBot="1" x14ac:dyDescent="0.3">
      <c r="A1091" s="193">
        <v>43</v>
      </c>
      <c r="B1091" s="85" t="s">
        <v>2996</v>
      </c>
      <c r="C1091" s="105" t="s">
        <v>2834</v>
      </c>
      <c r="D1091" s="63" t="s">
        <v>714</v>
      </c>
      <c r="E1091" s="106" t="s">
        <v>2843</v>
      </c>
      <c r="F1091" s="63" t="s">
        <v>52</v>
      </c>
      <c r="G1091" s="63" t="s">
        <v>53</v>
      </c>
      <c r="H1091" s="111" t="s">
        <v>733</v>
      </c>
      <c r="I1091" s="63" t="s">
        <v>55</v>
      </c>
      <c r="J1091" s="106" t="s">
        <v>56</v>
      </c>
      <c r="K1091" s="106">
        <v>801116</v>
      </c>
      <c r="L1091" s="106" t="s">
        <v>2836</v>
      </c>
      <c r="M1091" s="106" t="s">
        <v>2837</v>
      </c>
      <c r="N1091" s="106" t="s">
        <v>2838</v>
      </c>
      <c r="O1091" s="106" t="s">
        <v>2839</v>
      </c>
      <c r="P1091" s="107" t="s">
        <v>2851</v>
      </c>
      <c r="Q1091" s="197">
        <v>9805600</v>
      </c>
      <c r="R1091" s="63">
        <v>1</v>
      </c>
      <c r="S1091" s="198">
        <f>107861600-17221600</f>
        <v>90640000</v>
      </c>
      <c r="T1091" s="112" t="s">
        <v>888</v>
      </c>
      <c r="U1091" s="63" t="s">
        <v>445</v>
      </c>
      <c r="V1091" s="81">
        <v>43125</v>
      </c>
      <c r="W1091" s="199">
        <v>11</v>
      </c>
      <c r="X1091" s="85" t="s">
        <v>2997</v>
      </c>
      <c r="Y1091" s="81">
        <v>43103</v>
      </c>
      <c r="Z1091" s="196">
        <v>107861600</v>
      </c>
      <c r="AA1091" s="84"/>
      <c r="AB1091" s="63">
        <v>193</v>
      </c>
      <c r="AC1091" s="81">
        <v>43105</v>
      </c>
      <c r="AD1091" s="196">
        <v>107861600</v>
      </c>
      <c r="AE1091" s="63"/>
      <c r="AF1091" s="63">
        <v>306</v>
      </c>
      <c r="AG1091" s="81">
        <v>43122</v>
      </c>
      <c r="AH1091" s="196">
        <v>90640000</v>
      </c>
      <c r="AI1091" s="84" t="s">
        <v>2998</v>
      </c>
      <c r="AJ1091" s="63">
        <v>279</v>
      </c>
      <c r="AK1091" s="63"/>
      <c r="AL1091" s="196">
        <f t="shared" si="120"/>
        <v>90640000</v>
      </c>
      <c r="AM1091" s="196">
        <f>+VLOOKUP(AF1091,'[2]CRP a 31 Agosto de 2018'!$J$8:$V$2956,13,0)</f>
        <v>51637333</v>
      </c>
      <c r="AN1091" s="196">
        <f>AL1091-AM1091</f>
        <v>39002667</v>
      </c>
      <c r="AO1091" s="63"/>
      <c r="AP1091" s="63"/>
      <c r="AQ1091" s="63"/>
      <c r="AR1091" s="81">
        <v>43102</v>
      </c>
      <c r="AS1091" s="63" t="s">
        <v>2848</v>
      </c>
      <c r="AT1091" s="81">
        <v>43102</v>
      </c>
      <c r="AU1091" s="63" t="s">
        <v>2855</v>
      </c>
      <c r="AV1091" s="63"/>
      <c r="AW1091" s="63"/>
    </row>
    <row r="1092" spans="1:49" ht="357.75" thickTop="1" thickBot="1" x14ac:dyDescent="0.3">
      <c r="A1092" s="193">
        <v>44</v>
      </c>
      <c r="B1092" s="85" t="s">
        <v>2999</v>
      </c>
      <c r="C1092" s="105" t="s">
        <v>2834</v>
      </c>
      <c r="D1092" s="63" t="s">
        <v>714</v>
      </c>
      <c r="E1092" s="106" t="s">
        <v>2835</v>
      </c>
      <c r="F1092" s="63" t="s">
        <v>52</v>
      </c>
      <c r="G1092" s="63" t="s">
        <v>53</v>
      </c>
      <c r="H1092" s="111" t="s">
        <v>733</v>
      </c>
      <c r="I1092" s="63" t="s">
        <v>55</v>
      </c>
      <c r="J1092" s="106" t="s">
        <v>56</v>
      </c>
      <c r="K1092" s="106">
        <v>801116</v>
      </c>
      <c r="L1092" s="106" t="s">
        <v>2836</v>
      </c>
      <c r="M1092" s="106" t="s">
        <v>2837</v>
      </c>
      <c r="N1092" s="106" t="s">
        <v>2838</v>
      </c>
      <c r="O1092" s="106" t="s">
        <v>2839</v>
      </c>
      <c r="P1092" s="107" t="s">
        <v>2851</v>
      </c>
      <c r="Q1092" s="197">
        <v>5253000</v>
      </c>
      <c r="R1092" s="63">
        <v>1</v>
      </c>
      <c r="S1092" s="198">
        <v>42024000</v>
      </c>
      <c r="T1092" s="112" t="s">
        <v>888</v>
      </c>
      <c r="U1092" s="63" t="s">
        <v>445</v>
      </c>
      <c r="V1092" s="81">
        <v>43125</v>
      </c>
      <c r="W1092" s="199">
        <v>8</v>
      </c>
      <c r="X1092" s="85" t="s">
        <v>3000</v>
      </c>
      <c r="Y1092" s="81">
        <v>43103</v>
      </c>
      <c r="Z1092" s="196">
        <v>42024000</v>
      </c>
      <c r="AA1092" s="84"/>
      <c r="AB1092" s="63">
        <v>194</v>
      </c>
      <c r="AC1092" s="81">
        <v>43105</v>
      </c>
      <c r="AD1092" s="196">
        <v>42024000</v>
      </c>
      <c r="AE1092" s="63"/>
      <c r="AF1092" s="63">
        <v>62</v>
      </c>
      <c r="AG1092" s="81">
        <v>43116</v>
      </c>
      <c r="AH1092" s="196">
        <v>42024000</v>
      </c>
      <c r="AI1092" s="84" t="s">
        <v>3001</v>
      </c>
      <c r="AJ1092" s="63">
        <v>27</v>
      </c>
      <c r="AK1092" s="63"/>
      <c r="AL1092" s="196">
        <f t="shared" si="120"/>
        <v>42024000</v>
      </c>
      <c r="AM1092" s="196">
        <f>+VLOOKUP(AF1092,'[2]CRP a 31 Agosto de 2018'!$J$8:$V$2956,13,0)</f>
        <v>34144500</v>
      </c>
      <c r="AN1092" s="196">
        <f>AL1092-AM1092</f>
        <v>7879500</v>
      </c>
      <c r="AO1092" s="63"/>
      <c r="AP1092" s="63"/>
      <c r="AQ1092" s="63"/>
      <c r="AR1092" s="81">
        <v>43102</v>
      </c>
      <c r="AS1092" s="63" t="s">
        <v>2848</v>
      </c>
      <c r="AT1092" s="81">
        <v>43102</v>
      </c>
      <c r="AU1092" s="63" t="s">
        <v>2855</v>
      </c>
      <c r="AV1092" s="63"/>
      <c r="AW1092" s="63"/>
    </row>
    <row r="1093" spans="1:49" ht="300.75" thickTop="1" thickBot="1" x14ac:dyDescent="0.3">
      <c r="A1093" s="193">
        <v>45</v>
      </c>
      <c r="B1093" s="85" t="s">
        <v>3002</v>
      </c>
      <c r="C1093" s="105" t="s">
        <v>2834</v>
      </c>
      <c r="D1093" s="63" t="s">
        <v>714</v>
      </c>
      <c r="E1093" s="106" t="s">
        <v>2843</v>
      </c>
      <c r="F1093" s="63" t="s">
        <v>52</v>
      </c>
      <c r="G1093" s="63" t="s">
        <v>53</v>
      </c>
      <c r="H1093" s="111" t="s">
        <v>733</v>
      </c>
      <c r="I1093" s="63" t="s">
        <v>55</v>
      </c>
      <c r="J1093" s="106" t="s">
        <v>56</v>
      </c>
      <c r="K1093" s="106">
        <v>801116</v>
      </c>
      <c r="L1093" s="106" t="s">
        <v>2836</v>
      </c>
      <c r="M1093" s="106" t="s">
        <v>2837</v>
      </c>
      <c r="N1093" s="106" t="s">
        <v>2838</v>
      </c>
      <c r="O1093" s="106" t="s">
        <v>2839</v>
      </c>
      <c r="P1093" s="107" t="s">
        <v>2851</v>
      </c>
      <c r="Q1093" s="197">
        <v>5253000</v>
      </c>
      <c r="R1093" s="63">
        <v>1</v>
      </c>
      <c r="S1093" s="198">
        <v>57783000</v>
      </c>
      <c r="T1093" s="112" t="s">
        <v>888</v>
      </c>
      <c r="U1093" s="63" t="s">
        <v>445</v>
      </c>
      <c r="V1093" s="81">
        <v>43125</v>
      </c>
      <c r="W1093" s="199">
        <v>11</v>
      </c>
      <c r="X1093" s="85" t="s">
        <v>3003</v>
      </c>
      <c r="Y1093" s="81">
        <v>43103</v>
      </c>
      <c r="Z1093" s="196">
        <v>57783000</v>
      </c>
      <c r="AA1093" s="84"/>
      <c r="AB1093" s="63">
        <v>195</v>
      </c>
      <c r="AC1093" s="81">
        <v>43105</v>
      </c>
      <c r="AD1093" s="196">
        <v>57783000</v>
      </c>
      <c r="AE1093" s="63"/>
      <c r="AF1093" s="63">
        <v>65</v>
      </c>
      <c r="AG1093" s="81">
        <v>43116</v>
      </c>
      <c r="AH1093" s="196">
        <v>57783000</v>
      </c>
      <c r="AI1093" s="84" t="s">
        <v>3004</v>
      </c>
      <c r="AJ1093" s="63">
        <v>30</v>
      </c>
      <c r="AK1093" s="63"/>
      <c r="AL1093" s="196">
        <f t="shared" si="120"/>
        <v>57783000</v>
      </c>
      <c r="AM1093" s="196">
        <f>+VLOOKUP(AF1093,'[2]CRP a 31 Agosto de 2018'!$J$8:$V$2956,13,0)</f>
        <v>34144500</v>
      </c>
      <c r="AN1093" s="196">
        <f t="shared" ref="AN1093:AN1094" si="122">AL1093-AM1093</f>
        <v>23638500</v>
      </c>
      <c r="AO1093" s="63"/>
      <c r="AP1093" s="63"/>
      <c r="AQ1093" s="63"/>
      <c r="AR1093" s="81">
        <v>43102</v>
      </c>
      <c r="AS1093" s="63" t="s">
        <v>2848</v>
      </c>
      <c r="AT1093" s="81">
        <v>43102</v>
      </c>
      <c r="AU1093" s="63" t="s">
        <v>2855</v>
      </c>
      <c r="AV1093" s="63"/>
      <c r="AW1093" s="63"/>
    </row>
    <row r="1094" spans="1:49" ht="357.75" thickTop="1" thickBot="1" x14ac:dyDescent="0.3">
      <c r="A1094" s="193">
        <v>46</v>
      </c>
      <c r="B1094" s="85" t="s">
        <v>3005</v>
      </c>
      <c r="C1094" s="105" t="s">
        <v>2834</v>
      </c>
      <c r="D1094" s="63" t="s">
        <v>714</v>
      </c>
      <c r="E1094" s="106" t="s">
        <v>2835</v>
      </c>
      <c r="F1094" s="63" t="s">
        <v>52</v>
      </c>
      <c r="G1094" s="63" t="s">
        <v>53</v>
      </c>
      <c r="H1094" s="111" t="s">
        <v>733</v>
      </c>
      <c r="I1094" s="63" t="s">
        <v>55</v>
      </c>
      <c r="J1094" s="106" t="s">
        <v>56</v>
      </c>
      <c r="K1094" s="106">
        <v>801116</v>
      </c>
      <c r="L1094" s="106" t="s">
        <v>2836</v>
      </c>
      <c r="M1094" s="106" t="s">
        <v>2837</v>
      </c>
      <c r="N1094" s="106" t="s">
        <v>2838</v>
      </c>
      <c r="O1094" s="106" t="s">
        <v>2839</v>
      </c>
      <c r="P1094" s="107" t="s">
        <v>2851</v>
      </c>
      <c r="Q1094" s="197">
        <v>5665000</v>
      </c>
      <c r="R1094" s="63">
        <v>1</v>
      </c>
      <c r="S1094" s="198">
        <v>62315000</v>
      </c>
      <c r="T1094" s="112" t="s">
        <v>888</v>
      </c>
      <c r="U1094" s="63" t="s">
        <v>445</v>
      </c>
      <c r="V1094" s="81">
        <v>43125</v>
      </c>
      <c r="W1094" s="199">
        <v>11</v>
      </c>
      <c r="X1094" s="85" t="s">
        <v>3006</v>
      </c>
      <c r="Y1094" s="81">
        <v>43103</v>
      </c>
      <c r="Z1094" s="196">
        <v>62315000</v>
      </c>
      <c r="AA1094" s="84"/>
      <c r="AB1094" s="63">
        <v>196</v>
      </c>
      <c r="AC1094" s="81">
        <v>43105</v>
      </c>
      <c r="AD1094" s="196">
        <v>62315000</v>
      </c>
      <c r="AE1094" s="63"/>
      <c r="AF1094" s="63">
        <v>77</v>
      </c>
      <c r="AG1094" s="81">
        <v>43116</v>
      </c>
      <c r="AH1094" s="196">
        <v>62315000</v>
      </c>
      <c r="AI1094" s="84" t="s">
        <v>3007</v>
      </c>
      <c r="AJ1094" s="63">
        <v>69</v>
      </c>
      <c r="AK1094" s="63"/>
      <c r="AL1094" s="196">
        <f t="shared" si="120"/>
        <v>62315000</v>
      </c>
      <c r="AM1094" s="196">
        <f>+VLOOKUP(AF1094,'[2]CRP a 31 Agosto de 2018'!$J$8:$V$2956,13,0)</f>
        <v>36633667</v>
      </c>
      <c r="AN1094" s="196">
        <f t="shared" si="122"/>
        <v>25681333</v>
      </c>
      <c r="AO1094" s="63"/>
      <c r="AP1094" s="63"/>
      <c r="AQ1094" s="63"/>
      <c r="AR1094" s="81">
        <v>43102</v>
      </c>
      <c r="AS1094" s="63" t="s">
        <v>2848</v>
      </c>
      <c r="AT1094" s="81">
        <v>43102</v>
      </c>
      <c r="AU1094" s="63" t="s">
        <v>2855</v>
      </c>
      <c r="AV1094" s="63"/>
      <c r="AW1094" s="63"/>
    </row>
    <row r="1095" spans="1:49" ht="409.6" thickTop="1" thickBot="1" x14ac:dyDescent="0.3">
      <c r="A1095" s="193">
        <v>47</v>
      </c>
      <c r="B1095" s="85" t="s">
        <v>3008</v>
      </c>
      <c r="C1095" s="105" t="s">
        <v>2834</v>
      </c>
      <c r="D1095" s="63" t="s">
        <v>714</v>
      </c>
      <c r="E1095" s="106" t="s">
        <v>2845</v>
      </c>
      <c r="F1095" s="63" t="s">
        <v>52</v>
      </c>
      <c r="G1095" s="63" t="s">
        <v>53</v>
      </c>
      <c r="H1095" s="111" t="s">
        <v>733</v>
      </c>
      <c r="I1095" s="63" t="s">
        <v>55</v>
      </c>
      <c r="J1095" s="106" t="s">
        <v>56</v>
      </c>
      <c r="K1095" s="106">
        <v>801116</v>
      </c>
      <c r="L1095" s="106" t="s">
        <v>2836</v>
      </c>
      <c r="M1095" s="106" t="s">
        <v>2837</v>
      </c>
      <c r="N1095" s="106" t="s">
        <v>2838</v>
      </c>
      <c r="O1095" s="106" t="s">
        <v>2839</v>
      </c>
      <c r="P1095" s="107" t="s">
        <v>3009</v>
      </c>
      <c r="Q1095" s="197">
        <v>7210000</v>
      </c>
      <c r="R1095" s="63">
        <v>1</v>
      </c>
      <c r="S1095" s="198">
        <v>79310000</v>
      </c>
      <c r="T1095" s="112" t="s">
        <v>888</v>
      </c>
      <c r="U1095" s="63" t="s">
        <v>445</v>
      </c>
      <c r="V1095" s="81">
        <v>43125</v>
      </c>
      <c r="W1095" s="199">
        <v>11</v>
      </c>
      <c r="X1095" s="85" t="s">
        <v>3010</v>
      </c>
      <c r="Y1095" s="81">
        <v>43103</v>
      </c>
      <c r="Z1095" s="196">
        <v>79310000</v>
      </c>
      <c r="AA1095" s="84"/>
      <c r="AB1095" s="63">
        <v>197</v>
      </c>
      <c r="AC1095" s="81">
        <v>43105</v>
      </c>
      <c r="AD1095" s="196">
        <v>79310000</v>
      </c>
      <c r="AE1095" s="63"/>
      <c r="AF1095" s="63">
        <v>174</v>
      </c>
      <c r="AG1095" s="81">
        <v>43118</v>
      </c>
      <c r="AH1095" s="196">
        <v>79310000</v>
      </c>
      <c r="AI1095" s="84" t="s">
        <v>3011</v>
      </c>
      <c r="AJ1095" s="63">
        <v>100</v>
      </c>
      <c r="AK1095" s="63"/>
      <c r="AL1095" s="196">
        <f t="shared" si="120"/>
        <v>79310000</v>
      </c>
      <c r="AM1095" s="196">
        <f>+VLOOKUP(AF1095,'[2]CRP a 31 Agosto de 2018'!$J$8:$V$2956,13,0)</f>
        <v>46384333</v>
      </c>
      <c r="AN1095" s="196">
        <f>AL1095-AM1095</f>
        <v>32925667</v>
      </c>
      <c r="AO1095" s="63"/>
      <c r="AP1095" s="63"/>
      <c r="AQ1095" s="63"/>
      <c r="AR1095" s="81">
        <v>43102</v>
      </c>
      <c r="AS1095" s="63" t="s">
        <v>2848</v>
      </c>
      <c r="AT1095" s="81">
        <v>43102</v>
      </c>
      <c r="AU1095" s="63" t="s">
        <v>2855</v>
      </c>
      <c r="AV1095" s="63"/>
      <c r="AW1095" s="63"/>
    </row>
    <row r="1096" spans="1:49" ht="409.6" thickTop="1" thickBot="1" x14ac:dyDescent="0.3">
      <c r="A1096" s="193">
        <v>48</v>
      </c>
      <c r="B1096" s="85" t="s">
        <v>3012</v>
      </c>
      <c r="C1096" s="105" t="s">
        <v>2834</v>
      </c>
      <c r="D1096" s="63" t="s">
        <v>714</v>
      </c>
      <c r="E1096" s="106" t="s">
        <v>2835</v>
      </c>
      <c r="F1096" s="63" t="s">
        <v>52</v>
      </c>
      <c r="G1096" s="63" t="s">
        <v>53</v>
      </c>
      <c r="H1096" s="111" t="s">
        <v>733</v>
      </c>
      <c r="I1096" s="63" t="s">
        <v>55</v>
      </c>
      <c r="J1096" s="106" t="s">
        <v>56</v>
      </c>
      <c r="K1096" s="106">
        <v>801116</v>
      </c>
      <c r="L1096" s="106" t="s">
        <v>2836</v>
      </c>
      <c r="M1096" s="106" t="s">
        <v>2837</v>
      </c>
      <c r="N1096" s="106" t="s">
        <v>2838</v>
      </c>
      <c r="O1096" s="106" t="s">
        <v>2839</v>
      </c>
      <c r="P1096" s="107" t="s">
        <v>2888</v>
      </c>
      <c r="Q1096" s="197">
        <v>3038500</v>
      </c>
      <c r="R1096" s="63">
        <v>1</v>
      </c>
      <c r="S1096" s="198">
        <v>21269500</v>
      </c>
      <c r="T1096" s="112" t="s">
        <v>928</v>
      </c>
      <c r="U1096" s="63" t="s">
        <v>445</v>
      </c>
      <c r="V1096" s="81">
        <v>43125</v>
      </c>
      <c r="W1096" s="199">
        <v>7</v>
      </c>
      <c r="X1096" s="85" t="s">
        <v>3013</v>
      </c>
      <c r="Y1096" s="81">
        <v>43103</v>
      </c>
      <c r="Z1096" s="196">
        <v>21269500</v>
      </c>
      <c r="AA1096" s="84"/>
      <c r="AB1096" s="63">
        <v>198</v>
      </c>
      <c r="AC1096" s="81">
        <v>43105</v>
      </c>
      <c r="AD1096" s="196">
        <v>21269500</v>
      </c>
      <c r="AE1096" s="63"/>
      <c r="AF1096" s="63">
        <v>472</v>
      </c>
      <c r="AG1096" s="203">
        <v>43126</v>
      </c>
      <c r="AH1096" s="196">
        <v>21269500</v>
      </c>
      <c r="AI1096" s="84" t="s">
        <v>3014</v>
      </c>
      <c r="AJ1096" s="63">
        <v>398</v>
      </c>
      <c r="AK1096" s="63"/>
      <c r="AL1096" s="196">
        <f t="shared" si="120"/>
        <v>21269500</v>
      </c>
      <c r="AM1096" s="196">
        <f>+VLOOKUP(AF1096,'[2]CRP a 31 Agosto de 2018'!$J$8:$V$2956,13,0)</f>
        <v>18737417</v>
      </c>
      <c r="AN1096" s="196">
        <f>+AL1096-AM1096</f>
        <v>2532083</v>
      </c>
      <c r="AO1096" s="63"/>
      <c r="AP1096" s="63"/>
      <c r="AQ1096" s="63"/>
      <c r="AR1096" s="81">
        <v>43102</v>
      </c>
      <c r="AS1096" s="63" t="s">
        <v>2848</v>
      </c>
      <c r="AT1096" s="81">
        <v>43102</v>
      </c>
      <c r="AU1096" s="63" t="s">
        <v>2855</v>
      </c>
      <c r="AV1096" s="63"/>
      <c r="AW1096" s="63"/>
    </row>
    <row r="1097" spans="1:49" ht="409.6" thickTop="1" thickBot="1" x14ac:dyDescent="0.3">
      <c r="A1097" s="193">
        <v>49</v>
      </c>
      <c r="B1097" s="85" t="s">
        <v>3015</v>
      </c>
      <c r="C1097" s="105" t="s">
        <v>2834</v>
      </c>
      <c r="D1097" s="63" t="s">
        <v>714</v>
      </c>
      <c r="E1097" s="106" t="s">
        <v>2835</v>
      </c>
      <c r="F1097" s="63" t="s">
        <v>52</v>
      </c>
      <c r="G1097" s="63" t="s">
        <v>53</v>
      </c>
      <c r="H1097" s="111" t="s">
        <v>733</v>
      </c>
      <c r="I1097" s="63" t="s">
        <v>55</v>
      </c>
      <c r="J1097" s="106" t="s">
        <v>56</v>
      </c>
      <c r="K1097" s="106">
        <v>801116</v>
      </c>
      <c r="L1097" s="106" t="s">
        <v>2836</v>
      </c>
      <c r="M1097" s="106" t="s">
        <v>2837</v>
      </c>
      <c r="N1097" s="106" t="s">
        <v>2838</v>
      </c>
      <c r="O1097" s="106" t="s">
        <v>2839</v>
      </c>
      <c r="P1097" s="107" t="s">
        <v>3016</v>
      </c>
      <c r="Q1097" s="197">
        <v>3399000</v>
      </c>
      <c r="R1097" s="63">
        <v>1</v>
      </c>
      <c r="S1097" s="198">
        <v>37389000</v>
      </c>
      <c r="T1097" s="112" t="s">
        <v>928</v>
      </c>
      <c r="U1097" s="63" t="s">
        <v>445</v>
      </c>
      <c r="V1097" s="81">
        <v>43125</v>
      </c>
      <c r="W1097" s="199">
        <v>11</v>
      </c>
      <c r="X1097" s="85" t="s">
        <v>3017</v>
      </c>
      <c r="Y1097" s="81">
        <v>43103</v>
      </c>
      <c r="Z1097" s="196">
        <v>37389000</v>
      </c>
      <c r="AA1097" s="84"/>
      <c r="AB1097" s="63">
        <v>209</v>
      </c>
      <c r="AC1097" s="81">
        <v>43105</v>
      </c>
      <c r="AD1097" s="196">
        <v>37389000</v>
      </c>
      <c r="AE1097" s="63"/>
      <c r="AF1097" s="63">
        <v>135</v>
      </c>
      <c r="AG1097" s="81">
        <v>43117</v>
      </c>
      <c r="AH1097" s="196">
        <v>37389000</v>
      </c>
      <c r="AI1097" s="84" t="s">
        <v>3018</v>
      </c>
      <c r="AJ1097" s="63">
        <v>144</v>
      </c>
      <c r="AK1097" s="63"/>
      <c r="AL1097" s="196">
        <v>37389000</v>
      </c>
      <c r="AM1097" s="196">
        <f>+VLOOKUP(AF1097,'[2]CRP a 31 Agosto de 2018'!$J$8:$V$2956,13,0)</f>
        <v>21866900</v>
      </c>
      <c r="AN1097" s="196">
        <f>AL1097-AM1097</f>
        <v>15522100</v>
      </c>
      <c r="AO1097" s="63"/>
      <c r="AP1097" s="63"/>
      <c r="AQ1097" s="63"/>
      <c r="AR1097" s="81">
        <v>43103</v>
      </c>
      <c r="AS1097" s="63" t="s">
        <v>2848</v>
      </c>
      <c r="AT1097" s="81">
        <v>43103</v>
      </c>
      <c r="AU1097" s="63" t="s">
        <v>2855</v>
      </c>
      <c r="AV1097" s="63"/>
      <c r="AW1097" s="63"/>
    </row>
    <row r="1098" spans="1:49" ht="409.6" thickTop="1" thickBot="1" x14ac:dyDescent="0.3">
      <c r="A1098" s="193">
        <v>51</v>
      </c>
      <c r="B1098" s="85" t="s">
        <v>3019</v>
      </c>
      <c r="C1098" s="105" t="s">
        <v>2834</v>
      </c>
      <c r="D1098" s="63" t="s">
        <v>714</v>
      </c>
      <c r="E1098" s="106" t="s">
        <v>2845</v>
      </c>
      <c r="F1098" s="63" t="s">
        <v>52</v>
      </c>
      <c r="G1098" s="63" t="s">
        <v>53</v>
      </c>
      <c r="H1098" s="111" t="s">
        <v>733</v>
      </c>
      <c r="I1098" s="63" t="s">
        <v>55</v>
      </c>
      <c r="J1098" s="106" t="s">
        <v>56</v>
      </c>
      <c r="K1098" s="106">
        <v>801116</v>
      </c>
      <c r="L1098" s="106" t="s">
        <v>2836</v>
      </c>
      <c r="M1098" s="106" t="s">
        <v>2837</v>
      </c>
      <c r="N1098" s="106" t="s">
        <v>2838</v>
      </c>
      <c r="O1098" s="106" t="s">
        <v>2839</v>
      </c>
      <c r="P1098" s="107" t="s">
        <v>2899</v>
      </c>
      <c r="Q1098" s="197">
        <v>4120000</v>
      </c>
      <c r="R1098" s="63">
        <v>1</v>
      </c>
      <c r="S1098" s="198">
        <v>45320000</v>
      </c>
      <c r="T1098" s="112" t="s">
        <v>888</v>
      </c>
      <c r="U1098" s="63" t="s">
        <v>445</v>
      </c>
      <c r="V1098" s="81">
        <v>43125</v>
      </c>
      <c r="W1098" s="199">
        <v>11</v>
      </c>
      <c r="X1098" s="85" t="s">
        <v>3020</v>
      </c>
      <c r="Y1098" s="81">
        <v>43103</v>
      </c>
      <c r="Z1098" s="196">
        <v>45320000</v>
      </c>
      <c r="AA1098" s="84"/>
      <c r="AB1098" s="63">
        <v>203</v>
      </c>
      <c r="AC1098" s="81">
        <v>43105</v>
      </c>
      <c r="AD1098" s="198">
        <v>45320000</v>
      </c>
      <c r="AE1098" s="63"/>
      <c r="AF1098" s="63">
        <v>67</v>
      </c>
      <c r="AG1098" s="81">
        <v>43116</v>
      </c>
      <c r="AH1098" s="196">
        <v>45320000</v>
      </c>
      <c r="AI1098" s="84" t="s">
        <v>3021</v>
      </c>
      <c r="AJ1098" s="63">
        <v>32</v>
      </c>
      <c r="AK1098" s="63"/>
      <c r="AL1098" s="196">
        <f t="shared" ref="AL1098:AL1099" si="123">AH1098</f>
        <v>45320000</v>
      </c>
      <c r="AM1098" s="196">
        <f>+VLOOKUP(AF1098,'[2]CRP a 31 Agosto de 2018'!$J$8:$V$2956,13,0)</f>
        <v>26780000</v>
      </c>
      <c r="AN1098" s="196">
        <f>AL1098-AM1098</f>
        <v>18540000</v>
      </c>
      <c r="AO1098" s="63"/>
      <c r="AP1098" s="63"/>
      <c r="AQ1098" s="63"/>
      <c r="AR1098" s="81">
        <v>43102</v>
      </c>
      <c r="AS1098" s="63" t="s">
        <v>2848</v>
      </c>
      <c r="AT1098" s="81">
        <v>43102</v>
      </c>
      <c r="AU1098" s="63" t="s">
        <v>2855</v>
      </c>
      <c r="AV1098" s="63"/>
      <c r="AW1098" s="63"/>
    </row>
    <row r="1099" spans="1:49" ht="409.6" thickTop="1" thickBot="1" x14ac:dyDescent="0.3">
      <c r="A1099" s="193">
        <v>52</v>
      </c>
      <c r="B1099" s="85" t="s">
        <v>3022</v>
      </c>
      <c r="C1099" s="105" t="s">
        <v>2834</v>
      </c>
      <c r="D1099" s="63" t="s">
        <v>714</v>
      </c>
      <c r="E1099" s="106" t="s">
        <v>2845</v>
      </c>
      <c r="F1099" s="63" t="s">
        <v>52</v>
      </c>
      <c r="G1099" s="63" t="s">
        <v>53</v>
      </c>
      <c r="H1099" s="111" t="s">
        <v>733</v>
      </c>
      <c r="I1099" s="63" t="s">
        <v>55</v>
      </c>
      <c r="J1099" s="106" t="s">
        <v>56</v>
      </c>
      <c r="K1099" s="106">
        <v>801116</v>
      </c>
      <c r="L1099" s="106" t="s">
        <v>2836</v>
      </c>
      <c r="M1099" s="106" t="s">
        <v>2837</v>
      </c>
      <c r="N1099" s="106" t="s">
        <v>2838</v>
      </c>
      <c r="O1099" s="106" t="s">
        <v>2839</v>
      </c>
      <c r="P1099" s="107" t="s">
        <v>3023</v>
      </c>
      <c r="Q1099" s="197">
        <v>4120000</v>
      </c>
      <c r="R1099" s="63">
        <v>1</v>
      </c>
      <c r="S1099" s="198">
        <v>45320000</v>
      </c>
      <c r="T1099" s="112" t="s">
        <v>888</v>
      </c>
      <c r="U1099" s="63" t="s">
        <v>445</v>
      </c>
      <c r="V1099" s="81">
        <v>43125</v>
      </c>
      <c r="W1099" s="199">
        <v>11</v>
      </c>
      <c r="X1099" s="85" t="s">
        <v>3024</v>
      </c>
      <c r="Y1099" s="81">
        <v>43103</v>
      </c>
      <c r="Z1099" s="196">
        <v>45320000</v>
      </c>
      <c r="AA1099" s="84"/>
      <c r="AB1099" s="63">
        <v>205</v>
      </c>
      <c r="AC1099" s="81">
        <v>43105</v>
      </c>
      <c r="AD1099" s="198">
        <v>45320000</v>
      </c>
      <c r="AE1099" s="63"/>
      <c r="AF1099" s="63">
        <v>284</v>
      </c>
      <c r="AG1099" s="81">
        <v>43122</v>
      </c>
      <c r="AH1099" s="196">
        <v>45320000</v>
      </c>
      <c r="AI1099" s="84" t="s">
        <v>3025</v>
      </c>
      <c r="AJ1099" s="63">
        <v>254</v>
      </c>
      <c r="AK1099" s="63"/>
      <c r="AL1099" s="196">
        <f t="shared" si="123"/>
        <v>45320000</v>
      </c>
      <c r="AM1099" s="196">
        <f>+VLOOKUP(AF1099,'[2]CRP a 31 Agosto de 2018'!$J$8:$V$2956,13,0)</f>
        <v>25956000</v>
      </c>
      <c r="AN1099" s="196">
        <f>AL1099-AM1099</f>
        <v>19364000</v>
      </c>
      <c r="AO1099" s="63"/>
      <c r="AP1099" s="63"/>
      <c r="AQ1099" s="63"/>
      <c r="AR1099" s="81">
        <v>43102</v>
      </c>
      <c r="AS1099" s="63" t="s">
        <v>2848</v>
      </c>
      <c r="AT1099" s="81">
        <v>43102</v>
      </c>
      <c r="AU1099" s="63" t="s">
        <v>2855</v>
      </c>
      <c r="AV1099" s="63"/>
      <c r="AW1099" s="63"/>
    </row>
    <row r="1100" spans="1:49" ht="409.6" thickTop="1" thickBot="1" x14ac:dyDescent="0.3">
      <c r="A1100" s="193">
        <v>53</v>
      </c>
      <c r="B1100" s="85" t="s">
        <v>3026</v>
      </c>
      <c r="C1100" s="105" t="s">
        <v>2834</v>
      </c>
      <c r="D1100" s="63" t="s">
        <v>714</v>
      </c>
      <c r="E1100" s="106" t="s">
        <v>2845</v>
      </c>
      <c r="F1100" s="63" t="s">
        <v>52</v>
      </c>
      <c r="G1100" s="63" t="s">
        <v>53</v>
      </c>
      <c r="H1100" s="111" t="s">
        <v>733</v>
      </c>
      <c r="I1100" s="63" t="s">
        <v>55</v>
      </c>
      <c r="J1100" s="106" t="s">
        <v>56</v>
      </c>
      <c r="K1100" s="106">
        <v>801116</v>
      </c>
      <c r="L1100" s="106" t="s">
        <v>2836</v>
      </c>
      <c r="M1100" s="106" t="s">
        <v>2837</v>
      </c>
      <c r="N1100" s="106" t="s">
        <v>2838</v>
      </c>
      <c r="O1100" s="106" t="s">
        <v>2839</v>
      </c>
      <c r="P1100" s="107" t="s">
        <v>3027</v>
      </c>
      <c r="Q1100" s="197">
        <v>1259175</v>
      </c>
      <c r="R1100" s="63">
        <v>1</v>
      </c>
      <c r="S1100" s="198">
        <v>0</v>
      </c>
      <c r="T1100" s="112" t="s">
        <v>888</v>
      </c>
      <c r="U1100" s="63" t="s">
        <v>445</v>
      </c>
      <c r="V1100" s="81">
        <v>43125</v>
      </c>
      <c r="W1100" s="199">
        <v>11</v>
      </c>
      <c r="X1100" s="200" t="s">
        <v>3028</v>
      </c>
      <c r="Y1100" s="81">
        <v>43109</v>
      </c>
      <c r="Z1100" s="201" t="s">
        <v>2853</v>
      </c>
      <c r="AA1100" s="201" t="s">
        <v>2853</v>
      </c>
      <c r="AB1100" s="201" t="s">
        <v>2853</v>
      </c>
      <c r="AC1100" s="201" t="s">
        <v>2853</v>
      </c>
      <c r="AD1100" s="198" t="s">
        <v>2853</v>
      </c>
      <c r="AE1100" s="201" t="s">
        <v>2853</v>
      </c>
      <c r="AF1100" s="201" t="s">
        <v>2853</v>
      </c>
      <c r="AG1100" s="201" t="s">
        <v>2853</v>
      </c>
      <c r="AH1100" s="196" t="s">
        <v>2853</v>
      </c>
      <c r="AI1100" s="201" t="s">
        <v>2853</v>
      </c>
      <c r="AJ1100" s="201" t="s">
        <v>2853</v>
      </c>
      <c r="AK1100" s="201" t="s">
        <v>2853</v>
      </c>
      <c r="AL1100" s="196"/>
      <c r="AM1100" s="196">
        <v>0</v>
      </c>
      <c r="AN1100" s="201" t="s">
        <v>2853</v>
      </c>
      <c r="AO1100" s="201" t="s">
        <v>2853</v>
      </c>
      <c r="AP1100" s="201" t="s">
        <v>2853</v>
      </c>
      <c r="AQ1100" s="113" t="s">
        <v>3029</v>
      </c>
      <c r="AR1100" s="114">
        <v>43109</v>
      </c>
      <c r="AS1100" s="113" t="s">
        <v>2848</v>
      </c>
      <c r="AT1100" s="114">
        <v>43109</v>
      </c>
      <c r="AU1100" s="113" t="s">
        <v>2855</v>
      </c>
      <c r="AV1100" s="201" t="s">
        <v>2853</v>
      </c>
      <c r="AW1100" s="204" t="s">
        <v>2853</v>
      </c>
    </row>
    <row r="1101" spans="1:49" ht="357.75" thickTop="1" thickBot="1" x14ac:dyDescent="0.3">
      <c r="A1101" s="193">
        <v>54</v>
      </c>
      <c r="B1101" s="85" t="s">
        <v>3030</v>
      </c>
      <c r="C1101" s="105" t="s">
        <v>2834</v>
      </c>
      <c r="D1101" s="63" t="s">
        <v>714</v>
      </c>
      <c r="E1101" s="106" t="s">
        <v>2835</v>
      </c>
      <c r="F1101" s="63" t="s">
        <v>52</v>
      </c>
      <c r="G1101" s="63" t="s">
        <v>53</v>
      </c>
      <c r="H1101" s="111" t="s">
        <v>733</v>
      </c>
      <c r="I1101" s="63" t="s">
        <v>55</v>
      </c>
      <c r="J1101" s="106" t="s">
        <v>56</v>
      </c>
      <c r="K1101" s="106">
        <v>801116</v>
      </c>
      <c r="L1101" s="106" t="s">
        <v>2836</v>
      </c>
      <c r="M1101" s="106" t="s">
        <v>2837</v>
      </c>
      <c r="N1101" s="106" t="s">
        <v>2838</v>
      </c>
      <c r="O1101" s="106" t="s">
        <v>2839</v>
      </c>
      <c r="P1101" s="107" t="s">
        <v>3031</v>
      </c>
      <c r="Q1101" s="197">
        <v>1030000</v>
      </c>
      <c r="R1101" s="63">
        <v>1</v>
      </c>
      <c r="S1101" s="198">
        <v>0</v>
      </c>
      <c r="T1101" s="112" t="s">
        <v>888</v>
      </c>
      <c r="U1101" s="63" t="s">
        <v>445</v>
      </c>
      <c r="V1101" s="81">
        <v>43125</v>
      </c>
      <c r="W1101" s="199">
        <v>11</v>
      </c>
      <c r="X1101" s="200" t="s">
        <v>3032</v>
      </c>
      <c r="Y1101" s="81">
        <v>43109</v>
      </c>
      <c r="Z1101" s="201" t="s">
        <v>2853</v>
      </c>
      <c r="AA1101" s="201" t="s">
        <v>2853</v>
      </c>
      <c r="AB1101" s="201" t="s">
        <v>2853</v>
      </c>
      <c r="AC1101" s="201" t="s">
        <v>2853</v>
      </c>
      <c r="AD1101" s="198" t="s">
        <v>2853</v>
      </c>
      <c r="AE1101" s="201" t="s">
        <v>2853</v>
      </c>
      <c r="AF1101" s="201" t="s">
        <v>2853</v>
      </c>
      <c r="AG1101" s="201" t="s">
        <v>2853</v>
      </c>
      <c r="AH1101" s="196" t="s">
        <v>2853</v>
      </c>
      <c r="AI1101" s="201" t="s">
        <v>2853</v>
      </c>
      <c r="AJ1101" s="201" t="s">
        <v>2853</v>
      </c>
      <c r="AK1101" s="201" t="s">
        <v>2853</v>
      </c>
      <c r="AL1101" s="196"/>
      <c r="AM1101" s="196">
        <v>0</v>
      </c>
      <c r="AN1101" s="201" t="s">
        <v>2853</v>
      </c>
      <c r="AO1101" s="201" t="s">
        <v>2853</v>
      </c>
      <c r="AP1101" s="201" t="s">
        <v>2853</v>
      </c>
      <c r="AQ1101" s="113" t="s">
        <v>3033</v>
      </c>
      <c r="AR1101" s="114">
        <v>43109</v>
      </c>
      <c r="AS1101" s="113" t="s">
        <v>2848</v>
      </c>
      <c r="AT1101" s="114">
        <v>43109</v>
      </c>
      <c r="AU1101" s="113" t="s">
        <v>2855</v>
      </c>
      <c r="AV1101" s="201" t="s">
        <v>2853</v>
      </c>
      <c r="AW1101" s="204" t="s">
        <v>2853</v>
      </c>
    </row>
    <row r="1102" spans="1:49" ht="409.6" thickTop="1" thickBot="1" x14ac:dyDescent="0.3">
      <c r="A1102" s="193">
        <v>55</v>
      </c>
      <c r="B1102" s="85" t="s">
        <v>3034</v>
      </c>
      <c r="C1102" s="105" t="s">
        <v>2834</v>
      </c>
      <c r="D1102" s="63" t="s">
        <v>714</v>
      </c>
      <c r="E1102" s="106" t="s">
        <v>2845</v>
      </c>
      <c r="F1102" s="63" t="s">
        <v>52</v>
      </c>
      <c r="G1102" s="63" t="s">
        <v>53</v>
      </c>
      <c r="H1102" s="111" t="s">
        <v>733</v>
      </c>
      <c r="I1102" s="63" t="s">
        <v>55</v>
      </c>
      <c r="J1102" s="106" t="s">
        <v>56</v>
      </c>
      <c r="K1102" s="106">
        <v>801116</v>
      </c>
      <c r="L1102" s="106" t="s">
        <v>2836</v>
      </c>
      <c r="M1102" s="106" t="s">
        <v>2837</v>
      </c>
      <c r="N1102" s="106" t="s">
        <v>2838</v>
      </c>
      <c r="O1102" s="106" t="s">
        <v>2839</v>
      </c>
      <c r="P1102" s="107" t="s">
        <v>81</v>
      </c>
      <c r="Q1102" s="197">
        <v>2060000</v>
      </c>
      <c r="R1102" s="63">
        <v>1</v>
      </c>
      <c r="S1102" s="198">
        <v>22660000</v>
      </c>
      <c r="T1102" s="112" t="s">
        <v>888</v>
      </c>
      <c r="U1102" s="63" t="s">
        <v>445</v>
      </c>
      <c r="V1102" s="81">
        <v>43125</v>
      </c>
      <c r="W1102" s="199">
        <v>11</v>
      </c>
      <c r="X1102" s="85" t="s">
        <v>3035</v>
      </c>
      <c r="Y1102" s="81">
        <v>43103</v>
      </c>
      <c r="Z1102" s="196">
        <v>22660000</v>
      </c>
      <c r="AA1102" s="84"/>
      <c r="AB1102" s="63">
        <v>207</v>
      </c>
      <c r="AC1102" s="81">
        <v>43105</v>
      </c>
      <c r="AD1102" s="198">
        <v>22660000</v>
      </c>
      <c r="AE1102" s="63"/>
      <c r="AF1102" s="63">
        <v>45</v>
      </c>
      <c r="AG1102" s="205">
        <v>43116</v>
      </c>
      <c r="AH1102" s="196">
        <v>22660000</v>
      </c>
      <c r="AI1102" s="84" t="s">
        <v>83</v>
      </c>
      <c r="AJ1102" s="63">
        <v>36</v>
      </c>
      <c r="AK1102" s="63"/>
      <c r="AL1102" s="196">
        <v>22660000</v>
      </c>
      <c r="AM1102" s="196">
        <f>+VLOOKUP(AF1102,'[2]CRP a 31 Agosto de 2018'!$J$8:$V$2956,13,0)</f>
        <v>12360000</v>
      </c>
      <c r="AN1102" s="196">
        <f>+AL1102-AM1102</f>
        <v>10300000</v>
      </c>
      <c r="AO1102" s="63"/>
      <c r="AP1102" s="63"/>
      <c r="AQ1102" s="63"/>
      <c r="AR1102" s="81">
        <v>43102</v>
      </c>
      <c r="AS1102" s="63" t="s">
        <v>2848</v>
      </c>
      <c r="AT1102" s="81">
        <v>43102</v>
      </c>
      <c r="AU1102" s="63" t="s">
        <v>2855</v>
      </c>
      <c r="AV1102" s="63"/>
      <c r="AW1102" s="63"/>
    </row>
    <row r="1103" spans="1:49" ht="409.6" thickTop="1" thickBot="1" x14ac:dyDescent="0.3">
      <c r="A1103" s="193">
        <v>56</v>
      </c>
      <c r="B1103" s="85" t="s">
        <v>3036</v>
      </c>
      <c r="C1103" s="105" t="s">
        <v>2834</v>
      </c>
      <c r="D1103" s="63" t="s">
        <v>714</v>
      </c>
      <c r="E1103" s="106" t="s">
        <v>2845</v>
      </c>
      <c r="F1103" s="63" t="s">
        <v>52</v>
      </c>
      <c r="G1103" s="63" t="s">
        <v>53</v>
      </c>
      <c r="H1103" s="111" t="s">
        <v>733</v>
      </c>
      <c r="I1103" s="63" t="s">
        <v>55</v>
      </c>
      <c r="J1103" s="106" t="s">
        <v>56</v>
      </c>
      <c r="K1103" s="106">
        <v>801116</v>
      </c>
      <c r="L1103" s="106" t="s">
        <v>2836</v>
      </c>
      <c r="M1103" s="106" t="s">
        <v>2837</v>
      </c>
      <c r="N1103" s="106" t="s">
        <v>2838</v>
      </c>
      <c r="O1103" s="106" t="s">
        <v>2839</v>
      </c>
      <c r="P1103" s="107" t="s">
        <v>3037</v>
      </c>
      <c r="Q1103" s="197">
        <v>2060000</v>
      </c>
      <c r="R1103" s="63">
        <v>1</v>
      </c>
      <c r="S1103" s="198">
        <v>22591333</v>
      </c>
      <c r="T1103" s="112" t="s">
        <v>888</v>
      </c>
      <c r="U1103" s="63" t="s">
        <v>445</v>
      </c>
      <c r="V1103" s="81">
        <v>43125</v>
      </c>
      <c r="W1103" s="199">
        <v>11</v>
      </c>
      <c r="X1103" s="85" t="s">
        <v>3038</v>
      </c>
      <c r="Y1103" s="81">
        <v>43110</v>
      </c>
      <c r="Z1103" s="196">
        <v>22591333</v>
      </c>
      <c r="AA1103" s="84"/>
      <c r="AB1103" s="63">
        <v>340</v>
      </c>
      <c r="AC1103" s="81">
        <v>43110</v>
      </c>
      <c r="AD1103" s="198">
        <v>22660000</v>
      </c>
      <c r="AE1103" s="63"/>
      <c r="AF1103" s="63">
        <v>153</v>
      </c>
      <c r="AG1103" s="81">
        <v>43117</v>
      </c>
      <c r="AH1103" s="196">
        <v>22591333</v>
      </c>
      <c r="AI1103" s="84" t="s">
        <v>324</v>
      </c>
      <c r="AJ1103" s="63">
        <v>155</v>
      </c>
      <c r="AK1103" s="63"/>
      <c r="AL1103" s="196">
        <v>22591333</v>
      </c>
      <c r="AM1103" s="196">
        <f>+VLOOKUP(AF1103,'[2]CRP a 31 Agosto de 2018'!$J$8:$V$2956,13,0)</f>
        <v>13252666</v>
      </c>
      <c r="AN1103" s="196">
        <f>AL1103-AM1103</f>
        <v>9338667</v>
      </c>
      <c r="AO1103" s="63"/>
      <c r="AP1103" s="63"/>
      <c r="AQ1103" s="63"/>
      <c r="AR1103" s="81">
        <v>43109</v>
      </c>
      <c r="AS1103" s="63" t="s">
        <v>2848</v>
      </c>
      <c r="AT1103" s="81">
        <v>43109</v>
      </c>
      <c r="AU1103" s="63" t="s">
        <v>2855</v>
      </c>
      <c r="AV1103" s="63"/>
      <c r="AW1103" s="63"/>
    </row>
    <row r="1104" spans="1:49" ht="409.6" thickTop="1" thickBot="1" x14ac:dyDescent="0.3">
      <c r="A1104" s="193">
        <v>57</v>
      </c>
      <c r="B1104" s="85" t="s">
        <v>3039</v>
      </c>
      <c r="C1104" s="105" t="s">
        <v>2834</v>
      </c>
      <c r="D1104" s="63" t="s">
        <v>714</v>
      </c>
      <c r="E1104" s="106" t="s">
        <v>2845</v>
      </c>
      <c r="F1104" s="63" t="s">
        <v>52</v>
      </c>
      <c r="G1104" s="63" t="s">
        <v>53</v>
      </c>
      <c r="H1104" s="111" t="s">
        <v>733</v>
      </c>
      <c r="I1104" s="63" t="s">
        <v>55</v>
      </c>
      <c r="J1104" s="106" t="s">
        <v>56</v>
      </c>
      <c r="K1104" s="106">
        <v>801116</v>
      </c>
      <c r="L1104" s="106" t="s">
        <v>2836</v>
      </c>
      <c r="M1104" s="106" t="s">
        <v>2837</v>
      </c>
      <c r="N1104" s="106" t="s">
        <v>2838</v>
      </c>
      <c r="O1104" s="106" t="s">
        <v>2839</v>
      </c>
      <c r="P1104" s="107" t="s">
        <v>386</v>
      </c>
      <c r="Q1104" s="197">
        <v>915026</v>
      </c>
      <c r="R1104" s="63">
        <v>1</v>
      </c>
      <c r="S1104" s="198">
        <f>10065286-293161</f>
        <v>9772125</v>
      </c>
      <c r="T1104" s="112" t="s">
        <v>888</v>
      </c>
      <c r="U1104" s="63" t="s">
        <v>445</v>
      </c>
      <c r="V1104" s="81">
        <v>43125</v>
      </c>
      <c r="W1104" s="199">
        <v>11</v>
      </c>
      <c r="X1104" s="85" t="s">
        <v>3040</v>
      </c>
      <c r="Y1104" s="81">
        <v>43110</v>
      </c>
      <c r="Z1104" s="196">
        <v>9772125</v>
      </c>
      <c r="AA1104" s="84"/>
      <c r="AB1104" s="63">
        <v>324</v>
      </c>
      <c r="AC1104" s="81">
        <v>43110</v>
      </c>
      <c r="AD1104" s="198">
        <v>10065286</v>
      </c>
      <c r="AE1104" s="63"/>
      <c r="AF1104" s="63">
        <v>292</v>
      </c>
      <c r="AG1104" s="81">
        <v>43122</v>
      </c>
      <c r="AH1104" s="196">
        <v>9772125</v>
      </c>
      <c r="AI1104" s="84" t="s">
        <v>388</v>
      </c>
      <c r="AJ1104" s="63">
        <v>261</v>
      </c>
      <c r="AK1104" s="63"/>
      <c r="AL1104" s="196">
        <f t="shared" ref="AL1104" si="124">AH1104</f>
        <v>9772125</v>
      </c>
      <c r="AM1104" s="196">
        <f>+VLOOKUP(AF1104,'[2]CRP a 31 Agosto de 2018'!$J$8:$V$2956,13,0)</f>
        <v>5596787</v>
      </c>
      <c r="AN1104" s="196">
        <f>+AL1104-AM1104</f>
        <v>4175338</v>
      </c>
      <c r="AO1104" s="63"/>
      <c r="AP1104" s="63"/>
      <c r="AQ1104" s="63"/>
      <c r="AR1104" s="81">
        <v>43109</v>
      </c>
      <c r="AS1104" s="63" t="s">
        <v>2848</v>
      </c>
      <c r="AT1104" s="81">
        <v>43109</v>
      </c>
      <c r="AU1104" s="63" t="s">
        <v>2855</v>
      </c>
      <c r="AV1104" s="63"/>
      <c r="AW1104" s="63"/>
    </row>
    <row r="1105" spans="1:49" ht="409.6" thickTop="1" thickBot="1" x14ac:dyDescent="0.3">
      <c r="A1105" s="193">
        <v>58</v>
      </c>
      <c r="B1105" s="85" t="s">
        <v>3041</v>
      </c>
      <c r="C1105" s="105" t="s">
        <v>2834</v>
      </c>
      <c r="D1105" s="63" t="s">
        <v>714</v>
      </c>
      <c r="E1105" s="106" t="s">
        <v>2845</v>
      </c>
      <c r="F1105" s="63" t="s">
        <v>52</v>
      </c>
      <c r="G1105" s="63" t="s">
        <v>53</v>
      </c>
      <c r="H1105" s="111" t="s">
        <v>733</v>
      </c>
      <c r="I1105" s="63" t="s">
        <v>55</v>
      </c>
      <c r="J1105" s="106" t="s">
        <v>56</v>
      </c>
      <c r="K1105" s="106">
        <v>801116</v>
      </c>
      <c r="L1105" s="106" t="s">
        <v>2836</v>
      </c>
      <c r="M1105" s="106" t="s">
        <v>2837</v>
      </c>
      <c r="N1105" s="106" t="s">
        <v>2838</v>
      </c>
      <c r="O1105" s="106" t="s">
        <v>2839</v>
      </c>
      <c r="P1105" s="107" t="s">
        <v>3042</v>
      </c>
      <c r="Q1105" s="197">
        <v>2343635</v>
      </c>
      <c r="R1105" s="63">
        <v>1</v>
      </c>
      <c r="S1105" s="198">
        <v>9660489</v>
      </c>
      <c r="T1105" s="112" t="s">
        <v>3043</v>
      </c>
      <c r="U1105" s="63" t="s">
        <v>445</v>
      </c>
      <c r="V1105" s="81">
        <v>43115</v>
      </c>
      <c r="W1105" s="199">
        <v>11</v>
      </c>
      <c r="X1105" s="85" t="s">
        <v>3044</v>
      </c>
      <c r="Y1105" s="81">
        <v>43115</v>
      </c>
      <c r="Z1105" s="196">
        <v>9660489</v>
      </c>
      <c r="AA1105" s="84"/>
      <c r="AB1105" s="63">
        <v>536</v>
      </c>
      <c r="AC1105" s="81">
        <v>43118</v>
      </c>
      <c r="AD1105" s="198">
        <v>9660489</v>
      </c>
      <c r="AE1105" s="63"/>
      <c r="AF1105" s="63" t="s">
        <v>3045</v>
      </c>
      <c r="AG1105" s="81">
        <v>43136</v>
      </c>
      <c r="AH1105" s="196">
        <v>5521300</v>
      </c>
      <c r="AI1105" s="84" t="s">
        <v>3046</v>
      </c>
      <c r="AJ1105" s="63">
        <v>2</v>
      </c>
      <c r="AK1105" s="63"/>
      <c r="AL1105" s="196">
        <v>5521300</v>
      </c>
      <c r="AM1105" s="196">
        <v>5521300</v>
      </c>
      <c r="AN1105" s="196"/>
      <c r="AO1105" s="63"/>
      <c r="AP1105" s="63"/>
      <c r="AQ1105" s="63"/>
      <c r="AR1105" s="81">
        <v>43115</v>
      </c>
      <c r="AS1105" s="63" t="s">
        <v>2848</v>
      </c>
      <c r="AT1105" s="81">
        <v>43115</v>
      </c>
      <c r="AU1105" s="63" t="s">
        <v>2855</v>
      </c>
      <c r="AV1105" s="63"/>
      <c r="AW1105" s="63"/>
    </row>
    <row r="1106" spans="1:49" ht="357.75" thickTop="1" thickBot="1" x14ac:dyDescent="0.3">
      <c r="A1106" s="193">
        <v>59</v>
      </c>
      <c r="B1106" s="85" t="s">
        <v>3047</v>
      </c>
      <c r="C1106" s="105" t="s">
        <v>2834</v>
      </c>
      <c r="D1106" s="63" t="s">
        <v>714</v>
      </c>
      <c r="E1106" s="106" t="s">
        <v>2835</v>
      </c>
      <c r="F1106" s="63" t="s">
        <v>52</v>
      </c>
      <c r="G1106" s="63" t="s">
        <v>53</v>
      </c>
      <c r="H1106" s="111" t="s">
        <v>733</v>
      </c>
      <c r="I1106" s="63" t="s">
        <v>55</v>
      </c>
      <c r="J1106" s="106" t="s">
        <v>56</v>
      </c>
      <c r="K1106" s="106">
        <v>801116</v>
      </c>
      <c r="L1106" s="63" t="s">
        <v>2836</v>
      </c>
      <c r="M1106" s="63" t="s">
        <v>58</v>
      </c>
      <c r="N1106" s="63" t="s">
        <v>59</v>
      </c>
      <c r="O1106" s="63" t="s">
        <v>3048</v>
      </c>
      <c r="P1106" s="107" t="s">
        <v>3049</v>
      </c>
      <c r="Q1106" s="197">
        <v>3636363.6363636362</v>
      </c>
      <c r="R1106" s="63">
        <v>1</v>
      </c>
      <c r="S1106" s="198">
        <f>40000000-40000000</f>
        <v>0</v>
      </c>
      <c r="T1106" s="112" t="s">
        <v>3050</v>
      </c>
      <c r="U1106" s="63" t="s">
        <v>723</v>
      </c>
      <c r="V1106" s="81">
        <v>43348</v>
      </c>
      <c r="W1106" s="199">
        <v>11</v>
      </c>
      <c r="X1106" s="85"/>
      <c r="Y1106" s="81"/>
      <c r="Z1106" s="84"/>
      <c r="AA1106" s="84"/>
      <c r="AB1106" s="63"/>
      <c r="AC1106" s="63"/>
      <c r="AD1106" s="198"/>
      <c r="AE1106" s="63"/>
      <c r="AF1106" s="63"/>
      <c r="AG1106" s="63"/>
      <c r="AH1106" s="196"/>
      <c r="AI1106" s="84" t="s">
        <v>3051</v>
      </c>
      <c r="AJ1106" s="63"/>
      <c r="AK1106" s="63"/>
      <c r="AL1106" s="196"/>
      <c r="AM1106" s="196">
        <v>0</v>
      </c>
      <c r="AN1106" s="63"/>
      <c r="AO1106" s="63"/>
      <c r="AP1106" s="63"/>
      <c r="AQ1106" s="63"/>
      <c r="AR1106" s="63"/>
      <c r="AS1106" s="63"/>
      <c r="AT1106" s="63"/>
      <c r="AU1106" s="63"/>
      <c r="AV1106" s="63"/>
      <c r="AW1106" s="63"/>
    </row>
    <row r="1107" spans="1:49" ht="300.75" thickTop="1" thickBot="1" x14ac:dyDescent="0.3">
      <c r="A1107" s="193">
        <v>60</v>
      </c>
      <c r="B1107" s="85" t="s">
        <v>3052</v>
      </c>
      <c r="C1107" s="105" t="s">
        <v>2834</v>
      </c>
      <c r="D1107" s="63" t="s">
        <v>714</v>
      </c>
      <c r="E1107" s="106" t="s">
        <v>2843</v>
      </c>
      <c r="F1107" s="63" t="s">
        <v>52</v>
      </c>
      <c r="G1107" s="63" t="s">
        <v>53</v>
      </c>
      <c r="H1107" s="111" t="s">
        <v>733</v>
      </c>
      <c r="I1107" s="63" t="s">
        <v>55</v>
      </c>
      <c r="J1107" s="106" t="s">
        <v>56</v>
      </c>
      <c r="K1107" s="106">
        <v>801116</v>
      </c>
      <c r="L1107" s="63" t="s">
        <v>2836</v>
      </c>
      <c r="M1107" s="63" t="s">
        <v>58</v>
      </c>
      <c r="N1107" s="63" t="s">
        <v>59</v>
      </c>
      <c r="O1107" s="63" t="s">
        <v>3048</v>
      </c>
      <c r="P1107" s="107" t="s">
        <v>3049</v>
      </c>
      <c r="Q1107" s="197">
        <v>2386363.6363636362</v>
      </c>
      <c r="R1107" s="63">
        <v>1</v>
      </c>
      <c r="S1107" s="198">
        <f>26250000-26250000</f>
        <v>0</v>
      </c>
      <c r="T1107" s="112" t="s">
        <v>3050</v>
      </c>
      <c r="U1107" s="63" t="s">
        <v>723</v>
      </c>
      <c r="V1107" s="81">
        <v>43348</v>
      </c>
      <c r="W1107" s="199">
        <v>11</v>
      </c>
      <c r="X1107" s="85"/>
      <c r="Y1107" s="81"/>
      <c r="Z1107" s="84"/>
      <c r="AA1107" s="84"/>
      <c r="AB1107" s="63"/>
      <c r="AC1107" s="63"/>
      <c r="AD1107" s="198"/>
      <c r="AE1107" s="63"/>
      <c r="AF1107" s="63"/>
      <c r="AG1107" s="63"/>
      <c r="AH1107" s="196"/>
      <c r="AI1107" s="84" t="s">
        <v>3051</v>
      </c>
      <c r="AJ1107" s="63"/>
      <c r="AK1107" s="63"/>
      <c r="AL1107" s="196"/>
      <c r="AM1107" s="196">
        <v>0</v>
      </c>
      <c r="AN1107" s="63"/>
      <c r="AO1107" s="63"/>
      <c r="AP1107" s="63"/>
      <c r="AQ1107" s="63"/>
      <c r="AR1107" s="63"/>
      <c r="AS1107" s="63"/>
      <c r="AT1107" s="63"/>
      <c r="AU1107" s="63"/>
      <c r="AV1107" s="63"/>
      <c r="AW1107" s="63"/>
    </row>
    <row r="1108" spans="1:49" ht="409.6" thickTop="1" thickBot="1" x14ac:dyDescent="0.3">
      <c r="A1108" s="193">
        <v>61</v>
      </c>
      <c r="B1108" s="85" t="s">
        <v>3053</v>
      </c>
      <c r="C1108" s="105" t="s">
        <v>2834</v>
      </c>
      <c r="D1108" s="63" t="s">
        <v>714</v>
      </c>
      <c r="E1108" s="106" t="s">
        <v>2845</v>
      </c>
      <c r="F1108" s="63" t="s">
        <v>52</v>
      </c>
      <c r="G1108" s="63" t="s">
        <v>53</v>
      </c>
      <c r="H1108" s="111" t="s">
        <v>733</v>
      </c>
      <c r="I1108" s="63" t="s">
        <v>55</v>
      </c>
      <c r="J1108" s="106" t="s">
        <v>56</v>
      </c>
      <c r="K1108" s="106">
        <v>801116</v>
      </c>
      <c r="L1108" s="63" t="s">
        <v>2836</v>
      </c>
      <c r="M1108" s="63" t="s">
        <v>58</v>
      </c>
      <c r="N1108" s="63" t="s">
        <v>59</v>
      </c>
      <c r="O1108" s="63" t="s">
        <v>3048</v>
      </c>
      <c r="P1108" s="107" t="s">
        <v>729</v>
      </c>
      <c r="Q1108" s="197">
        <v>7386363.6363636367</v>
      </c>
      <c r="R1108" s="63">
        <v>1</v>
      </c>
      <c r="S1108" s="198">
        <f>81250000-30000000-51250000</f>
        <v>0</v>
      </c>
      <c r="T1108" s="112" t="s">
        <v>3054</v>
      </c>
      <c r="U1108" s="63" t="s">
        <v>723</v>
      </c>
      <c r="V1108" s="81">
        <v>43225</v>
      </c>
      <c r="W1108" s="199">
        <v>11</v>
      </c>
      <c r="X1108" s="85"/>
      <c r="Y1108" s="81"/>
      <c r="Z1108" s="84"/>
      <c r="AA1108" s="84"/>
      <c r="AB1108" s="63"/>
      <c r="AC1108" s="63"/>
      <c r="AD1108" s="198"/>
      <c r="AE1108" s="63"/>
      <c r="AF1108" s="63"/>
      <c r="AG1108" s="63"/>
      <c r="AH1108" s="196"/>
      <c r="AI1108" s="84" t="s">
        <v>3055</v>
      </c>
      <c r="AJ1108" s="63"/>
      <c r="AK1108" s="63"/>
      <c r="AL1108" s="196"/>
      <c r="AM1108" s="196">
        <v>0</v>
      </c>
      <c r="AN1108" s="63"/>
      <c r="AO1108" s="63"/>
      <c r="AP1108" s="63"/>
      <c r="AQ1108" s="63"/>
      <c r="AR1108" s="63"/>
      <c r="AS1108" s="63"/>
      <c r="AT1108" s="63"/>
      <c r="AU1108" s="63"/>
      <c r="AV1108" s="63"/>
      <c r="AW1108" s="63"/>
    </row>
    <row r="1109" spans="1:49" ht="409.6" thickTop="1" thickBot="1" x14ac:dyDescent="0.3">
      <c r="A1109" s="193">
        <v>62</v>
      </c>
      <c r="B1109" s="85" t="s">
        <v>3056</v>
      </c>
      <c r="C1109" s="105" t="s">
        <v>2834</v>
      </c>
      <c r="D1109" s="63" t="s">
        <v>714</v>
      </c>
      <c r="E1109" s="106" t="s">
        <v>2835</v>
      </c>
      <c r="F1109" s="63" t="s">
        <v>52</v>
      </c>
      <c r="G1109" s="63" t="s">
        <v>53</v>
      </c>
      <c r="H1109" s="111" t="s">
        <v>733</v>
      </c>
      <c r="I1109" s="63" t="s">
        <v>55</v>
      </c>
      <c r="J1109" s="106" t="s">
        <v>56</v>
      </c>
      <c r="K1109" s="106">
        <v>801116</v>
      </c>
      <c r="L1109" s="63" t="s">
        <v>2836</v>
      </c>
      <c r="M1109" s="63" t="s">
        <v>58</v>
      </c>
      <c r="N1109" s="63" t="s">
        <v>59</v>
      </c>
      <c r="O1109" s="63" t="s">
        <v>2839</v>
      </c>
      <c r="P1109" s="107" t="s">
        <v>3057</v>
      </c>
      <c r="Q1109" s="197">
        <v>15000000</v>
      </c>
      <c r="R1109" s="63">
        <v>1</v>
      </c>
      <c r="S1109" s="198">
        <f>15000000-15000000+15000000-15000000</f>
        <v>0</v>
      </c>
      <c r="T1109" s="112" t="s">
        <v>3054</v>
      </c>
      <c r="U1109" s="63" t="s">
        <v>3058</v>
      </c>
      <c r="V1109" s="81">
        <v>43173</v>
      </c>
      <c r="W1109" s="199">
        <v>1</v>
      </c>
      <c r="X1109" s="85"/>
      <c r="Y1109" s="81"/>
      <c r="Z1109" s="84"/>
      <c r="AA1109" s="84"/>
      <c r="AB1109" s="63"/>
      <c r="AC1109" s="63"/>
      <c r="AD1109" s="198"/>
      <c r="AE1109" s="63"/>
      <c r="AF1109" s="63"/>
      <c r="AG1109" s="63"/>
      <c r="AH1109" s="196"/>
      <c r="AI1109" s="84"/>
      <c r="AJ1109" s="63"/>
      <c r="AK1109" s="63"/>
      <c r="AL1109" s="196"/>
      <c r="AM1109" s="196">
        <v>0</v>
      </c>
      <c r="AN1109" s="63"/>
      <c r="AO1109" s="63"/>
      <c r="AP1109" s="63"/>
      <c r="AQ1109" s="63"/>
      <c r="AR1109" s="63"/>
      <c r="AS1109" s="63"/>
      <c r="AT1109" s="63"/>
      <c r="AU1109" s="63"/>
      <c r="AV1109" s="63"/>
      <c r="AW1109" s="63"/>
    </row>
    <row r="1110" spans="1:49" ht="409.6" thickTop="1" thickBot="1" x14ac:dyDescent="0.3">
      <c r="A1110" s="193">
        <v>63</v>
      </c>
      <c r="B1110" s="85" t="s">
        <v>3059</v>
      </c>
      <c r="C1110" s="105" t="s">
        <v>2834</v>
      </c>
      <c r="D1110" s="63" t="s">
        <v>714</v>
      </c>
      <c r="E1110" s="106" t="s">
        <v>2845</v>
      </c>
      <c r="F1110" s="63" t="s">
        <v>52</v>
      </c>
      <c r="G1110" s="63" t="s">
        <v>53</v>
      </c>
      <c r="H1110" s="111" t="s">
        <v>3060</v>
      </c>
      <c r="I1110" s="63" t="s">
        <v>710</v>
      </c>
      <c r="J1110" s="63" t="s">
        <v>1046</v>
      </c>
      <c r="K1110" s="106">
        <v>801116</v>
      </c>
      <c r="L1110" s="63" t="s">
        <v>2836</v>
      </c>
      <c r="M1110" s="63" t="s">
        <v>58</v>
      </c>
      <c r="N1110" s="63" t="s">
        <v>59</v>
      </c>
      <c r="O1110" s="63" t="s">
        <v>2839</v>
      </c>
      <c r="P1110" s="107" t="s">
        <v>3061</v>
      </c>
      <c r="Q1110" s="197">
        <v>17018083.333333332</v>
      </c>
      <c r="R1110" s="63">
        <v>1</v>
      </c>
      <c r="S1110" s="198">
        <v>0</v>
      </c>
      <c r="T1110" s="111" t="s">
        <v>3062</v>
      </c>
      <c r="U1110" s="63" t="s">
        <v>723</v>
      </c>
      <c r="V1110" s="81">
        <v>43291</v>
      </c>
      <c r="W1110" s="199">
        <v>12</v>
      </c>
      <c r="X1110" s="85"/>
      <c r="Y1110" s="81"/>
      <c r="Z1110" s="84"/>
      <c r="AA1110" s="84"/>
      <c r="AB1110" s="63"/>
      <c r="AC1110" s="63"/>
      <c r="AD1110" s="198"/>
      <c r="AE1110" s="63"/>
      <c r="AF1110" s="63"/>
      <c r="AG1110" s="63"/>
      <c r="AH1110" s="196"/>
      <c r="AI1110" s="84" t="s">
        <v>3063</v>
      </c>
      <c r="AJ1110" s="63"/>
      <c r="AK1110" s="63"/>
      <c r="AL1110" s="196"/>
      <c r="AM1110" s="196">
        <v>0</v>
      </c>
      <c r="AN1110" s="63"/>
      <c r="AO1110" s="63"/>
      <c r="AP1110" s="63"/>
      <c r="AQ1110" s="63"/>
      <c r="AR1110" s="63"/>
      <c r="AS1110" s="63"/>
      <c r="AT1110" s="63"/>
      <c r="AU1110" s="63"/>
      <c r="AV1110" s="63"/>
      <c r="AW1110" s="63"/>
    </row>
    <row r="1111" spans="1:49" ht="357.75" thickTop="1" thickBot="1" x14ac:dyDescent="0.3">
      <c r="A1111" s="193">
        <v>64</v>
      </c>
      <c r="B1111" s="85" t="s">
        <v>3064</v>
      </c>
      <c r="C1111" s="105" t="s">
        <v>2834</v>
      </c>
      <c r="D1111" s="63" t="s">
        <v>714</v>
      </c>
      <c r="E1111" s="106" t="s">
        <v>2835</v>
      </c>
      <c r="F1111" s="63" t="s">
        <v>52</v>
      </c>
      <c r="G1111" s="63" t="s">
        <v>53</v>
      </c>
      <c r="H1111" s="111" t="s">
        <v>733</v>
      </c>
      <c r="I1111" s="63" t="s">
        <v>55</v>
      </c>
      <c r="J1111" s="106" t="s">
        <v>56</v>
      </c>
      <c r="K1111" s="106">
        <v>801116</v>
      </c>
      <c r="L1111" s="63" t="s">
        <v>2836</v>
      </c>
      <c r="M1111" s="63" t="s">
        <v>58</v>
      </c>
      <c r="N1111" s="63" t="s">
        <v>59</v>
      </c>
      <c r="O1111" s="63" t="s">
        <v>2839</v>
      </c>
      <c r="P1111" s="107" t="s">
        <v>3065</v>
      </c>
      <c r="Q1111" s="197">
        <v>3450000</v>
      </c>
      <c r="R1111" s="63">
        <v>1</v>
      </c>
      <c r="S1111" s="198"/>
      <c r="T1111" s="112" t="s">
        <v>888</v>
      </c>
      <c r="U1111" s="63" t="s">
        <v>445</v>
      </c>
      <c r="V1111" s="81">
        <v>43286</v>
      </c>
      <c r="W1111" s="199">
        <v>1</v>
      </c>
      <c r="X1111" s="85" t="s">
        <v>3066</v>
      </c>
      <c r="Y1111" s="81">
        <v>43243</v>
      </c>
      <c r="Z1111" s="198">
        <v>3450000</v>
      </c>
      <c r="AA1111" s="84"/>
      <c r="AB1111" s="63"/>
      <c r="AC1111" s="63"/>
      <c r="AD1111" s="198"/>
      <c r="AE1111" s="63"/>
      <c r="AF1111" s="63"/>
      <c r="AG1111" s="63"/>
      <c r="AH1111" s="196"/>
      <c r="AI1111" s="84" t="s">
        <v>3067</v>
      </c>
      <c r="AJ1111" s="63"/>
      <c r="AK1111" s="63"/>
      <c r="AL1111" s="196"/>
      <c r="AM1111" s="196">
        <v>0</v>
      </c>
      <c r="AN1111" s="63"/>
      <c r="AO1111" s="63"/>
      <c r="AP1111" s="63"/>
      <c r="AQ1111" s="63" t="s">
        <v>3068</v>
      </c>
      <c r="AR1111" s="63"/>
      <c r="AS1111" s="63"/>
      <c r="AT1111" s="63"/>
      <c r="AU1111" s="63"/>
      <c r="AV1111" s="63"/>
      <c r="AW1111" s="63"/>
    </row>
    <row r="1112" spans="1:49" ht="357.75" thickTop="1" thickBot="1" x14ac:dyDescent="0.3">
      <c r="A1112" s="193">
        <v>65</v>
      </c>
      <c r="B1112" s="85" t="s">
        <v>3069</v>
      </c>
      <c r="C1112" s="105" t="s">
        <v>2834</v>
      </c>
      <c r="D1112" s="63" t="s">
        <v>714</v>
      </c>
      <c r="E1112" s="106" t="s">
        <v>2835</v>
      </c>
      <c r="F1112" s="63" t="s">
        <v>52</v>
      </c>
      <c r="G1112" s="63" t="s">
        <v>53</v>
      </c>
      <c r="H1112" s="111" t="s">
        <v>733</v>
      </c>
      <c r="I1112" s="63" t="s">
        <v>55</v>
      </c>
      <c r="J1112" s="106" t="s">
        <v>56</v>
      </c>
      <c r="K1112" s="106">
        <v>801116</v>
      </c>
      <c r="L1112" s="63" t="s">
        <v>2836</v>
      </c>
      <c r="M1112" s="63" t="s">
        <v>58</v>
      </c>
      <c r="N1112" s="63" t="s">
        <v>59</v>
      </c>
      <c r="O1112" s="63" t="s">
        <v>2839</v>
      </c>
      <c r="P1112" s="107" t="s">
        <v>3070</v>
      </c>
      <c r="Q1112" s="197">
        <v>3300000</v>
      </c>
      <c r="R1112" s="63">
        <v>1</v>
      </c>
      <c r="S1112" s="198"/>
      <c r="T1112" s="112" t="s">
        <v>888</v>
      </c>
      <c r="U1112" s="63" t="s">
        <v>445</v>
      </c>
      <c r="V1112" s="81">
        <v>43256</v>
      </c>
      <c r="W1112" s="206">
        <v>1.5</v>
      </c>
      <c r="X1112" s="85" t="s">
        <v>3071</v>
      </c>
      <c r="Y1112" s="81">
        <v>43243</v>
      </c>
      <c r="Z1112" s="198">
        <v>4950000</v>
      </c>
      <c r="AA1112" s="84"/>
      <c r="AB1112" s="63"/>
      <c r="AC1112" s="63"/>
      <c r="AD1112" s="198"/>
      <c r="AE1112" s="63"/>
      <c r="AF1112" s="63"/>
      <c r="AG1112" s="63"/>
      <c r="AH1112" s="196"/>
      <c r="AI1112" s="84" t="s">
        <v>3072</v>
      </c>
      <c r="AJ1112" s="63"/>
      <c r="AK1112" s="63"/>
      <c r="AL1112" s="196"/>
      <c r="AM1112" s="196">
        <v>0</v>
      </c>
      <c r="AN1112" s="63"/>
      <c r="AO1112" s="63"/>
      <c r="AP1112" s="63"/>
      <c r="AQ1112" s="63" t="s">
        <v>3068</v>
      </c>
      <c r="AR1112" s="63"/>
      <c r="AS1112" s="63"/>
      <c r="AT1112" s="63"/>
      <c r="AU1112" s="63"/>
      <c r="AV1112" s="63"/>
      <c r="AW1112" s="63"/>
    </row>
    <row r="1113" spans="1:49" ht="357.75" thickTop="1" thickBot="1" x14ac:dyDescent="0.3">
      <c r="A1113" s="193">
        <v>66</v>
      </c>
      <c r="B1113" s="85" t="s">
        <v>3073</v>
      </c>
      <c r="C1113" s="105" t="s">
        <v>2834</v>
      </c>
      <c r="D1113" s="63" t="s">
        <v>714</v>
      </c>
      <c r="E1113" s="106" t="s">
        <v>2835</v>
      </c>
      <c r="F1113" s="63" t="s">
        <v>52</v>
      </c>
      <c r="G1113" s="63" t="s">
        <v>53</v>
      </c>
      <c r="H1113" s="111" t="s">
        <v>733</v>
      </c>
      <c r="I1113" s="63" t="s">
        <v>55</v>
      </c>
      <c r="J1113" s="106" t="s">
        <v>56</v>
      </c>
      <c r="K1113" s="106">
        <v>801116</v>
      </c>
      <c r="L1113" s="63" t="s">
        <v>2836</v>
      </c>
      <c r="M1113" s="63" t="s">
        <v>58</v>
      </c>
      <c r="N1113" s="63" t="s">
        <v>59</v>
      </c>
      <c r="O1113" s="63" t="s">
        <v>2839</v>
      </c>
      <c r="P1113" s="107" t="s">
        <v>3074</v>
      </c>
      <c r="Q1113" s="197">
        <v>3300000</v>
      </c>
      <c r="R1113" s="63">
        <v>1</v>
      </c>
      <c r="S1113" s="198"/>
      <c r="T1113" s="112" t="s">
        <v>888</v>
      </c>
      <c r="U1113" s="63" t="s">
        <v>445</v>
      </c>
      <c r="V1113" s="81">
        <v>43286</v>
      </c>
      <c r="W1113" s="199">
        <v>1</v>
      </c>
      <c r="X1113" s="85" t="s">
        <v>3075</v>
      </c>
      <c r="Y1113" s="81">
        <v>43243</v>
      </c>
      <c r="Z1113" s="198">
        <v>3300000</v>
      </c>
      <c r="AA1113" s="84"/>
      <c r="AB1113" s="63"/>
      <c r="AC1113" s="63"/>
      <c r="AD1113" s="198"/>
      <c r="AE1113" s="63"/>
      <c r="AF1113" s="63"/>
      <c r="AG1113" s="63"/>
      <c r="AH1113" s="196"/>
      <c r="AI1113" s="84" t="s">
        <v>3076</v>
      </c>
      <c r="AJ1113" s="63"/>
      <c r="AK1113" s="63"/>
      <c r="AL1113" s="196"/>
      <c r="AM1113" s="196">
        <v>0</v>
      </c>
      <c r="AN1113" s="63"/>
      <c r="AO1113" s="63"/>
      <c r="AP1113" s="63"/>
      <c r="AQ1113" s="63" t="s">
        <v>3068</v>
      </c>
      <c r="AR1113" s="63"/>
      <c r="AS1113" s="63"/>
      <c r="AT1113" s="63"/>
      <c r="AU1113" s="63"/>
      <c r="AV1113" s="63"/>
      <c r="AW1113" s="63"/>
    </row>
    <row r="1114" spans="1:49" ht="357.75" thickTop="1" thickBot="1" x14ac:dyDescent="0.3">
      <c r="A1114" s="193">
        <v>67</v>
      </c>
      <c r="B1114" s="85" t="s">
        <v>3077</v>
      </c>
      <c r="C1114" s="105" t="s">
        <v>2834</v>
      </c>
      <c r="D1114" s="63" t="s">
        <v>714</v>
      </c>
      <c r="E1114" s="106" t="s">
        <v>2835</v>
      </c>
      <c r="F1114" s="63" t="s">
        <v>52</v>
      </c>
      <c r="G1114" s="63" t="s">
        <v>53</v>
      </c>
      <c r="H1114" s="111" t="s">
        <v>733</v>
      </c>
      <c r="I1114" s="63" t="s">
        <v>55</v>
      </c>
      <c r="J1114" s="106" t="s">
        <v>56</v>
      </c>
      <c r="K1114" s="106">
        <v>801116</v>
      </c>
      <c r="L1114" s="63" t="s">
        <v>2836</v>
      </c>
      <c r="M1114" s="63" t="s">
        <v>58</v>
      </c>
      <c r="N1114" s="63" t="s">
        <v>59</v>
      </c>
      <c r="O1114" s="63" t="s">
        <v>2839</v>
      </c>
      <c r="P1114" s="107" t="s">
        <v>3078</v>
      </c>
      <c r="Q1114" s="197">
        <v>3300000</v>
      </c>
      <c r="R1114" s="63">
        <v>1</v>
      </c>
      <c r="S1114" s="198"/>
      <c r="T1114" s="112" t="s">
        <v>888</v>
      </c>
      <c r="U1114" s="63" t="s">
        <v>445</v>
      </c>
      <c r="V1114" s="81">
        <v>43256</v>
      </c>
      <c r="W1114" s="206">
        <v>1.5</v>
      </c>
      <c r="X1114" s="85" t="s">
        <v>3079</v>
      </c>
      <c r="Y1114" s="81">
        <v>43243</v>
      </c>
      <c r="Z1114" s="198">
        <v>4950000</v>
      </c>
      <c r="AA1114" s="84"/>
      <c r="AB1114" s="63"/>
      <c r="AC1114" s="63"/>
      <c r="AD1114" s="198"/>
      <c r="AE1114" s="63"/>
      <c r="AF1114" s="63"/>
      <c r="AG1114" s="63"/>
      <c r="AH1114" s="196"/>
      <c r="AI1114" s="84" t="s">
        <v>3080</v>
      </c>
      <c r="AJ1114" s="63"/>
      <c r="AK1114" s="63"/>
      <c r="AL1114" s="196"/>
      <c r="AM1114" s="196">
        <v>0</v>
      </c>
      <c r="AN1114" s="63"/>
      <c r="AO1114" s="63"/>
      <c r="AP1114" s="63"/>
      <c r="AQ1114" s="63" t="s">
        <v>3068</v>
      </c>
      <c r="AR1114" s="63"/>
      <c r="AS1114" s="63"/>
      <c r="AT1114" s="63"/>
      <c r="AU1114" s="63"/>
      <c r="AV1114" s="63"/>
      <c r="AW1114" s="63"/>
    </row>
    <row r="1115" spans="1:49" ht="357.75" thickTop="1" thickBot="1" x14ac:dyDescent="0.3">
      <c r="A1115" s="193">
        <v>68</v>
      </c>
      <c r="B1115" s="85" t="s">
        <v>3081</v>
      </c>
      <c r="C1115" s="105" t="s">
        <v>2834</v>
      </c>
      <c r="D1115" s="63" t="s">
        <v>714</v>
      </c>
      <c r="E1115" s="106" t="s">
        <v>2835</v>
      </c>
      <c r="F1115" s="63" t="s">
        <v>52</v>
      </c>
      <c r="G1115" s="63" t="s">
        <v>53</v>
      </c>
      <c r="H1115" s="111" t="s">
        <v>733</v>
      </c>
      <c r="I1115" s="63" t="s">
        <v>55</v>
      </c>
      <c r="J1115" s="106" t="s">
        <v>56</v>
      </c>
      <c r="K1115" s="106">
        <v>801116</v>
      </c>
      <c r="L1115" s="63" t="s">
        <v>2836</v>
      </c>
      <c r="M1115" s="63" t="s">
        <v>58</v>
      </c>
      <c r="N1115" s="63" t="s">
        <v>59</v>
      </c>
      <c r="O1115" s="63" t="s">
        <v>2839</v>
      </c>
      <c r="P1115" s="107" t="s">
        <v>3082</v>
      </c>
      <c r="Q1115" s="197">
        <v>3450000</v>
      </c>
      <c r="R1115" s="63">
        <v>1</v>
      </c>
      <c r="S1115" s="198"/>
      <c r="T1115" s="112" t="s">
        <v>888</v>
      </c>
      <c r="U1115" s="63" t="s">
        <v>445</v>
      </c>
      <c r="V1115" s="81">
        <v>43286</v>
      </c>
      <c r="W1115" s="199">
        <v>1</v>
      </c>
      <c r="X1115" s="85" t="s">
        <v>3083</v>
      </c>
      <c r="Y1115" s="81">
        <v>43243</v>
      </c>
      <c r="Z1115" s="198">
        <v>3450000</v>
      </c>
      <c r="AA1115" s="84"/>
      <c r="AB1115" s="63"/>
      <c r="AC1115" s="63"/>
      <c r="AD1115" s="198"/>
      <c r="AE1115" s="63"/>
      <c r="AF1115" s="63"/>
      <c r="AG1115" s="63"/>
      <c r="AH1115" s="196"/>
      <c r="AI1115" s="84" t="s">
        <v>3084</v>
      </c>
      <c r="AJ1115" s="63"/>
      <c r="AK1115" s="63"/>
      <c r="AL1115" s="196"/>
      <c r="AM1115" s="196">
        <v>0</v>
      </c>
      <c r="AN1115" s="63"/>
      <c r="AO1115" s="63"/>
      <c r="AP1115" s="63"/>
      <c r="AQ1115" s="63" t="s">
        <v>3068</v>
      </c>
      <c r="AR1115" s="63"/>
      <c r="AS1115" s="63"/>
      <c r="AT1115" s="63"/>
      <c r="AU1115" s="63"/>
      <c r="AV1115" s="63"/>
      <c r="AW1115" s="63"/>
    </row>
    <row r="1116" spans="1:49" ht="357.75" thickTop="1" thickBot="1" x14ac:dyDescent="0.3">
      <c r="A1116" s="193">
        <v>69</v>
      </c>
      <c r="B1116" s="85" t="s">
        <v>3085</v>
      </c>
      <c r="C1116" s="105" t="s">
        <v>2834</v>
      </c>
      <c r="D1116" s="63" t="s">
        <v>714</v>
      </c>
      <c r="E1116" s="106" t="s">
        <v>2835</v>
      </c>
      <c r="F1116" s="63" t="s">
        <v>52</v>
      </c>
      <c r="G1116" s="63" t="s">
        <v>53</v>
      </c>
      <c r="H1116" s="111" t="s">
        <v>733</v>
      </c>
      <c r="I1116" s="63" t="s">
        <v>55</v>
      </c>
      <c r="J1116" s="106" t="s">
        <v>56</v>
      </c>
      <c r="K1116" s="106">
        <v>801116</v>
      </c>
      <c r="L1116" s="63" t="s">
        <v>2836</v>
      </c>
      <c r="M1116" s="63" t="s">
        <v>58</v>
      </c>
      <c r="N1116" s="63" t="s">
        <v>59</v>
      </c>
      <c r="O1116" s="63" t="s">
        <v>2839</v>
      </c>
      <c r="P1116" s="107" t="s">
        <v>3086</v>
      </c>
      <c r="Q1116" s="197">
        <v>4000000</v>
      </c>
      <c r="R1116" s="63">
        <v>1</v>
      </c>
      <c r="S1116" s="198"/>
      <c r="T1116" s="112" t="s">
        <v>888</v>
      </c>
      <c r="U1116" s="63" t="s">
        <v>445</v>
      </c>
      <c r="V1116" s="81">
        <v>43265</v>
      </c>
      <c r="W1116" s="199">
        <v>1</v>
      </c>
      <c r="X1116" s="85" t="s">
        <v>3087</v>
      </c>
      <c r="Y1116" s="81">
        <v>43243</v>
      </c>
      <c r="Z1116" s="198">
        <v>4000000</v>
      </c>
      <c r="AA1116" s="84"/>
      <c r="AB1116" s="63"/>
      <c r="AC1116" s="63"/>
      <c r="AD1116" s="198"/>
      <c r="AE1116" s="63"/>
      <c r="AF1116" s="63"/>
      <c r="AG1116" s="63"/>
      <c r="AH1116" s="196"/>
      <c r="AI1116" s="84" t="s">
        <v>3088</v>
      </c>
      <c r="AJ1116" s="63"/>
      <c r="AK1116" s="63"/>
      <c r="AL1116" s="196"/>
      <c r="AM1116" s="196">
        <v>0</v>
      </c>
      <c r="AN1116" s="63"/>
      <c r="AO1116" s="63"/>
      <c r="AP1116" s="63"/>
      <c r="AQ1116" s="63" t="s">
        <v>3068</v>
      </c>
      <c r="AR1116" s="63"/>
      <c r="AS1116" s="63"/>
      <c r="AT1116" s="63"/>
      <c r="AU1116" s="63"/>
      <c r="AV1116" s="63"/>
      <c r="AW1116" s="63"/>
    </row>
    <row r="1117" spans="1:49" ht="357.75" thickTop="1" thickBot="1" x14ac:dyDescent="0.3">
      <c r="A1117" s="193">
        <v>70</v>
      </c>
      <c r="B1117" s="85" t="s">
        <v>3089</v>
      </c>
      <c r="C1117" s="105" t="s">
        <v>2834</v>
      </c>
      <c r="D1117" s="63" t="s">
        <v>714</v>
      </c>
      <c r="E1117" s="106" t="s">
        <v>2835</v>
      </c>
      <c r="F1117" s="63" t="s">
        <v>52</v>
      </c>
      <c r="G1117" s="63" t="s">
        <v>53</v>
      </c>
      <c r="H1117" s="111" t="s">
        <v>733</v>
      </c>
      <c r="I1117" s="63" t="s">
        <v>55</v>
      </c>
      <c r="J1117" s="106" t="s">
        <v>56</v>
      </c>
      <c r="K1117" s="106">
        <v>801116</v>
      </c>
      <c r="L1117" s="63" t="s">
        <v>2836</v>
      </c>
      <c r="M1117" s="63" t="s">
        <v>58</v>
      </c>
      <c r="N1117" s="63" t="s">
        <v>59</v>
      </c>
      <c r="O1117" s="63" t="s">
        <v>2839</v>
      </c>
      <c r="P1117" s="107" t="s">
        <v>3090</v>
      </c>
      <c r="Q1117" s="197">
        <v>4890000</v>
      </c>
      <c r="R1117" s="63">
        <v>1</v>
      </c>
      <c r="S1117" s="198">
        <f>7335000-7335000+7335000-7335000</f>
        <v>0</v>
      </c>
      <c r="T1117" s="112" t="s">
        <v>888</v>
      </c>
      <c r="U1117" s="63" t="s">
        <v>445</v>
      </c>
      <c r="V1117" s="81">
        <v>43255</v>
      </c>
      <c r="W1117" s="206">
        <v>1.5</v>
      </c>
      <c r="X1117" s="85" t="s">
        <v>3091</v>
      </c>
      <c r="Y1117" s="81">
        <v>43243</v>
      </c>
      <c r="Z1117" s="198">
        <v>7335000</v>
      </c>
      <c r="AA1117" s="84"/>
      <c r="AB1117" s="63"/>
      <c r="AC1117" s="63"/>
      <c r="AD1117" s="198"/>
      <c r="AE1117" s="63"/>
      <c r="AF1117" s="63"/>
      <c r="AG1117" s="63"/>
      <c r="AH1117" s="196"/>
      <c r="AI1117" s="84" t="s">
        <v>3092</v>
      </c>
      <c r="AJ1117" s="63"/>
      <c r="AK1117" s="63"/>
      <c r="AL1117" s="196"/>
      <c r="AM1117" s="196">
        <v>0</v>
      </c>
      <c r="AN1117" s="63"/>
      <c r="AO1117" s="63"/>
      <c r="AP1117" s="63"/>
      <c r="AQ1117" s="63" t="s">
        <v>3068</v>
      </c>
      <c r="AR1117" s="63"/>
      <c r="AS1117" s="63"/>
      <c r="AT1117" s="63"/>
      <c r="AU1117" s="63"/>
      <c r="AV1117" s="63"/>
      <c r="AW1117" s="63"/>
    </row>
    <row r="1118" spans="1:49" ht="357.75" thickTop="1" thickBot="1" x14ac:dyDescent="0.3">
      <c r="A1118" s="193">
        <v>71</v>
      </c>
      <c r="B1118" s="85" t="s">
        <v>3093</v>
      </c>
      <c r="C1118" s="105" t="s">
        <v>2834</v>
      </c>
      <c r="D1118" s="63" t="s">
        <v>714</v>
      </c>
      <c r="E1118" s="106" t="s">
        <v>2835</v>
      </c>
      <c r="F1118" s="63" t="s">
        <v>52</v>
      </c>
      <c r="G1118" s="63" t="s">
        <v>53</v>
      </c>
      <c r="H1118" s="111" t="s">
        <v>733</v>
      </c>
      <c r="I1118" s="63" t="s">
        <v>55</v>
      </c>
      <c r="J1118" s="106" t="s">
        <v>56</v>
      </c>
      <c r="K1118" s="106">
        <v>801116</v>
      </c>
      <c r="L1118" s="63" t="s">
        <v>2836</v>
      </c>
      <c r="M1118" s="63" t="s">
        <v>58</v>
      </c>
      <c r="N1118" s="63" t="s">
        <v>59</v>
      </c>
      <c r="O1118" s="63" t="s">
        <v>2839</v>
      </c>
      <c r="P1118" s="107" t="s">
        <v>3094</v>
      </c>
      <c r="Q1118" s="197">
        <v>3300000</v>
      </c>
      <c r="R1118" s="63">
        <v>1</v>
      </c>
      <c r="S1118" s="198"/>
      <c r="T1118" s="112" t="s">
        <v>888</v>
      </c>
      <c r="U1118" s="63" t="s">
        <v>445</v>
      </c>
      <c r="V1118" s="81">
        <v>43291</v>
      </c>
      <c r="W1118" s="199">
        <v>1</v>
      </c>
      <c r="X1118" s="85" t="s">
        <v>3095</v>
      </c>
      <c r="Y1118" s="81">
        <v>43243</v>
      </c>
      <c r="Z1118" s="198">
        <v>3300000</v>
      </c>
      <c r="AA1118" s="84"/>
      <c r="AB1118" s="63"/>
      <c r="AC1118" s="63"/>
      <c r="AD1118" s="198"/>
      <c r="AE1118" s="63"/>
      <c r="AF1118" s="63"/>
      <c r="AG1118" s="63"/>
      <c r="AH1118" s="196"/>
      <c r="AI1118" s="84" t="s">
        <v>3096</v>
      </c>
      <c r="AJ1118" s="63"/>
      <c r="AK1118" s="63"/>
      <c r="AL1118" s="196"/>
      <c r="AM1118" s="196">
        <v>0</v>
      </c>
      <c r="AN1118" s="63"/>
      <c r="AO1118" s="63"/>
      <c r="AP1118" s="63"/>
      <c r="AQ1118" s="63" t="s">
        <v>3068</v>
      </c>
      <c r="AR1118" s="63"/>
      <c r="AS1118" s="63"/>
      <c r="AT1118" s="63"/>
      <c r="AU1118" s="63"/>
      <c r="AV1118" s="63"/>
      <c r="AW1118" s="63"/>
    </row>
    <row r="1119" spans="1:49" ht="357.75" thickTop="1" thickBot="1" x14ac:dyDescent="0.3">
      <c r="A1119" s="193">
        <v>72</v>
      </c>
      <c r="B1119" s="85" t="s">
        <v>3097</v>
      </c>
      <c r="C1119" s="105" t="s">
        <v>2834</v>
      </c>
      <c r="D1119" s="63" t="s">
        <v>714</v>
      </c>
      <c r="E1119" s="106" t="s">
        <v>2835</v>
      </c>
      <c r="F1119" s="63" t="s">
        <v>52</v>
      </c>
      <c r="G1119" s="63" t="s">
        <v>53</v>
      </c>
      <c r="H1119" s="111" t="s">
        <v>733</v>
      </c>
      <c r="I1119" s="63" t="s">
        <v>55</v>
      </c>
      <c r="J1119" s="106" t="s">
        <v>56</v>
      </c>
      <c r="K1119" s="106">
        <v>801116</v>
      </c>
      <c r="L1119" s="63" t="s">
        <v>2836</v>
      </c>
      <c r="M1119" s="63" t="s">
        <v>58</v>
      </c>
      <c r="N1119" s="63" t="s">
        <v>59</v>
      </c>
      <c r="O1119" s="63" t="s">
        <v>2839</v>
      </c>
      <c r="P1119" s="107" t="s">
        <v>3098</v>
      </c>
      <c r="Q1119" s="197">
        <v>1700000</v>
      </c>
      <c r="R1119" s="63">
        <v>1</v>
      </c>
      <c r="S1119" s="198">
        <f>2550000-2550000</f>
        <v>0</v>
      </c>
      <c r="T1119" s="112" t="s">
        <v>888</v>
      </c>
      <c r="U1119" s="63" t="s">
        <v>445</v>
      </c>
      <c r="V1119" s="81">
        <v>43271</v>
      </c>
      <c r="W1119" s="206">
        <v>1.5</v>
      </c>
      <c r="X1119" s="85" t="s">
        <v>3099</v>
      </c>
      <c r="Y1119" s="81">
        <v>43243</v>
      </c>
      <c r="Z1119" s="198">
        <v>2550000</v>
      </c>
      <c r="AA1119" s="84"/>
      <c r="AB1119" s="63"/>
      <c r="AC1119" s="63"/>
      <c r="AD1119" s="198"/>
      <c r="AE1119" s="63"/>
      <c r="AF1119" s="63"/>
      <c r="AG1119" s="63"/>
      <c r="AH1119" s="196"/>
      <c r="AI1119" s="84" t="s">
        <v>3100</v>
      </c>
      <c r="AJ1119" s="63"/>
      <c r="AK1119" s="63"/>
      <c r="AL1119" s="196"/>
      <c r="AM1119" s="196">
        <v>0</v>
      </c>
      <c r="AN1119" s="63"/>
      <c r="AO1119" s="63"/>
      <c r="AP1119" s="63"/>
      <c r="AQ1119" s="63" t="s">
        <v>3068</v>
      </c>
      <c r="AR1119" s="63"/>
      <c r="AS1119" s="63"/>
      <c r="AT1119" s="63"/>
      <c r="AU1119" s="63"/>
      <c r="AV1119" s="63"/>
      <c r="AW1119" s="63"/>
    </row>
    <row r="1120" spans="1:49" ht="357.75" thickTop="1" thickBot="1" x14ac:dyDescent="0.3">
      <c r="A1120" s="193">
        <v>73</v>
      </c>
      <c r="B1120" s="85" t="s">
        <v>3101</v>
      </c>
      <c r="C1120" s="105" t="s">
        <v>2834</v>
      </c>
      <c r="D1120" s="63" t="s">
        <v>714</v>
      </c>
      <c r="E1120" s="106" t="s">
        <v>2835</v>
      </c>
      <c r="F1120" s="63" t="s">
        <v>52</v>
      </c>
      <c r="G1120" s="63" t="s">
        <v>53</v>
      </c>
      <c r="H1120" s="111" t="s">
        <v>733</v>
      </c>
      <c r="I1120" s="63" t="s">
        <v>55</v>
      </c>
      <c r="J1120" s="106" t="s">
        <v>56</v>
      </c>
      <c r="K1120" s="106">
        <v>801116</v>
      </c>
      <c r="L1120" s="63" t="s">
        <v>2836</v>
      </c>
      <c r="M1120" s="63" t="s">
        <v>58</v>
      </c>
      <c r="N1120" s="63" t="s">
        <v>59</v>
      </c>
      <c r="O1120" s="63" t="s">
        <v>2839</v>
      </c>
      <c r="P1120" s="107" t="s">
        <v>3102</v>
      </c>
      <c r="Q1120" s="197">
        <v>4000000</v>
      </c>
      <c r="R1120" s="63">
        <v>1</v>
      </c>
      <c r="S1120" s="198">
        <f>6000000-6000000</f>
        <v>0</v>
      </c>
      <c r="T1120" s="112" t="s">
        <v>888</v>
      </c>
      <c r="U1120" s="63" t="s">
        <v>445</v>
      </c>
      <c r="V1120" s="81">
        <v>43257</v>
      </c>
      <c r="W1120" s="206">
        <v>1.5</v>
      </c>
      <c r="X1120" s="85" t="s">
        <v>3103</v>
      </c>
      <c r="Y1120" s="81">
        <v>43243</v>
      </c>
      <c r="Z1120" s="198">
        <v>6000000</v>
      </c>
      <c r="AA1120" s="84"/>
      <c r="AB1120" s="63"/>
      <c r="AC1120" s="63"/>
      <c r="AD1120" s="198"/>
      <c r="AE1120" s="63"/>
      <c r="AF1120" s="63"/>
      <c r="AG1120" s="63"/>
      <c r="AH1120" s="196"/>
      <c r="AI1120" s="84" t="s">
        <v>3104</v>
      </c>
      <c r="AJ1120" s="63"/>
      <c r="AK1120" s="63"/>
      <c r="AL1120" s="196"/>
      <c r="AM1120" s="196">
        <v>0</v>
      </c>
      <c r="AN1120" s="63"/>
      <c r="AO1120" s="63"/>
      <c r="AP1120" s="63"/>
      <c r="AQ1120" s="63" t="s">
        <v>3068</v>
      </c>
      <c r="AR1120" s="63"/>
      <c r="AS1120" s="63"/>
      <c r="AT1120" s="63"/>
      <c r="AU1120" s="63"/>
      <c r="AV1120" s="63"/>
      <c r="AW1120" s="63"/>
    </row>
    <row r="1121" spans="1:49" ht="357.75" thickTop="1" thickBot="1" x14ac:dyDescent="0.3">
      <c r="A1121" s="193">
        <v>74</v>
      </c>
      <c r="B1121" s="85" t="s">
        <v>3105</v>
      </c>
      <c r="C1121" s="105" t="s">
        <v>2834</v>
      </c>
      <c r="D1121" s="63" t="s">
        <v>714</v>
      </c>
      <c r="E1121" s="106" t="s">
        <v>2835</v>
      </c>
      <c r="F1121" s="63" t="s">
        <v>52</v>
      </c>
      <c r="G1121" s="63" t="s">
        <v>53</v>
      </c>
      <c r="H1121" s="111" t="s">
        <v>733</v>
      </c>
      <c r="I1121" s="63" t="s">
        <v>55</v>
      </c>
      <c r="J1121" s="106" t="s">
        <v>56</v>
      </c>
      <c r="K1121" s="106">
        <v>801116</v>
      </c>
      <c r="L1121" s="63" t="s">
        <v>2836</v>
      </c>
      <c r="M1121" s="63" t="s">
        <v>58</v>
      </c>
      <c r="N1121" s="63" t="s">
        <v>59</v>
      </c>
      <c r="O1121" s="63" t="s">
        <v>2839</v>
      </c>
      <c r="P1121" s="107" t="s">
        <v>3106</v>
      </c>
      <c r="Q1121" s="197">
        <v>3300000</v>
      </c>
      <c r="R1121" s="63">
        <v>1</v>
      </c>
      <c r="S1121" s="198">
        <f>4950000-4950000</f>
        <v>0</v>
      </c>
      <c r="T1121" s="112" t="s">
        <v>888</v>
      </c>
      <c r="U1121" s="63" t="s">
        <v>445</v>
      </c>
      <c r="V1121" s="81">
        <v>43256</v>
      </c>
      <c r="W1121" s="206">
        <v>1.5</v>
      </c>
      <c r="X1121" s="85" t="s">
        <v>3107</v>
      </c>
      <c r="Y1121" s="81">
        <v>43243</v>
      </c>
      <c r="Z1121" s="198">
        <v>4950000</v>
      </c>
      <c r="AA1121" s="84"/>
      <c r="AB1121" s="63"/>
      <c r="AC1121" s="63"/>
      <c r="AD1121" s="198"/>
      <c r="AE1121" s="63"/>
      <c r="AF1121" s="63"/>
      <c r="AG1121" s="63"/>
      <c r="AH1121" s="196"/>
      <c r="AI1121" s="84" t="s">
        <v>3108</v>
      </c>
      <c r="AJ1121" s="63"/>
      <c r="AK1121" s="63"/>
      <c r="AL1121" s="196"/>
      <c r="AM1121" s="196">
        <v>0</v>
      </c>
      <c r="AN1121" s="63"/>
      <c r="AO1121" s="63"/>
      <c r="AP1121" s="63"/>
      <c r="AQ1121" s="63" t="s">
        <v>3068</v>
      </c>
      <c r="AR1121" s="63"/>
      <c r="AS1121" s="63"/>
      <c r="AT1121" s="63"/>
      <c r="AU1121" s="63"/>
      <c r="AV1121" s="63"/>
      <c r="AW1121" s="63"/>
    </row>
    <row r="1122" spans="1:49" ht="357.75" thickTop="1" thickBot="1" x14ac:dyDescent="0.3">
      <c r="A1122" s="193">
        <v>75</v>
      </c>
      <c r="B1122" s="85" t="s">
        <v>3109</v>
      </c>
      <c r="C1122" s="105" t="s">
        <v>2834</v>
      </c>
      <c r="D1122" s="63" t="s">
        <v>714</v>
      </c>
      <c r="E1122" s="106" t="s">
        <v>2835</v>
      </c>
      <c r="F1122" s="63" t="s">
        <v>52</v>
      </c>
      <c r="G1122" s="63" t="s">
        <v>53</v>
      </c>
      <c r="H1122" s="111" t="s">
        <v>733</v>
      </c>
      <c r="I1122" s="63" t="s">
        <v>55</v>
      </c>
      <c r="J1122" s="106" t="s">
        <v>56</v>
      </c>
      <c r="K1122" s="106">
        <v>801116</v>
      </c>
      <c r="L1122" s="63" t="s">
        <v>2836</v>
      </c>
      <c r="M1122" s="63" t="s">
        <v>58</v>
      </c>
      <c r="N1122" s="63" t="s">
        <v>59</v>
      </c>
      <c r="O1122" s="63" t="s">
        <v>2839</v>
      </c>
      <c r="P1122" s="107" t="s">
        <v>3110</v>
      </c>
      <c r="Q1122" s="197">
        <v>4000000</v>
      </c>
      <c r="R1122" s="63">
        <v>1</v>
      </c>
      <c r="S1122" s="198">
        <f>6000000-2343833-3656167</f>
        <v>0</v>
      </c>
      <c r="T1122" s="112" t="s">
        <v>888</v>
      </c>
      <c r="U1122" s="63" t="s">
        <v>445</v>
      </c>
      <c r="V1122" s="81">
        <v>43256</v>
      </c>
      <c r="W1122" s="206">
        <v>1.5</v>
      </c>
      <c r="X1122" s="85" t="s">
        <v>3111</v>
      </c>
      <c r="Y1122" s="81">
        <v>43243</v>
      </c>
      <c r="Z1122" s="198">
        <v>6000000</v>
      </c>
      <c r="AA1122" s="84"/>
      <c r="AB1122" s="63"/>
      <c r="AC1122" s="63"/>
      <c r="AD1122" s="198"/>
      <c r="AE1122" s="63"/>
      <c r="AF1122" s="63"/>
      <c r="AG1122" s="63"/>
      <c r="AH1122" s="196"/>
      <c r="AI1122" s="84" t="s">
        <v>3112</v>
      </c>
      <c r="AJ1122" s="63"/>
      <c r="AK1122" s="63"/>
      <c r="AL1122" s="196"/>
      <c r="AM1122" s="196">
        <v>0</v>
      </c>
      <c r="AN1122" s="63"/>
      <c r="AO1122" s="63"/>
      <c r="AP1122" s="63"/>
      <c r="AQ1122" s="63" t="s">
        <v>3068</v>
      </c>
      <c r="AR1122" s="63"/>
      <c r="AS1122" s="63"/>
      <c r="AT1122" s="63"/>
      <c r="AU1122" s="63"/>
      <c r="AV1122" s="63"/>
      <c r="AW1122" s="63"/>
    </row>
    <row r="1123" spans="1:49" ht="357.75" thickTop="1" thickBot="1" x14ac:dyDescent="0.3">
      <c r="A1123" s="193">
        <v>76</v>
      </c>
      <c r="B1123" s="85" t="s">
        <v>3113</v>
      </c>
      <c r="C1123" s="105" t="s">
        <v>2834</v>
      </c>
      <c r="D1123" s="63" t="s">
        <v>714</v>
      </c>
      <c r="E1123" s="106" t="s">
        <v>2835</v>
      </c>
      <c r="F1123" s="63" t="s">
        <v>52</v>
      </c>
      <c r="G1123" s="63" t="s">
        <v>53</v>
      </c>
      <c r="H1123" s="111" t="s">
        <v>733</v>
      </c>
      <c r="I1123" s="63" t="s">
        <v>55</v>
      </c>
      <c r="J1123" s="106" t="s">
        <v>56</v>
      </c>
      <c r="K1123" s="106">
        <v>801116</v>
      </c>
      <c r="L1123" s="63" t="s">
        <v>2836</v>
      </c>
      <c r="M1123" s="63" t="s">
        <v>58</v>
      </c>
      <c r="N1123" s="63" t="s">
        <v>59</v>
      </c>
      <c r="O1123" s="63" t="s">
        <v>2839</v>
      </c>
      <c r="P1123" s="107" t="s">
        <v>3114</v>
      </c>
      <c r="Q1123" s="197">
        <v>2400000</v>
      </c>
      <c r="R1123" s="63">
        <v>1</v>
      </c>
      <c r="S1123" s="198">
        <f>3600000-1145333-2454667</f>
        <v>0</v>
      </c>
      <c r="T1123" s="112" t="s">
        <v>888</v>
      </c>
      <c r="U1123" s="63" t="s">
        <v>445</v>
      </c>
      <c r="V1123" s="81">
        <v>43261</v>
      </c>
      <c r="W1123" s="206">
        <v>1.5</v>
      </c>
      <c r="X1123" s="85" t="s">
        <v>3115</v>
      </c>
      <c r="Y1123" s="81">
        <v>43243</v>
      </c>
      <c r="Z1123" s="198">
        <v>3600000</v>
      </c>
      <c r="AA1123" s="84"/>
      <c r="AB1123" s="63"/>
      <c r="AC1123" s="63"/>
      <c r="AD1123" s="198"/>
      <c r="AE1123" s="63"/>
      <c r="AF1123" s="63"/>
      <c r="AG1123" s="63"/>
      <c r="AH1123" s="196"/>
      <c r="AI1123" s="84" t="s">
        <v>3116</v>
      </c>
      <c r="AJ1123" s="63"/>
      <c r="AK1123" s="63"/>
      <c r="AL1123" s="196"/>
      <c r="AM1123" s="196">
        <v>0</v>
      </c>
      <c r="AN1123" s="63"/>
      <c r="AO1123" s="63"/>
      <c r="AP1123" s="63"/>
      <c r="AQ1123" s="63" t="s">
        <v>3068</v>
      </c>
      <c r="AR1123" s="63"/>
      <c r="AS1123" s="63"/>
      <c r="AT1123" s="63"/>
      <c r="AU1123" s="63"/>
      <c r="AV1123" s="63"/>
      <c r="AW1123" s="63"/>
    </row>
    <row r="1124" spans="1:49" ht="357.75" thickTop="1" thickBot="1" x14ac:dyDescent="0.3">
      <c r="A1124" s="193">
        <v>77</v>
      </c>
      <c r="B1124" s="85" t="s">
        <v>3117</v>
      </c>
      <c r="C1124" s="105" t="s">
        <v>2834</v>
      </c>
      <c r="D1124" s="63" t="s">
        <v>714</v>
      </c>
      <c r="E1124" s="106" t="s">
        <v>2835</v>
      </c>
      <c r="F1124" s="63" t="s">
        <v>52</v>
      </c>
      <c r="G1124" s="63" t="s">
        <v>53</v>
      </c>
      <c r="H1124" s="111" t="s">
        <v>733</v>
      </c>
      <c r="I1124" s="63" t="s">
        <v>55</v>
      </c>
      <c r="J1124" s="106" t="s">
        <v>56</v>
      </c>
      <c r="K1124" s="106">
        <v>801116</v>
      </c>
      <c r="L1124" s="63" t="s">
        <v>2836</v>
      </c>
      <c r="M1124" s="63" t="s">
        <v>58</v>
      </c>
      <c r="N1124" s="63" t="s">
        <v>59</v>
      </c>
      <c r="O1124" s="63" t="s">
        <v>2839</v>
      </c>
      <c r="P1124" s="107" t="s">
        <v>3118</v>
      </c>
      <c r="Q1124" s="197">
        <v>1700000</v>
      </c>
      <c r="R1124" s="63">
        <v>1</v>
      </c>
      <c r="S1124" s="198">
        <v>2550000</v>
      </c>
      <c r="T1124" s="112" t="s">
        <v>888</v>
      </c>
      <c r="U1124" s="63" t="s">
        <v>445</v>
      </c>
      <c r="V1124" s="81">
        <v>43255</v>
      </c>
      <c r="W1124" s="206">
        <v>1.5</v>
      </c>
      <c r="X1124" s="85" t="s">
        <v>3119</v>
      </c>
      <c r="Y1124" s="81">
        <v>43243</v>
      </c>
      <c r="Z1124" s="198">
        <v>2550000</v>
      </c>
      <c r="AA1124" s="84"/>
      <c r="AB1124" s="63">
        <v>860</v>
      </c>
      <c r="AC1124" s="81">
        <v>43251</v>
      </c>
      <c r="AD1124" s="198"/>
      <c r="AE1124" s="63"/>
      <c r="AF1124" s="63">
        <v>1994</v>
      </c>
      <c r="AG1124" s="81">
        <v>43256</v>
      </c>
      <c r="AH1124" s="196">
        <v>2550000</v>
      </c>
      <c r="AI1124" s="84" t="s">
        <v>3120</v>
      </c>
      <c r="AJ1124" s="63">
        <v>667</v>
      </c>
      <c r="AK1124" s="63"/>
      <c r="AL1124" s="196">
        <v>2550000</v>
      </c>
      <c r="AM1124" s="196">
        <f>+VLOOKUP(AF1124,'[2]CRP a 31 Agosto de 2018'!$J$8:$V$2956,13,0)</f>
        <v>2550000</v>
      </c>
      <c r="AN1124" s="198">
        <f>+AL1124-AM1124</f>
        <v>0</v>
      </c>
      <c r="AO1124" s="63"/>
      <c r="AP1124" s="63"/>
      <c r="AQ1124" s="63"/>
      <c r="AR1124" s="63"/>
      <c r="AS1124" s="63"/>
      <c r="AT1124" s="63"/>
      <c r="AU1124" s="63"/>
      <c r="AV1124" s="63"/>
      <c r="AW1124" s="63"/>
    </row>
    <row r="1125" spans="1:49" ht="357.75" thickTop="1" thickBot="1" x14ac:dyDescent="0.3">
      <c r="A1125" s="193">
        <v>78</v>
      </c>
      <c r="B1125" s="85" t="s">
        <v>3121</v>
      </c>
      <c r="C1125" s="105" t="s">
        <v>2834</v>
      </c>
      <c r="D1125" s="63" t="s">
        <v>714</v>
      </c>
      <c r="E1125" s="106" t="s">
        <v>2835</v>
      </c>
      <c r="F1125" s="63" t="s">
        <v>52</v>
      </c>
      <c r="G1125" s="63" t="s">
        <v>53</v>
      </c>
      <c r="H1125" s="111" t="s">
        <v>733</v>
      </c>
      <c r="I1125" s="63" t="s">
        <v>55</v>
      </c>
      <c r="J1125" s="106" t="s">
        <v>56</v>
      </c>
      <c r="K1125" s="106">
        <v>801116</v>
      </c>
      <c r="L1125" s="63" t="s">
        <v>2836</v>
      </c>
      <c r="M1125" s="63" t="s">
        <v>58</v>
      </c>
      <c r="N1125" s="63" t="s">
        <v>59</v>
      </c>
      <c r="O1125" s="63" t="s">
        <v>2839</v>
      </c>
      <c r="P1125" s="107" t="s">
        <v>3122</v>
      </c>
      <c r="Q1125" s="197">
        <v>2400000</v>
      </c>
      <c r="R1125" s="63">
        <v>1</v>
      </c>
      <c r="S1125" s="198">
        <f>3600000-3600000</f>
        <v>0</v>
      </c>
      <c r="T1125" s="112" t="s">
        <v>888</v>
      </c>
      <c r="U1125" s="63" t="s">
        <v>445</v>
      </c>
      <c r="V1125" s="81">
        <v>43269</v>
      </c>
      <c r="W1125" s="206">
        <v>1.5</v>
      </c>
      <c r="X1125" s="85" t="s">
        <v>3123</v>
      </c>
      <c r="Y1125" s="81">
        <v>43243</v>
      </c>
      <c r="Z1125" s="198">
        <v>3600000</v>
      </c>
      <c r="AA1125" s="84"/>
      <c r="AB1125" s="63"/>
      <c r="AC1125" s="63"/>
      <c r="AD1125" s="198"/>
      <c r="AE1125" s="63"/>
      <c r="AF1125" s="63"/>
      <c r="AG1125" s="63"/>
      <c r="AH1125" s="196"/>
      <c r="AI1125" s="84" t="s">
        <v>3124</v>
      </c>
      <c r="AJ1125" s="63"/>
      <c r="AK1125" s="63"/>
      <c r="AL1125" s="196"/>
      <c r="AM1125" s="196">
        <v>0</v>
      </c>
      <c r="AN1125" s="63"/>
      <c r="AO1125" s="63"/>
      <c r="AP1125" s="63"/>
      <c r="AQ1125" s="63" t="s">
        <v>3068</v>
      </c>
      <c r="AR1125" s="63"/>
      <c r="AS1125" s="63"/>
      <c r="AT1125" s="63"/>
      <c r="AU1125" s="63"/>
      <c r="AV1125" s="63"/>
      <c r="AW1125" s="63"/>
    </row>
    <row r="1126" spans="1:49" ht="357.75" thickTop="1" thickBot="1" x14ac:dyDescent="0.3">
      <c r="A1126" s="193">
        <v>79</v>
      </c>
      <c r="B1126" s="85" t="s">
        <v>3125</v>
      </c>
      <c r="C1126" s="105" t="s">
        <v>2834</v>
      </c>
      <c r="D1126" s="63" t="s">
        <v>714</v>
      </c>
      <c r="E1126" s="106" t="s">
        <v>2835</v>
      </c>
      <c r="F1126" s="63" t="s">
        <v>52</v>
      </c>
      <c r="G1126" s="63" t="s">
        <v>53</v>
      </c>
      <c r="H1126" s="111" t="s">
        <v>733</v>
      </c>
      <c r="I1126" s="63" t="s">
        <v>55</v>
      </c>
      <c r="J1126" s="106" t="s">
        <v>56</v>
      </c>
      <c r="K1126" s="106">
        <v>801116</v>
      </c>
      <c r="L1126" s="63" t="s">
        <v>2836</v>
      </c>
      <c r="M1126" s="63" t="s">
        <v>58</v>
      </c>
      <c r="N1126" s="63" t="s">
        <v>59</v>
      </c>
      <c r="O1126" s="63" t="s">
        <v>2839</v>
      </c>
      <c r="P1126" s="107" t="s">
        <v>3126</v>
      </c>
      <c r="Q1126" s="197">
        <v>3450000</v>
      </c>
      <c r="R1126" s="63">
        <v>1</v>
      </c>
      <c r="S1126" s="198">
        <v>5175000</v>
      </c>
      <c r="T1126" s="112" t="s">
        <v>888</v>
      </c>
      <c r="U1126" s="63" t="s">
        <v>445</v>
      </c>
      <c r="V1126" s="81">
        <v>43254</v>
      </c>
      <c r="W1126" s="206">
        <v>1.5</v>
      </c>
      <c r="X1126" s="85" t="s">
        <v>3127</v>
      </c>
      <c r="Y1126" s="81">
        <v>43243</v>
      </c>
      <c r="Z1126" s="198">
        <v>5175000</v>
      </c>
      <c r="AA1126" s="84"/>
      <c r="AB1126" s="63">
        <v>857</v>
      </c>
      <c r="AC1126" s="81">
        <v>43251</v>
      </c>
      <c r="AD1126" s="198"/>
      <c r="AE1126" s="63"/>
      <c r="AF1126" s="63">
        <v>1990</v>
      </c>
      <c r="AG1126" s="81" t="s">
        <v>3128</v>
      </c>
      <c r="AH1126" s="196">
        <v>5175000</v>
      </c>
      <c r="AI1126" s="84" t="s">
        <v>3129</v>
      </c>
      <c r="AJ1126" s="63">
        <v>654</v>
      </c>
      <c r="AK1126" s="63"/>
      <c r="AL1126" s="198">
        <v>5175000</v>
      </c>
      <c r="AM1126" s="196">
        <f>+VLOOKUP(AF1126,'[2]CRP a 31 Agosto de 2018'!$J$8:$V$2956,13,0)</f>
        <v>5175000</v>
      </c>
      <c r="AN1126" s="198">
        <f>+AL1126-AM1126</f>
        <v>0</v>
      </c>
      <c r="AO1126" s="63"/>
      <c r="AP1126" s="63"/>
      <c r="AQ1126" s="63"/>
      <c r="AR1126" s="63"/>
      <c r="AS1126" s="63"/>
      <c r="AT1126" s="63"/>
      <c r="AU1126" s="63"/>
      <c r="AV1126" s="63"/>
      <c r="AW1126" s="63"/>
    </row>
    <row r="1127" spans="1:49" ht="357.75" thickTop="1" thickBot="1" x14ac:dyDescent="0.3">
      <c r="A1127" s="193">
        <v>80</v>
      </c>
      <c r="B1127" s="85" t="s">
        <v>3130</v>
      </c>
      <c r="C1127" s="105" t="s">
        <v>2834</v>
      </c>
      <c r="D1127" s="63" t="s">
        <v>714</v>
      </c>
      <c r="E1127" s="106" t="s">
        <v>2835</v>
      </c>
      <c r="F1127" s="63" t="s">
        <v>52</v>
      </c>
      <c r="G1127" s="63" t="s">
        <v>53</v>
      </c>
      <c r="H1127" s="111" t="s">
        <v>733</v>
      </c>
      <c r="I1127" s="63" t="s">
        <v>55</v>
      </c>
      <c r="J1127" s="106" t="s">
        <v>56</v>
      </c>
      <c r="K1127" s="106">
        <v>801116</v>
      </c>
      <c r="L1127" s="63" t="s">
        <v>2836</v>
      </c>
      <c r="M1127" s="63" t="s">
        <v>58</v>
      </c>
      <c r="N1127" s="63" t="s">
        <v>59</v>
      </c>
      <c r="O1127" s="63" t="s">
        <v>2839</v>
      </c>
      <c r="P1127" s="107" t="s">
        <v>3131</v>
      </c>
      <c r="Q1127" s="197">
        <v>2400000</v>
      </c>
      <c r="R1127" s="63">
        <v>1</v>
      </c>
      <c r="S1127" s="198">
        <f>3600000-3600000</f>
        <v>0</v>
      </c>
      <c r="T1127" s="112" t="s">
        <v>888</v>
      </c>
      <c r="U1127" s="63" t="s">
        <v>445</v>
      </c>
      <c r="V1127" s="81">
        <v>43271</v>
      </c>
      <c r="W1127" s="206">
        <v>1.5</v>
      </c>
      <c r="X1127" s="85" t="s">
        <v>3132</v>
      </c>
      <c r="Y1127" s="81">
        <v>43243</v>
      </c>
      <c r="Z1127" s="198">
        <v>3600000</v>
      </c>
      <c r="AA1127" s="84"/>
      <c r="AB1127" s="63"/>
      <c r="AC1127" s="63"/>
      <c r="AD1127" s="198"/>
      <c r="AE1127" s="63"/>
      <c r="AF1127" s="63"/>
      <c r="AG1127" s="63"/>
      <c r="AH1127" s="196"/>
      <c r="AI1127" s="84" t="s">
        <v>3133</v>
      </c>
      <c r="AJ1127" s="63"/>
      <c r="AK1127" s="63"/>
      <c r="AL1127" s="196"/>
      <c r="AM1127" s="196">
        <v>0</v>
      </c>
      <c r="AN1127" s="63"/>
      <c r="AO1127" s="63"/>
      <c r="AP1127" s="63"/>
      <c r="AQ1127" s="63" t="s">
        <v>3068</v>
      </c>
      <c r="AR1127" s="63"/>
      <c r="AS1127" s="63"/>
      <c r="AT1127" s="63"/>
      <c r="AU1127" s="63"/>
      <c r="AV1127" s="63"/>
      <c r="AW1127" s="63"/>
    </row>
    <row r="1128" spans="1:49" ht="357.75" thickTop="1" thickBot="1" x14ac:dyDescent="0.3">
      <c r="A1128" s="193">
        <v>81</v>
      </c>
      <c r="B1128" s="85" t="s">
        <v>3134</v>
      </c>
      <c r="C1128" s="105" t="s">
        <v>2834</v>
      </c>
      <c r="D1128" s="63" t="s">
        <v>714</v>
      </c>
      <c r="E1128" s="106" t="s">
        <v>2835</v>
      </c>
      <c r="F1128" s="63" t="s">
        <v>52</v>
      </c>
      <c r="G1128" s="63" t="s">
        <v>53</v>
      </c>
      <c r="H1128" s="111" t="s">
        <v>733</v>
      </c>
      <c r="I1128" s="63" t="s">
        <v>55</v>
      </c>
      <c r="J1128" s="106" t="s">
        <v>56</v>
      </c>
      <c r="K1128" s="106">
        <v>801116</v>
      </c>
      <c r="L1128" s="63" t="s">
        <v>2836</v>
      </c>
      <c r="M1128" s="63" t="s">
        <v>58</v>
      </c>
      <c r="N1128" s="63" t="s">
        <v>59</v>
      </c>
      <c r="O1128" s="63" t="s">
        <v>2839</v>
      </c>
      <c r="P1128" s="107" t="s">
        <v>3135</v>
      </c>
      <c r="Q1128" s="197">
        <v>2400000</v>
      </c>
      <c r="R1128" s="63">
        <v>1</v>
      </c>
      <c r="S1128" s="198">
        <f>3600000-3600000</f>
        <v>0</v>
      </c>
      <c r="T1128" s="112" t="s">
        <v>888</v>
      </c>
      <c r="U1128" s="63" t="s">
        <v>445</v>
      </c>
      <c r="V1128" s="81">
        <v>43269</v>
      </c>
      <c r="W1128" s="206">
        <v>1.5</v>
      </c>
      <c r="X1128" s="85" t="s">
        <v>3136</v>
      </c>
      <c r="Y1128" s="81">
        <v>43243</v>
      </c>
      <c r="Z1128" s="198">
        <v>3600000</v>
      </c>
      <c r="AA1128" s="84"/>
      <c r="AB1128" s="63"/>
      <c r="AC1128" s="63"/>
      <c r="AD1128" s="198"/>
      <c r="AE1128" s="63"/>
      <c r="AF1128" s="63"/>
      <c r="AG1128" s="63"/>
      <c r="AH1128" s="196"/>
      <c r="AI1128" s="84" t="s">
        <v>3137</v>
      </c>
      <c r="AJ1128" s="63"/>
      <c r="AK1128" s="63"/>
      <c r="AL1128" s="196"/>
      <c r="AM1128" s="196">
        <v>0</v>
      </c>
      <c r="AN1128" s="63"/>
      <c r="AO1128" s="63"/>
      <c r="AP1128" s="63"/>
      <c r="AQ1128" s="63" t="s">
        <v>3068</v>
      </c>
      <c r="AR1128" s="63"/>
      <c r="AS1128" s="63"/>
      <c r="AT1128" s="63"/>
      <c r="AU1128" s="63"/>
      <c r="AV1128" s="63"/>
      <c r="AW1128" s="63"/>
    </row>
    <row r="1129" spans="1:49" ht="357.75" thickTop="1" thickBot="1" x14ac:dyDescent="0.3">
      <c r="A1129" s="193">
        <v>82</v>
      </c>
      <c r="B1129" s="85" t="s">
        <v>3138</v>
      </c>
      <c r="C1129" s="105" t="s">
        <v>2834</v>
      </c>
      <c r="D1129" s="63" t="s">
        <v>714</v>
      </c>
      <c r="E1129" s="106" t="s">
        <v>2835</v>
      </c>
      <c r="F1129" s="63" t="s">
        <v>52</v>
      </c>
      <c r="G1129" s="63" t="s">
        <v>53</v>
      </c>
      <c r="H1129" s="111" t="s">
        <v>733</v>
      </c>
      <c r="I1129" s="63" t="s">
        <v>55</v>
      </c>
      <c r="J1129" s="106" t="s">
        <v>56</v>
      </c>
      <c r="K1129" s="106">
        <v>801116</v>
      </c>
      <c r="L1129" s="63" t="s">
        <v>2836</v>
      </c>
      <c r="M1129" s="63" t="s">
        <v>58</v>
      </c>
      <c r="N1129" s="63" t="s">
        <v>59</v>
      </c>
      <c r="O1129" s="63" t="s">
        <v>2839</v>
      </c>
      <c r="P1129" s="107" t="s">
        <v>3139</v>
      </c>
      <c r="Q1129" s="197">
        <v>3300000</v>
      </c>
      <c r="R1129" s="63">
        <v>1</v>
      </c>
      <c r="S1129" s="198">
        <f>3300000-2048666-1249733-1601</f>
        <v>0</v>
      </c>
      <c r="T1129" s="112" t="s">
        <v>888</v>
      </c>
      <c r="U1129" s="63" t="s">
        <v>445</v>
      </c>
      <c r="V1129" s="81">
        <v>43286</v>
      </c>
      <c r="W1129" s="199">
        <v>1</v>
      </c>
      <c r="X1129" s="85" t="s">
        <v>3140</v>
      </c>
      <c r="Y1129" s="81">
        <v>43243</v>
      </c>
      <c r="Z1129" s="198">
        <v>3300000</v>
      </c>
      <c r="AA1129" s="84"/>
      <c r="AB1129" s="63"/>
      <c r="AC1129" s="63"/>
      <c r="AD1129" s="198"/>
      <c r="AE1129" s="63"/>
      <c r="AF1129" s="63"/>
      <c r="AG1129" s="63"/>
      <c r="AH1129" s="196"/>
      <c r="AI1129" s="84" t="s">
        <v>3141</v>
      </c>
      <c r="AJ1129" s="63"/>
      <c r="AK1129" s="63"/>
      <c r="AL1129" s="196"/>
      <c r="AM1129" s="196">
        <v>0</v>
      </c>
      <c r="AN1129" s="63"/>
      <c r="AO1129" s="63"/>
      <c r="AP1129" s="63"/>
      <c r="AQ1129" s="63" t="s">
        <v>3068</v>
      </c>
      <c r="AR1129" s="63"/>
      <c r="AS1129" s="63"/>
      <c r="AT1129" s="63"/>
      <c r="AU1129" s="63"/>
      <c r="AV1129" s="63"/>
      <c r="AW1129" s="63"/>
    </row>
    <row r="1130" spans="1:49" ht="357.75" thickTop="1" thickBot="1" x14ac:dyDescent="0.3">
      <c r="A1130" s="193">
        <v>83</v>
      </c>
      <c r="B1130" s="85" t="s">
        <v>3142</v>
      </c>
      <c r="C1130" s="105" t="s">
        <v>2834</v>
      </c>
      <c r="D1130" s="63" t="s">
        <v>714</v>
      </c>
      <c r="E1130" s="106" t="s">
        <v>2835</v>
      </c>
      <c r="F1130" s="63" t="s">
        <v>52</v>
      </c>
      <c r="G1130" s="63" t="s">
        <v>53</v>
      </c>
      <c r="H1130" s="111" t="s">
        <v>733</v>
      </c>
      <c r="I1130" s="63" t="s">
        <v>55</v>
      </c>
      <c r="J1130" s="106" t="s">
        <v>56</v>
      </c>
      <c r="K1130" s="106">
        <v>801116</v>
      </c>
      <c r="L1130" s="63" t="s">
        <v>2836</v>
      </c>
      <c r="M1130" s="63" t="s">
        <v>58</v>
      </c>
      <c r="N1130" s="63" t="s">
        <v>59</v>
      </c>
      <c r="O1130" s="63" t="s">
        <v>2839</v>
      </c>
      <c r="P1130" s="107" t="s">
        <v>3143</v>
      </c>
      <c r="Q1130" s="197">
        <v>5100000</v>
      </c>
      <c r="R1130" s="63">
        <v>1</v>
      </c>
      <c r="S1130" s="198">
        <f>5100000-1273500-2568167-1258333</f>
        <v>0</v>
      </c>
      <c r="T1130" s="112" t="s">
        <v>888</v>
      </c>
      <c r="U1130" s="63" t="s">
        <v>445</v>
      </c>
      <c r="V1130" s="81">
        <v>43285</v>
      </c>
      <c r="W1130" s="199">
        <v>1</v>
      </c>
      <c r="X1130" s="85" t="s">
        <v>3144</v>
      </c>
      <c r="Y1130" s="81">
        <v>43243</v>
      </c>
      <c r="Z1130" s="198">
        <v>5100000</v>
      </c>
      <c r="AA1130" s="84"/>
      <c r="AB1130" s="63"/>
      <c r="AC1130" s="63"/>
      <c r="AD1130" s="198"/>
      <c r="AE1130" s="63"/>
      <c r="AF1130" s="63"/>
      <c r="AG1130" s="63"/>
      <c r="AH1130" s="196"/>
      <c r="AI1130" s="84" t="s">
        <v>3145</v>
      </c>
      <c r="AJ1130" s="63"/>
      <c r="AK1130" s="63"/>
      <c r="AL1130" s="196"/>
      <c r="AM1130" s="196">
        <v>0</v>
      </c>
      <c r="AN1130" s="63"/>
      <c r="AO1130" s="63"/>
      <c r="AP1130" s="63"/>
      <c r="AQ1130" s="63" t="s">
        <v>3068</v>
      </c>
      <c r="AR1130" s="63"/>
      <c r="AS1130" s="63"/>
      <c r="AT1130" s="63"/>
      <c r="AU1130" s="63"/>
      <c r="AV1130" s="63"/>
      <c r="AW1130" s="63"/>
    </row>
    <row r="1131" spans="1:49" ht="357.75" thickTop="1" thickBot="1" x14ac:dyDescent="0.3">
      <c r="A1131" s="193">
        <v>84</v>
      </c>
      <c r="B1131" s="85" t="s">
        <v>3146</v>
      </c>
      <c r="C1131" s="105" t="s">
        <v>2834</v>
      </c>
      <c r="D1131" s="63" t="s">
        <v>714</v>
      </c>
      <c r="E1131" s="106" t="s">
        <v>2835</v>
      </c>
      <c r="F1131" s="63" t="s">
        <v>52</v>
      </c>
      <c r="G1131" s="63" t="s">
        <v>53</v>
      </c>
      <c r="H1131" s="111" t="s">
        <v>733</v>
      </c>
      <c r="I1131" s="63" t="s">
        <v>55</v>
      </c>
      <c r="J1131" s="106" t="s">
        <v>56</v>
      </c>
      <c r="K1131" s="106">
        <v>801116</v>
      </c>
      <c r="L1131" s="63" t="s">
        <v>2836</v>
      </c>
      <c r="M1131" s="63" t="s">
        <v>58</v>
      </c>
      <c r="N1131" s="63" t="s">
        <v>59</v>
      </c>
      <c r="O1131" s="63" t="s">
        <v>2839</v>
      </c>
      <c r="P1131" s="107" t="s">
        <v>3147</v>
      </c>
      <c r="Q1131" s="197">
        <v>1700000</v>
      </c>
      <c r="R1131" s="63">
        <v>1</v>
      </c>
      <c r="S1131" s="198">
        <v>2550000</v>
      </c>
      <c r="T1131" s="112" t="s">
        <v>888</v>
      </c>
      <c r="U1131" s="63" t="s">
        <v>445</v>
      </c>
      <c r="V1131" s="81">
        <v>43254</v>
      </c>
      <c r="W1131" s="206">
        <v>1.5</v>
      </c>
      <c r="X1131" s="85" t="s">
        <v>3148</v>
      </c>
      <c r="Y1131" s="81">
        <v>43243</v>
      </c>
      <c r="Z1131" s="198">
        <v>2550000</v>
      </c>
      <c r="AA1131" s="84"/>
      <c r="AB1131" s="63">
        <v>866</v>
      </c>
      <c r="AC1131" s="81">
        <v>43251</v>
      </c>
      <c r="AD1131" s="198"/>
      <c r="AE1131" s="63"/>
      <c r="AF1131" s="63">
        <v>1995</v>
      </c>
      <c r="AG1131" s="81">
        <v>43256</v>
      </c>
      <c r="AH1131" s="196">
        <v>2550000</v>
      </c>
      <c r="AI1131" s="84" t="s">
        <v>3149</v>
      </c>
      <c r="AJ1131" s="63">
        <v>653</v>
      </c>
      <c r="AK1131" s="63"/>
      <c r="AL1131" s="196">
        <v>2550000</v>
      </c>
      <c r="AM1131" s="196">
        <f>+VLOOKUP(AF1131,'[2]CRP a 31 Agosto de 2018'!$J$8:$V$2956,13,0)</f>
        <v>2550000</v>
      </c>
      <c r="AN1131" s="115">
        <f>+AL1131-AM1131</f>
        <v>0</v>
      </c>
      <c r="AO1131" s="63"/>
      <c r="AP1131" s="63"/>
      <c r="AQ1131" s="63"/>
      <c r="AR1131" s="63"/>
      <c r="AS1131" s="63"/>
      <c r="AT1131" s="63"/>
      <c r="AU1131" s="63"/>
      <c r="AV1131" s="63"/>
      <c r="AW1131" s="63"/>
    </row>
    <row r="1132" spans="1:49" ht="357.75" thickTop="1" thickBot="1" x14ac:dyDescent="0.3">
      <c r="A1132" s="193">
        <v>85</v>
      </c>
      <c r="B1132" s="85" t="s">
        <v>3150</v>
      </c>
      <c r="C1132" s="105" t="s">
        <v>2834</v>
      </c>
      <c r="D1132" s="63" t="s">
        <v>714</v>
      </c>
      <c r="E1132" s="106" t="s">
        <v>2835</v>
      </c>
      <c r="F1132" s="63" t="s">
        <v>52</v>
      </c>
      <c r="G1132" s="63" t="s">
        <v>53</v>
      </c>
      <c r="H1132" s="111" t="s">
        <v>733</v>
      </c>
      <c r="I1132" s="63" t="s">
        <v>55</v>
      </c>
      <c r="J1132" s="106" t="s">
        <v>56</v>
      </c>
      <c r="K1132" s="106">
        <v>801116</v>
      </c>
      <c r="L1132" s="63" t="s">
        <v>2836</v>
      </c>
      <c r="M1132" s="63" t="s">
        <v>58</v>
      </c>
      <c r="N1132" s="63" t="s">
        <v>59</v>
      </c>
      <c r="O1132" s="63" t="s">
        <v>2839</v>
      </c>
      <c r="P1132" s="107" t="s">
        <v>3151</v>
      </c>
      <c r="Q1132" s="197">
        <v>5100000</v>
      </c>
      <c r="R1132" s="63">
        <v>1</v>
      </c>
      <c r="S1132" s="197">
        <f>5100000-5100000+2848500-2848500</f>
        <v>0</v>
      </c>
      <c r="T1132" s="112" t="s">
        <v>888</v>
      </c>
      <c r="U1132" s="63" t="s">
        <v>445</v>
      </c>
      <c r="V1132" s="81">
        <v>43256</v>
      </c>
      <c r="W1132" s="206">
        <v>1.5</v>
      </c>
      <c r="X1132" s="85" t="s">
        <v>3152</v>
      </c>
      <c r="Y1132" s="81">
        <v>43243</v>
      </c>
      <c r="Z1132" s="198">
        <v>7650000</v>
      </c>
      <c r="AA1132" s="84"/>
      <c r="AB1132" s="63"/>
      <c r="AC1132" s="63"/>
      <c r="AD1132" s="198"/>
      <c r="AE1132" s="63"/>
      <c r="AF1132" s="63"/>
      <c r="AG1132" s="63"/>
      <c r="AH1132" s="196"/>
      <c r="AI1132" s="84" t="s">
        <v>3153</v>
      </c>
      <c r="AJ1132" s="63"/>
      <c r="AK1132" s="63"/>
      <c r="AL1132" s="196"/>
      <c r="AM1132" s="196">
        <v>0</v>
      </c>
      <c r="AN1132" s="63"/>
      <c r="AO1132" s="63"/>
      <c r="AP1132" s="63"/>
      <c r="AQ1132" s="63" t="s">
        <v>3068</v>
      </c>
      <c r="AR1132" s="63"/>
      <c r="AS1132" s="63"/>
      <c r="AT1132" s="63"/>
      <c r="AU1132" s="63"/>
      <c r="AV1132" s="63"/>
      <c r="AW1132" s="63"/>
    </row>
    <row r="1133" spans="1:49" ht="409.6" thickTop="1" thickBot="1" x14ac:dyDescent="0.3">
      <c r="A1133" s="193">
        <v>86</v>
      </c>
      <c r="B1133" s="85" t="s">
        <v>3154</v>
      </c>
      <c r="C1133" s="105" t="s">
        <v>2834</v>
      </c>
      <c r="D1133" s="63" t="s">
        <v>714</v>
      </c>
      <c r="E1133" s="106" t="s">
        <v>2845</v>
      </c>
      <c r="F1133" s="63" t="s">
        <v>52</v>
      </c>
      <c r="G1133" s="63" t="s">
        <v>53</v>
      </c>
      <c r="H1133" s="111" t="s">
        <v>733</v>
      </c>
      <c r="I1133" s="63" t="s">
        <v>55</v>
      </c>
      <c r="J1133" s="106" t="s">
        <v>56</v>
      </c>
      <c r="K1133" s="106">
        <v>801116</v>
      </c>
      <c r="L1133" s="106" t="s">
        <v>2836</v>
      </c>
      <c r="M1133" s="106" t="s">
        <v>2837</v>
      </c>
      <c r="N1133" s="106" t="s">
        <v>2838</v>
      </c>
      <c r="O1133" s="106" t="s">
        <v>2839</v>
      </c>
      <c r="P1133" s="107" t="s">
        <v>3155</v>
      </c>
      <c r="Q1133" s="197">
        <v>8240000</v>
      </c>
      <c r="R1133" s="63">
        <v>1</v>
      </c>
      <c r="S1133" s="198">
        <v>90640000</v>
      </c>
      <c r="T1133" s="112" t="s">
        <v>888</v>
      </c>
      <c r="U1133" s="63" t="s">
        <v>445</v>
      </c>
      <c r="V1133" s="81">
        <v>43111</v>
      </c>
      <c r="W1133" s="199">
        <v>11</v>
      </c>
      <c r="X1133" s="85" t="s">
        <v>3156</v>
      </c>
      <c r="Y1133" s="81">
        <v>43111</v>
      </c>
      <c r="Z1133" s="196">
        <v>90640000</v>
      </c>
      <c r="AA1133" s="116" t="s">
        <v>3157</v>
      </c>
      <c r="AB1133" s="63">
        <v>473</v>
      </c>
      <c r="AC1133" s="81">
        <v>43112</v>
      </c>
      <c r="AD1133" s="198">
        <v>90640000</v>
      </c>
      <c r="AE1133" s="63"/>
      <c r="AF1133" s="63">
        <v>222</v>
      </c>
      <c r="AG1133" s="81">
        <v>43118</v>
      </c>
      <c r="AH1133" s="196">
        <v>90640000</v>
      </c>
      <c r="AI1133" s="84" t="s">
        <v>3158</v>
      </c>
      <c r="AJ1133" s="63">
        <v>193</v>
      </c>
      <c r="AK1133" s="63"/>
      <c r="AL1133" s="196">
        <v>90640000</v>
      </c>
      <c r="AM1133" s="196">
        <f>+VLOOKUP(AF1133,'[2]CRP a 31 Agosto de 2018'!$J$8:$V$2956,13,0)</f>
        <v>52736000</v>
      </c>
      <c r="AN1133" s="196">
        <f t="shared" ref="AN1133:AN1134" si="125">AL1133-AM1133</f>
        <v>37904000</v>
      </c>
      <c r="AO1133" s="63"/>
      <c r="AP1133" s="63"/>
      <c r="AQ1133" s="85" t="s">
        <v>3159</v>
      </c>
      <c r="AR1133" s="81">
        <v>43111</v>
      </c>
      <c r="AS1133" s="63" t="s">
        <v>2848</v>
      </c>
      <c r="AT1133" s="81">
        <v>43111</v>
      </c>
      <c r="AU1133" s="63" t="s">
        <v>2855</v>
      </c>
      <c r="AV1133" s="63"/>
      <c r="AW1133" s="63"/>
    </row>
    <row r="1134" spans="1:49" ht="409.6" thickTop="1" thickBot="1" x14ac:dyDescent="0.3">
      <c r="A1134" s="193">
        <v>87</v>
      </c>
      <c r="B1134" s="85" t="s">
        <v>3160</v>
      </c>
      <c r="C1134" s="105" t="s">
        <v>2834</v>
      </c>
      <c r="D1134" s="63" t="s">
        <v>714</v>
      </c>
      <c r="E1134" s="106" t="s">
        <v>2845</v>
      </c>
      <c r="F1134" s="63" t="s">
        <v>52</v>
      </c>
      <c r="G1134" s="63" t="s">
        <v>53</v>
      </c>
      <c r="H1134" s="111" t="s">
        <v>733</v>
      </c>
      <c r="I1134" s="63" t="s">
        <v>55</v>
      </c>
      <c r="J1134" s="106" t="s">
        <v>56</v>
      </c>
      <c r="K1134" s="106">
        <v>801116</v>
      </c>
      <c r="L1134" s="106" t="s">
        <v>2836</v>
      </c>
      <c r="M1134" s="106" t="s">
        <v>2837</v>
      </c>
      <c r="N1134" s="106" t="s">
        <v>2838</v>
      </c>
      <c r="O1134" s="106" t="s">
        <v>2839</v>
      </c>
      <c r="P1134" s="107" t="s">
        <v>3161</v>
      </c>
      <c r="Q1134" s="197">
        <v>1259175</v>
      </c>
      <c r="R1134" s="63">
        <v>1</v>
      </c>
      <c r="S1134" s="198">
        <v>13850925</v>
      </c>
      <c r="T1134" s="112" t="s">
        <v>888</v>
      </c>
      <c r="U1134" s="63" t="s">
        <v>445</v>
      </c>
      <c r="V1134" s="81">
        <v>43125</v>
      </c>
      <c r="W1134" s="199">
        <v>11</v>
      </c>
      <c r="X1134" s="85" t="s">
        <v>3162</v>
      </c>
      <c r="Y1134" s="81">
        <v>43115</v>
      </c>
      <c r="Z1134" s="196">
        <v>13850925</v>
      </c>
      <c r="AA1134" s="116" t="s">
        <v>3163</v>
      </c>
      <c r="AB1134" s="63">
        <v>499</v>
      </c>
      <c r="AC1134" s="81">
        <v>43116</v>
      </c>
      <c r="AD1134" s="198">
        <v>13850925</v>
      </c>
      <c r="AE1134" s="63"/>
      <c r="AF1134" s="63">
        <v>179</v>
      </c>
      <c r="AG1134" s="81">
        <v>43118</v>
      </c>
      <c r="AH1134" s="196">
        <v>13850925</v>
      </c>
      <c r="AI1134" s="84" t="s">
        <v>344</v>
      </c>
      <c r="AJ1134" s="63">
        <v>160</v>
      </c>
      <c r="AK1134" s="63"/>
      <c r="AL1134" s="196">
        <v>13850925</v>
      </c>
      <c r="AM1134" s="196">
        <f>+VLOOKUP(AF1134,'[2]CRP a 31 Agosto de 2018'!$J$8:$V$2956,13,0)</f>
        <v>8100694</v>
      </c>
      <c r="AN1134" s="196">
        <f t="shared" si="125"/>
        <v>5750231</v>
      </c>
      <c r="AO1134" s="63"/>
      <c r="AP1134" s="63"/>
      <c r="AQ1134" s="85" t="s">
        <v>3164</v>
      </c>
      <c r="AR1134" s="81">
        <v>43115</v>
      </c>
      <c r="AS1134" s="63" t="s">
        <v>2848</v>
      </c>
      <c r="AT1134" s="81">
        <v>43115</v>
      </c>
      <c r="AU1134" s="63" t="s">
        <v>2855</v>
      </c>
      <c r="AV1134" s="63"/>
      <c r="AW1134" s="63"/>
    </row>
    <row r="1135" spans="1:49" ht="409.6" thickTop="1" thickBot="1" x14ac:dyDescent="0.3">
      <c r="A1135" s="193">
        <v>88</v>
      </c>
      <c r="B1135" s="85" t="s">
        <v>3165</v>
      </c>
      <c r="C1135" s="105" t="s">
        <v>2834</v>
      </c>
      <c r="D1135" s="63" t="s">
        <v>714</v>
      </c>
      <c r="E1135" s="106" t="s">
        <v>2835</v>
      </c>
      <c r="F1135" s="63" t="s">
        <v>52</v>
      </c>
      <c r="G1135" s="63" t="s">
        <v>53</v>
      </c>
      <c r="H1135" s="111" t="s">
        <v>733</v>
      </c>
      <c r="I1135" s="63" t="s">
        <v>55</v>
      </c>
      <c r="J1135" s="106" t="s">
        <v>56</v>
      </c>
      <c r="K1135" s="106">
        <v>801116</v>
      </c>
      <c r="L1135" s="106" t="s">
        <v>2836</v>
      </c>
      <c r="M1135" s="106" t="s">
        <v>2837</v>
      </c>
      <c r="N1135" s="106" t="s">
        <v>2838</v>
      </c>
      <c r="O1135" s="106" t="s">
        <v>2839</v>
      </c>
      <c r="P1135" s="107" t="s">
        <v>3166</v>
      </c>
      <c r="Q1135" s="197">
        <v>1030000</v>
      </c>
      <c r="R1135" s="63">
        <v>1</v>
      </c>
      <c r="S1135" s="198">
        <v>11330000</v>
      </c>
      <c r="T1135" s="112" t="s">
        <v>888</v>
      </c>
      <c r="U1135" s="63" t="s">
        <v>445</v>
      </c>
      <c r="V1135" s="81">
        <v>43125</v>
      </c>
      <c r="W1135" s="199">
        <v>11</v>
      </c>
      <c r="X1135" s="85" t="s">
        <v>3167</v>
      </c>
      <c r="Y1135" s="81">
        <v>43115</v>
      </c>
      <c r="Z1135" s="196">
        <v>11330000</v>
      </c>
      <c r="AA1135" s="116" t="s">
        <v>3168</v>
      </c>
      <c r="AB1135" s="63">
        <v>500</v>
      </c>
      <c r="AC1135" s="81">
        <v>43116</v>
      </c>
      <c r="AD1135" s="198">
        <v>11330000</v>
      </c>
      <c r="AE1135" s="63"/>
      <c r="AF1135" s="63">
        <v>374</v>
      </c>
      <c r="AG1135" s="81">
        <v>43124</v>
      </c>
      <c r="AH1135" s="196">
        <v>11330000</v>
      </c>
      <c r="AI1135" s="84" t="s">
        <v>348</v>
      </c>
      <c r="AJ1135" s="63">
        <v>304</v>
      </c>
      <c r="AK1135" s="63"/>
      <c r="AL1135" s="196">
        <v>11330000</v>
      </c>
      <c r="AM1135" s="196">
        <f>+VLOOKUP(AF1135,'[2]CRP a 31 Agosto de 2018'!$J$8:$V$2956,13,0)</f>
        <v>6420333</v>
      </c>
      <c r="AN1135" s="196">
        <f>AL1135-AM1135</f>
        <v>4909667</v>
      </c>
      <c r="AO1135" s="63"/>
      <c r="AP1135" s="63"/>
      <c r="AQ1135" s="85" t="s">
        <v>3169</v>
      </c>
      <c r="AR1135" s="81">
        <v>43115</v>
      </c>
      <c r="AS1135" s="63" t="s">
        <v>2848</v>
      </c>
      <c r="AT1135" s="81">
        <v>43115</v>
      </c>
      <c r="AU1135" s="63" t="s">
        <v>2855</v>
      </c>
      <c r="AV1135" s="63"/>
      <c r="AW1135" s="63"/>
    </row>
    <row r="1136" spans="1:49" ht="409.6" thickTop="1" thickBot="1" x14ac:dyDescent="0.3">
      <c r="A1136" s="193">
        <v>89</v>
      </c>
      <c r="B1136" s="85" t="s">
        <v>3170</v>
      </c>
      <c r="C1136" s="105" t="s">
        <v>2834</v>
      </c>
      <c r="D1136" s="63" t="s">
        <v>714</v>
      </c>
      <c r="E1136" s="106" t="s">
        <v>2843</v>
      </c>
      <c r="F1136" s="63" t="s">
        <v>52</v>
      </c>
      <c r="G1136" s="63" t="s">
        <v>53</v>
      </c>
      <c r="H1136" s="111" t="s">
        <v>733</v>
      </c>
      <c r="I1136" s="63" t="s">
        <v>55</v>
      </c>
      <c r="J1136" s="106" t="s">
        <v>56</v>
      </c>
      <c r="K1136" s="106">
        <v>801116</v>
      </c>
      <c r="L1136" s="106" t="s">
        <v>2836</v>
      </c>
      <c r="M1136" s="106" t="s">
        <v>2837</v>
      </c>
      <c r="N1136" s="106" t="s">
        <v>2838</v>
      </c>
      <c r="O1136" s="106" t="s">
        <v>2839</v>
      </c>
      <c r="P1136" s="117" t="s">
        <v>3171</v>
      </c>
      <c r="Q1136" s="197">
        <v>3553000</v>
      </c>
      <c r="R1136" s="63">
        <v>1</v>
      </c>
      <c r="S1136" s="118">
        <f>28424000-1232000</f>
        <v>27192000</v>
      </c>
      <c r="T1136" s="112" t="s">
        <v>888</v>
      </c>
      <c r="U1136" s="63" t="s">
        <v>445</v>
      </c>
      <c r="V1136" s="81">
        <v>43122</v>
      </c>
      <c r="W1136" s="199">
        <v>8</v>
      </c>
      <c r="X1136" s="85" t="s">
        <v>3172</v>
      </c>
      <c r="Y1136" s="81">
        <v>43122</v>
      </c>
      <c r="Z1136" s="196">
        <v>28424000</v>
      </c>
      <c r="AA1136" s="116" t="s">
        <v>3173</v>
      </c>
      <c r="AB1136" s="63">
        <v>557</v>
      </c>
      <c r="AC1136" s="81">
        <v>43122</v>
      </c>
      <c r="AD1136" s="198"/>
      <c r="AE1136" s="63"/>
      <c r="AF1136" s="63">
        <v>467</v>
      </c>
      <c r="AG1136" s="81">
        <v>43126</v>
      </c>
      <c r="AH1136" s="196">
        <v>27192000</v>
      </c>
      <c r="AI1136" s="84" t="s">
        <v>3174</v>
      </c>
      <c r="AJ1136" s="63">
        <v>394</v>
      </c>
      <c r="AK1136" s="133"/>
      <c r="AL1136" s="196">
        <v>27192000</v>
      </c>
      <c r="AM1136" s="196">
        <f>+VLOOKUP(AF1136,'[2]CRP a 31 Agosto de 2018'!$J$8:$V$2956,13,0)</f>
        <v>20960500</v>
      </c>
      <c r="AN1136" s="196">
        <f>+AL1136-AM1136</f>
        <v>6231500</v>
      </c>
      <c r="AO1136" s="133"/>
      <c r="AP1136" s="133"/>
      <c r="AQ1136" s="85" t="s">
        <v>3175</v>
      </c>
      <c r="AR1136" s="81">
        <v>43122</v>
      </c>
      <c r="AS1136" s="81" t="s">
        <v>2848</v>
      </c>
      <c r="AT1136" s="81">
        <v>43122</v>
      </c>
      <c r="AU1136" s="81" t="s">
        <v>2855</v>
      </c>
      <c r="AV1136" s="62"/>
      <c r="AW1136" s="62"/>
    </row>
    <row r="1137" spans="1:49" ht="376.5" thickTop="1" thickBot="1" x14ac:dyDescent="0.3">
      <c r="A1137" s="193">
        <v>90</v>
      </c>
      <c r="B1137" s="85" t="s">
        <v>3176</v>
      </c>
      <c r="C1137" s="105" t="s">
        <v>2834</v>
      </c>
      <c r="D1137" s="63" t="s">
        <v>714</v>
      </c>
      <c r="E1137" s="106" t="s">
        <v>2835</v>
      </c>
      <c r="F1137" s="63" t="s">
        <v>52</v>
      </c>
      <c r="G1137" s="63" t="s">
        <v>53</v>
      </c>
      <c r="H1137" s="111" t="s">
        <v>733</v>
      </c>
      <c r="I1137" s="63" t="s">
        <v>55</v>
      </c>
      <c r="J1137" s="106" t="s">
        <v>56</v>
      </c>
      <c r="K1137" s="106">
        <v>801116</v>
      </c>
      <c r="L1137" s="106" t="s">
        <v>2836</v>
      </c>
      <c r="M1137" s="106" t="s">
        <v>2837</v>
      </c>
      <c r="N1137" s="106" t="s">
        <v>2838</v>
      </c>
      <c r="O1137" s="106" t="s">
        <v>2839</v>
      </c>
      <c r="P1137" s="107" t="s">
        <v>3177</v>
      </c>
      <c r="Q1137" s="197">
        <v>4120000</v>
      </c>
      <c r="R1137" s="63">
        <v>1</v>
      </c>
      <c r="S1137" s="198">
        <f>19776000-5520800</f>
        <v>14255200</v>
      </c>
      <c r="T1137" s="112" t="s">
        <v>888</v>
      </c>
      <c r="U1137" s="63" t="s">
        <v>445</v>
      </c>
      <c r="V1137" s="81">
        <v>42757</v>
      </c>
      <c r="W1137" s="63">
        <v>8</v>
      </c>
      <c r="X1137" s="85" t="s">
        <v>3178</v>
      </c>
      <c r="Y1137" s="81">
        <v>42757</v>
      </c>
      <c r="Z1137" s="196">
        <v>19776000</v>
      </c>
      <c r="AA1137" s="116" t="s">
        <v>3179</v>
      </c>
      <c r="AB1137" s="63">
        <v>558</v>
      </c>
      <c r="AC1137" s="81">
        <v>42757</v>
      </c>
      <c r="AD1137" s="198">
        <v>19776000</v>
      </c>
      <c r="AE1137" s="63"/>
      <c r="AF1137" s="63">
        <v>470</v>
      </c>
      <c r="AG1137" s="81">
        <v>43126</v>
      </c>
      <c r="AH1137" s="196">
        <v>14255200</v>
      </c>
      <c r="AI1137" s="84" t="s">
        <v>3180</v>
      </c>
      <c r="AJ1137" s="63">
        <v>397</v>
      </c>
      <c r="AK1137" s="133"/>
      <c r="AL1137" s="196">
        <f t="shared" ref="AL1137" si="126">AH1137</f>
        <v>14255200</v>
      </c>
      <c r="AM1137" s="196">
        <f>+VLOOKUP(AF1137,'[2]CRP a 31 Agosto de 2018'!$J$8:$V$2956,13,0)</f>
        <v>14255200</v>
      </c>
      <c r="AN1137" s="196">
        <f>AL1137-AM1137</f>
        <v>0</v>
      </c>
      <c r="AO1137" s="133"/>
      <c r="AP1137" s="133"/>
      <c r="AQ1137" s="85" t="s">
        <v>3181</v>
      </c>
      <c r="AR1137" s="81">
        <v>43122</v>
      </c>
      <c r="AS1137" s="81" t="s">
        <v>2848</v>
      </c>
      <c r="AT1137" s="81">
        <v>43122</v>
      </c>
      <c r="AU1137" s="81" t="s">
        <v>2855</v>
      </c>
      <c r="AV1137" s="62"/>
      <c r="AW1137" s="62"/>
    </row>
    <row r="1138" spans="1:49" ht="357.75" thickTop="1" thickBot="1" x14ac:dyDescent="0.3">
      <c r="A1138" s="193">
        <v>93</v>
      </c>
      <c r="B1138" s="85" t="s">
        <v>3182</v>
      </c>
      <c r="C1138" s="105" t="s">
        <v>2834</v>
      </c>
      <c r="D1138" s="63" t="s">
        <v>714</v>
      </c>
      <c r="E1138" s="106" t="s">
        <v>2835</v>
      </c>
      <c r="F1138" s="63" t="s">
        <v>52</v>
      </c>
      <c r="G1138" s="63" t="s">
        <v>53</v>
      </c>
      <c r="H1138" s="111" t="s">
        <v>733</v>
      </c>
      <c r="I1138" s="63" t="s">
        <v>710</v>
      </c>
      <c r="J1138" s="63" t="s">
        <v>3183</v>
      </c>
      <c r="K1138" s="106">
        <v>801116</v>
      </c>
      <c r="L1138" s="106" t="s">
        <v>2836</v>
      </c>
      <c r="M1138" s="106" t="s">
        <v>2837</v>
      </c>
      <c r="N1138" s="106" t="s">
        <v>2838</v>
      </c>
      <c r="O1138" s="106" t="s">
        <v>2839</v>
      </c>
      <c r="P1138" s="107" t="s">
        <v>3184</v>
      </c>
      <c r="Q1138" s="198">
        <v>5036700</v>
      </c>
      <c r="R1138" s="63">
        <v>1</v>
      </c>
      <c r="S1138" s="198">
        <f>28541300-3357800</f>
        <v>25183500</v>
      </c>
      <c r="T1138" s="112" t="s">
        <v>888</v>
      </c>
      <c r="U1138" s="63" t="s">
        <v>445</v>
      </c>
      <c r="V1138" s="81">
        <v>43296</v>
      </c>
      <c r="W1138" s="199">
        <v>1</v>
      </c>
      <c r="X1138" s="85" t="s">
        <v>3185</v>
      </c>
      <c r="Y1138" s="81">
        <v>43157</v>
      </c>
      <c r="Z1138" s="198">
        <v>28541300</v>
      </c>
      <c r="AA1138" s="84"/>
      <c r="AB1138" s="63">
        <v>983</v>
      </c>
      <c r="AC1138" s="81">
        <v>43298</v>
      </c>
      <c r="AD1138" s="198">
        <v>25183500</v>
      </c>
      <c r="AE1138" s="198">
        <f>Z1138-AD1138</f>
        <v>3357800</v>
      </c>
      <c r="AF1138" s="63">
        <v>2592</v>
      </c>
      <c r="AG1138" s="81">
        <v>43315</v>
      </c>
      <c r="AH1138" s="196">
        <v>25183500</v>
      </c>
      <c r="AI1138" s="84" t="s">
        <v>3186</v>
      </c>
      <c r="AJ1138" s="63">
        <v>475</v>
      </c>
      <c r="AK1138" s="63"/>
      <c r="AL1138" s="196">
        <v>25183500</v>
      </c>
      <c r="AM1138" s="196">
        <f>+VLOOKUP(AF1138,'[2]CRP a 31 Agosto de 2018'!$J$8:$V$2956,13,0)</f>
        <v>0</v>
      </c>
      <c r="AN1138" s="196">
        <f>AL1138-AM1138</f>
        <v>25183500</v>
      </c>
      <c r="AO1138" s="63"/>
      <c r="AP1138" s="63"/>
      <c r="AQ1138" s="63"/>
      <c r="AR1138" s="81"/>
      <c r="AS1138" s="63"/>
      <c r="AT1138" s="81"/>
      <c r="AU1138" s="63"/>
      <c r="AV1138" s="63"/>
      <c r="AW1138" s="63"/>
    </row>
    <row r="1139" spans="1:49" ht="357.75" thickTop="1" thickBot="1" x14ac:dyDescent="0.3">
      <c r="A1139" s="193">
        <v>94</v>
      </c>
      <c r="B1139" s="85" t="s">
        <v>3187</v>
      </c>
      <c r="C1139" s="105" t="s">
        <v>2834</v>
      </c>
      <c r="D1139" s="63" t="s">
        <v>714</v>
      </c>
      <c r="E1139" s="106" t="s">
        <v>2835</v>
      </c>
      <c r="F1139" s="63" t="s">
        <v>52</v>
      </c>
      <c r="G1139" s="63" t="s">
        <v>53</v>
      </c>
      <c r="H1139" s="111" t="s">
        <v>733</v>
      </c>
      <c r="I1139" s="63" t="s">
        <v>710</v>
      </c>
      <c r="J1139" s="63" t="s">
        <v>3183</v>
      </c>
      <c r="K1139" s="106">
        <v>801116</v>
      </c>
      <c r="L1139" s="106" t="s">
        <v>2836</v>
      </c>
      <c r="M1139" s="106" t="s">
        <v>2837</v>
      </c>
      <c r="N1139" s="106" t="s">
        <v>2838</v>
      </c>
      <c r="O1139" s="106" t="s">
        <v>2839</v>
      </c>
      <c r="P1139" s="107" t="s">
        <v>3188</v>
      </c>
      <c r="Q1139" s="198">
        <v>5253000</v>
      </c>
      <c r="R1139" s="63">
        <v>1</v>
      </c>
      <c r="S1139" s="198">
        <f>29767000-29767000</f>
        <v>0</v>
      </c>
      <c r="T1139" s="112" t="s">
        <v>888</v>
      </c>
      <c r="U1139" s="63" t="s">
        <v>445</v>
      </c>
      <c r="V1139" s="81">
        <v>43296</v>
      </c>
      <c r="W1139" s="199">
        <v>1</v>
      </c>
      <c r="X1139" s="85" t="s">
        <v>3189</v>
      </c>
      <c r="Y1139" s="81"/>
      <c r="Z1139" s="198"/>
      <c r="AA1139" s="84"/>
      <c r="AB1139" s="63"/>
      <c r="AC1139" s="207"/>
      <c r="AD1139" s="198">
        <v>16955000</v>
      </c>
      <c r="AE1139" s="63"/>
      <c r="AF1139" s="63"/>
      <c r="AG1139" s="81"/>
      <c r="AH1139" s="196"/>
      <c r="AI1139" s="84"/>
      <c r="AJ1139" s="63"/>
      <c r="AK1139" s="63"/>
      <c r="AL1139" s="196"/>
      <c r="AM1139" s="196">
        <v>0</v>
      </c>
      <c r="AN1139" s="196"/>
      <c r="AO1139" s="63"/>
      <c r="AP1139" s="63"/>
      <c r="AQ1139" s="63"/>
      <c r="AR1139" s="81"/>
      <c r="AS1139" s="63"/>
      <c r="AT1139" s="81"/>
      <c r="AU1139" s="63"/>
      <c r="AV1139" s="63"/>
      <c r="AW1139" s="63"/>
    </row>
    <row r="1140" spans="1:49" ht="357.75" thickTop="1" thickBot="1" x14ac:dyDescent="0.3">
      <c r="A1140" s="193">
        <v>95</v>
      </c>
      <c r="B1140" s="85" t="s">
        <v>3190</v>
      </c>
      <c r="C1140" s="105" t="s">
        <v>2834</v>
      </c>
      <c r="D1140" s="63" t="s">
        <v>714</v>
      </c>
      <c r="E1140" s="106" t="s">
        <v>2835</v>
      </c>
      <c r="F1140" s="63" t="s">
        <v>52</v>
      </c>
      <c r="G1140" s="63" t="s">
        <v>53</v>
      </c>
      <c r="H1140" s="111" t="s">
        <v>733</v>
      </c>
      <c r="I1140" s="63" t="s">
        <v>710</v>
      </c>
      <c r="J1140" s="63" t="s">
        <v>3183</v>
      </c>
      <c r="K1140" s="106">
        <v>801116</v>
      </c>
      <c r="L1140" s="106" t="s">
        <v>2836</v>
      </c>
      <c r="M1140" s="106" t="s">
        <v>2837</v>
      </c>
      <c r="N1140" s="106" t="s">
        <v>2838</v>
      </c>
      <c r="O1140" s="106" t="s">
        <v>2839</v>
      </c>
      <c r="P1140" s="107" t="s">
        <v>3191</v>
      </c>
      <c r="Q1140" s="198">
        <v>3399000</v>
      </c>
      <c r="R1140" s="63">
        <v>1</v>
      </c>
      <c r="S1140" s="198">
        <v>19261000</v>
      </c>
      <c r="T1140" s="112" t="s">
        <v>888</v>
      </c>
      <c r="U1140" s="63" t="s">
        <v>445</v>
      </c>
      <c r="V1140" s="81">
        <v>43296</v>
      </c>
      <c r="W1140" s="199">
        <v>1</v>
      </c>
      <c r="X1140" s="85" t="s">
        <v>3192</v>
      </c>
      <c r="Y1140" s="81">
        <v>43157</v>
      </c>
      <c r="Z1140" s="198">
        <v>19261000</v>
      </c>
      <c r="AA1140" s="84"/>
      <c r="AB1140" s="63">
        <v>933</v>
      </c>
      <c r="AC1140" s="81">
        <v>43280</v>
      </c>
      <c r="AD1140" s="198">
        <v>20600000</v>
      </c>
      <c r="AE1140" s="63"/>
      <c r="AF1140" s="63">
        <v>2519</v>
      </c>
      <c r="AG1140" s="81">
        <v>43304</v>
      </c>
      <c r="AH1140" s="196">
        <v>19261000</v>
      </c>
      <c r="AI1140" s="84" t="s">
        <v>3193</v>
      </c>
      <c r="AJ1140" s="63">
        <v>451</v>
      </c>
      <c r="AK1140" s="63"/>
      <c r="AL1140" s="198">
        <v>19261000</v>
      </c>
      <c r="AM1140" s="196">
        <f>+VLOOKUP(AF1140,'[2]CRP a 31 Agosto de 2018'!$J$8:$V$2956,13,0)</f>
        <v>793100</v>
      </c>
      <c r="AN1140" s="196">
        <f>+AL1140-AM1140</f>
        <v>18467900</v>
      </c>
      <c r="AO1140" s="63"/>
      <c r="AP1140" s="63"/>
      <c r="AQ1140" s="63"/>
      <c r="AR1140" s="81"/>
      <c r="AS1140" s="63"/>
      <c r="AT1140" s="81"/>
      <c r="AU1140" s="63"/>
      <c r="AV1140" s="63"/>
      <c r="AW1140" s="63"/>
    </row>
    <row r="1141" spans="1:49" ht="357.75" thickTop="1" thickBot="1" x14ac:dyDescent="0.3">
      <c r="A1141" s="193">
        <v>96</v>
      </c>
      <c r="B1141" s="85" t="s">
        <v>3194</v>
      </c>
      <c r="C1141" s="105" t="s">
        <v>2834</v>
      </c>
      <c r="D1141" s="63" t="s">
        <v>714</v>
      </c>
      <c r="E1141" s="106" t="s">
        <v>2835</v>
      </c>
      <c r="F1141" s="63" t="s">
        <v>52</v>
      </c>
      <c r="G1141" s="63" t="s">
        <v>53</v>
      </c>
      <c r="H1141" s="111" t="s">
        <v>733</v>
      </c>
      <c r="I1141" s="63" t="s">
        <v>710</v>
      </c>
      <c r="J1141" s="63" t="s">
        <v>3183</v>
      </c>
      <c r="K1141" s="106">
        <v>801116</v>
      </c>
      <c r="L1141" s="106" t="s">
        <v>2836</v>
      </c>
      <c r="M1141" s="106" t="s">
        <v>2837</v>
      </c>
      <c r="N1141" s="106" t="s">
        <v>2838</v>
      </c>
      <c r="O1141" s="106" t="s">
        <v>2839</v>
      </c>
      <c r="P1141" s="107" t="s">
        <v>3195</v>
      </c>
      <c r="Q1141" s="198">
        <v>3399000</v>
      </c>
      <c r="R1141" s="63">
        <v>1</v>
      </c>
      <c r="S1141" s="198">
        <v>0</v>
      </c>
      <c r="T1141" s="112" t="s">
        <v>888</v>
      </c>
      <c r="U1141" s="63" t="s">
        <v>445</v>
      </c>
      <c r="V1141" s="81">
        <v>43296</v>
      </c>
      <c r="W1141" s="199">
        <v>1</v>
      </c>
      <c r="X1141" s="85" t="s">
        <v>3196</v>
      </c>
      <c r="Y1141" s="81"/>
      <c r="Z1141" s="198"/>
      <c r="AA1141" s="84"/>
      <c r="AB1141" s="63"/>
      <c r="AC1141" s="81"/>
      <c r="AD1141" s="198">
        <v>12360000</v>
      </c>
      <c r="AE1141" s="63"/>
      <c r="AF1141" s="63"/>
      <c r="AG1141" s="81"/>
      <c r="AH1141" s="196"/>
      <c r="AI1141" s="84"/>
      <c r="AJ1141" s="63"/>
      <c r="AK1141" s="63"/>
      <c r="AL1141" s="196"/>
      <c r="AM1141" s="196">
        <v>0</v>
      </c>
      <c r="AN1141" s="196"/>
      <c r="AO1141" s="63"/>
      <c r="AP1141" s="63"/>
      <c r="AQ1141" s="63"/>
      <c r="AR1141" s="81"/>
      <c r="AS1141" s="63"/>
      <c r="AT1141" s="81"/>
      <c r="AU1141" s="63"/>
      <c r="AV1141" s="63"/>
      <c r="AW1141" s="63"/>
    </row>
    <row r="1142" spans="1:49" ht="357.75" thickTop="1" thickBot="1" x14ac:dyDescent="0.3">
      <c r="A1142" s="193">
        <v>97</v>
      </c>
      <c r="B1142" s="85" t="s">
        <v>3197</v>
      </c>
      <c r="C1142" s="105" t="s">
        <v>2834</v>
      </c>
      <c r="D1142" s="63" t="s">
        <v>714</v>
      </c>
      <c r="E1142" s="106" t="s">
        <v>2835</v>
      </c>
      <c r="F1142" s="63" t="s">
        <v>52</v>
      </c>
      <c r="G1142" s="63" t="s">
        <v>53</v>
      </c>
      <c r="H1142" s="111" t="s">
        <v>733</v>
      </c>
      <c r="I1142" s="63" t="s">
        <v>710</v>
      </c>
      <c r="J1142" s="63" t="s">
        <v>3183</v>
      </c>
      <c r="K1142" s="106">
        <v>801116</v>
      </c>
      <c r="L1142" s="106" t="s">
        <v>2836</v>
      </c>
      <c r="M1142" s="106" t="s">
        <v>2837</v>
      </c>
      <c r="N1142" s="106" t="s">
        <v>2838</v>
      </c>
      <c r="O1142" s="106" t="s">
        <v>2839</v>
      </c>
      <c r="P1142" s="107" t="s">
        <v>3191</v>
      </c>
      <c r="Q1142" s="198">
        <v>3399000</v>
      </c>
      <c r="R1142" s="63">
        <v>1</v>
      </c>
      <c r="S1142" s="198">
        <f>19261000-2379300</f>
        <v>16881700</v>
      </c>
      <c r="T1142" s="112" t="s">
        <v>888</v>
      </c>
      <c r="U1142" s="63" t="s">
        <v>445</v>
      </c>
      <c r="V1142" s="81">
        <v>43296</v>
      </c>
      <c r="W1142" s="199">
        <v>1</v>
      </c>
      <c r="X1142" s="85" t="s">
        <v>3198</v>
      </c>
      <c r="Y1142" s="81">
        <v>43157</v>
      </c>
      <c r="Z1142" s="198">
        <v>19261000</v>
      </c>
      <c r="AA1142" s="84"/>
      <c r="AB1142" s="63">
        <v>956</v>
      </c>
      <c r="AC1142" s="81">
        <v>43262</v>
      </c>
      <c r="AD1142" s="198">
        <v>16955000</v>
      </c>
      <c r="AE1142" s="198">
        <v>2379300</v>
      </c>
      <c r="AF1142" s="63">
        <v>2542</v>
      </c>
      <c r="AG1142" s="81">
        <v>43305</v>
      </c>
      <c r="AH1142" s="196">
        <v>16881700</v>
      </c>
      <c r="AI1142" s="84" t="s">
        <v>3199</v>
      </c>
      <c r="AJ1142" s="63">
        <v>450</v>
      </c>
      <c r="AK1142" s="63"/>
      <c r="AL1142" s="196">
        <v>16881700</v>
      </c>
      <c r="AM1142" s="196">
        <f>+VLOOKUP(AF1142,'[2]CRP a 31 Agosto de 2018'!$J$8:$V$2956,13,0)</f>
        <v>113300</v>
      </c>
      <c r="AN1142" s="196">
        <f>+AL1142-AM1142</f>
        <v>16768400</v>
      </c>
      <c r="AO1142" s="63"/>
      <c r="AP1142" s="63"/>
      <c r="AQ1142" s="63"/>
      <c r="AR1142" s="81"/>
      <c r="AS1142" s="63"/>
      <c r="AT1142" s="81"/>
      <c r="AU1142" s="63"/>
      <c r="AV1142" s="63"/>
      <c r="AW1142" s="63"/>
    </row>
    <row r="1143" spans="1:49" ht="357.75" thickTop="1" thickBot="1" x14ac:dyDescent="0.3">
      <c r="A1143" s="193">
        <v>98</v>
      </c>
      <c r="B1143" s="85" t="s">
        <v>3200</v>
      </c>
      <c r="C1143" s="105" t="s">
        <v>2834</v>
      </c>
      <c r="D1143" s="63" t="s">
        <v>714</v>
      </c>
      <c r="E1143" s="106" t="s">
        <v>2835</v>
      </c>
      <c r="F1143" s="63" t="s">
        <v>52</v>
      </c>
      <c r="G1143" s="63" t="s">
        <v>53</v>
      </c>
      <c r="H1143" s="111" t="s">
        <v>733</v>
      </c>
      <c r="I1143" s="63" t="s">
        <v>710</v>
      </c>
      <c r="J1143" s="63" t="s">
        <v>3183</v>
      </c>
      <c r="K1143" s="106">
        <v>801116</v>
      </c>
      <c r="L1143" s="106" t="s">
        <v>2836</v>
      </c>
      <c r="M1143" s="106" t="s">
        <v>2837</v>
      </c>
      <c r="N1143" s="106" t="s">
        <v>2838</v>
      </c>
      <c r="O1143" s="106" t="s">
        <v>2839</v>
      </c>
      <c r="P1143" s="107" t="s">
        <v>3201</v>
      </c>
      <c r="Q1143" s="198">
        <v>4120000</v>
      </c>
      <c r="R1143" s="63">
        <v>1</v>
      </c>
      <c r="S1143" s="198">
        <f>23346666-9750667</f>
        <v>13595999</v>
      </c>
      <c r="T1143" s="112" t="s">
        <v>888</v>
      </c>
      <c r="U1143" s="63" t="s">
        <v>445</v>
      </c>
      <c r="V1143" s="81">
        <v>43296</v>
      </c>
      <c r="W1143" s="199">
        <v>1</v>
      </c>
      <c r="X1143" s="85" t="s">
        <v>3202</v>
      </c>
      <c r="Y1143" s="81">
        <v>43157</v>
      </c>
      <c r="Z1143" s="198">
        <v>23346666.666666668</v>
      </c>
      <c r="AA1143" s="84"/>
      <c r="AB1143" s="63">
        <v>953</v>
      </c>
      <c r="AC1143" s="81">
        <v>43262</v>
      </c>
      <c r="AD1143" s="198">
        <v>23346666.666666668</v>
      </c>
      <c r="AE1143" s="115">
        <f>+AD1143-AH1143</f>
        <v>9750666.6666666679</v>
      </c>
      <c r="AF1143" s="63">
        <v>2784</v>
      </c>
      <c r="AG1143" s="81">
        <v>43346</v>
      </c>
      <c r="AH1143" s="196">
        <v>13596000</v>
      </c>
      <c r="AI1143" s="84" t="s">
        <v>3203</v>
      </c>
      <c r="AJ1143" s="63">
        <v>548</v>
      </c>
      <c r="AK1143" s="63"/>
      <c r="AL1143" s="198"/>
      <c r="AM1143" s="196">
        <v>0</v>
      </c>
      <c r="AN1143" s="196"/>
      <c r="AO1143" s="63"/>
      <c r="AP1143" s="63"/>
      <c r="AQ1143" s="63"/>
      <c r="AR1143" s="81"/>
      <c r="AS1143" s="63"/>
      <c r="AT1143" s="81"/>
      <c r="AU1143" s="63"/>
      <c r="AV1143" s="63"/>
      <c r="AW1143" s="63"/>
    </row>
    <row r="1144" spans="1:49" ht="357.75" thickTop="1" thickBot="1" x14ac:dyDescent="0.3">
      <c r="A1144" s="193">
        <v>99</v>
      </c>
      <c r="B1144" s="85" t="s">
        <v>3204</v>
      </c>
      <c r="C1144" s="105" t="s">
        <v>2834</v>
      </c>
      <c r="D1144" s="63" t="s">
        <v>714</v>
      </c>
      <c r="E1144" s="106" t="s">
        <v>2835</v>
      </c>
      <c r="F1144" s="63" t="s">
        <v>52</v>
      </c>
      <c r="G1144" s="63" t="s">
        <v>53</v>
      </c>
      <c r="H1144" s="111" t="s">
        <v>733</v>
      </c>
      <c r="I1144" s="63" t="s">
        <v>710</v>
      </c>
      <c r="J1144" s="63" t="s">
        <v>3183</v>
      </c>
      <c r="K1144" s="106">
        <v>801116</v>
      </c>
      <c r="L1144" s="106" t="s">
        <v>2836</v>
      </c>
      <c r="M1144" s="106" t="s">
        <v>2837</v>
      </c>
      <c r="N1144" s="106" t="s">
        <v>2838</v>
      </c>
      <c r="O1144" s="106" t="s">
        <v>2839</v>
      </c>
      <c r="P1144" s="107" t="s">
        <v>3191</v>
      </c>
      <c r="Q1144" s="198">
        <v>4120000</v>
      </c>
      <c r="R1144" s="63">
        <v>1</v>
      </c>
      <c r="S1144" s="198">
        <f>23346666-5493334-17853332</f>
        <v>0</v>
      </c>
      <c r="T1144" s="112" t="s">
        <v>888</v>
      </c>
      <c r="U1144" s="63" t="s">
        <v>445</v>
      </c>
      <c r="V1144" s="81">
        <v>43296</v>
      </c>
      <c r="W1144" s="199">
        <v>1</v>
      </c>
      <c r="X1144" s="85" t="s">
        <v>3205</v>
      </c>
      <c r="Y1144" s="81">
        <v>43157</v>
      </c>
      <c r="Z1144" s="198">
        <v>23346666.666666668</v>
      </c>
      <c r="AA1144" s="84"/>
      <c r="AB1144" s="63"/>
      <c r="AC1144" s="81"/>
      <c r="AD1144" s="198">
        <v>8755000</v>
      </c>
      <c r="AE1144" s="63"/>
      <c r="AF1144" s="63"/>
      <c r="AG1144" s="81"/>
      <c r="AH1144" s="196"/>
      <c r="AI1144" s="84"/>
      <c r="AJ1144" s="63"/>
      <c r="AK1144" s="63"/>
      <c r="AL1144" s="196"/>
      <c r="AM1144" s="196">
        <v>0</v>
      </c>
      <c r="AN1144" s="196"/>
      <c r="AO1144" s="63"/>
      <c r="AP1144" s="63"/>
      <c r="AQ1144" s="63" t="s">
        <v>3206</v>
      </c>
      <c r="AR1144" s="81"/>
      <c r="AS1144" s="63"/>
      <c r="AT1144" s="81"/>
      <c r="AU1144" s="63"/>
      <c r="AV1144" s="63"/>
      <c r="AW1144" s="63"/>
    </row>
    <row r="1145" spans="1:49" ht="357.75" thickTop="1" thickBot="1" x14ac:dyDescent="0.3">
      <c r="A1145" s="193">
        <v>100</v>
      </c>
      <c r="B1145" s="85" t="s">
        <v>3207</v>
      </c>
      <c r="C1145" s="105" t="s">
        <v>2834</v>
      </c>
      <c r="D1145" s="63" t="s">
        <v>714</v>
      </c>
      <c r="E1145" s="106" t="s">
        <v>2835</v>
      </c>
      <c r="F1145" s="63" t="s">
        <v>52</v>
      </c>
      <c r="G1145" s="63" t="s">
        <v>53</v>
      </c>
      <c r="H1145" s="111" t="s">
        <v>733</v>
      </c>
      <c r="I1145" s="63" t="s">
        <v>710</v>
      </c>
      <c r="J1145" s="63" t="s">
        <v>3183</v>
      </c>
      <c r="K1145" s="106">
        <v>801116</v>
      </c>
      <c r="L1145" s="106" t="s">
        <v>2836</v>
      </c>
      <c r="M1145" s="106" t="s">
        <v>2837</v>
      </c>
      <c r="N1145" s="106" t="s">
        <v>2838</v>
      </c>
      <c r="O1145" s="106" t="s">
        <v>2839</v>
      </c>
      <c r="P1145" s="107" t="s">
        <v>3208</v>
      </c>
      <c r="Q1145" s="198">
        <v>2472000</v>
      </c>
      <c r="R1145" s="63">
        <v>1</v>
      </c>
      <c r="S1145" s="198">
        <f>14008000-14008000</f>
        <v>0</v>
      </c>
      <c r="T1145" s="112" t="s">
        <v>888</v>
      </c>
      <c r="U1145" s="63" t="s">
        <v>445</v>
      </c>
      <c r="V1145" s="81">
        <v>43296</v>
      </c>
      <c r="W1145" s="199">
        <v>1</v>
      </c>
      <c r="X1145" s="85" t="s">
        <v>3209</v>
      </c>
      <c r="Y1145" s="81">
        <v>43157</v>
      </c>
      <c r="Z1145" s="198">
        <v>14008000</v>
      </c>
      <c r="AA1145" s="84"/>
      <c r="AB1145" s="63"/>
      <c r="AC1145" s="81"/>
      <c r="AD1145" s="198">
        <v>26265000</v>
      </c>
      <c r="AE1145" s="63"/>
      <c r="AF1145" s="63"/>
      <c r="AG1145" s="81"/>
      <c r="AH1145" s="196"/>
      <c r="AI1145" s="84"/>
      <c r="AJ1145" s="63"/>
      <c r="AK1145" s="63"/>
      <c r="AL1145" s="196"/>
      <c r="AM1145" s="196">
        <v>0</v>
      </c>
      <c r="AN1145" s="196"/>
      <c r="AO1145" s="63"/>
      <c r="AP1145" s="63"/>
      <c r="AQ1145" s="63" t="s">
        <v>3210</v>
      </c>
      <c r="AR1145" s="81"/>
      <c r="AS1145" s="63"/>
      <c r="AT1145" s="81"/>
      <c r="AU1145" s="63"/>
      <c r="AV1145" s="63"/>
      <c r="AW1145" s="63"/>
    </row>
    <row r="1146" spans="1:49" ht="357.75" thickTop="1" thickBot="1" x14ac:dyDescent="0.3">
      <c r="A1146" s="193">
        <v>101</v>
      </c>
      <c r="B1146" s="85" t="s">
        <v>3211</v>
      </c>
      <c r="C1146" s="105" t="s">
        <v>2834</v>
      </c>
      <c r="D1146" s="63" t="s">
        <v>714</v>
      </c>
      <c r="E1146" s="106" t="s">
        <v>2835</v>
      </c>
      <c r="F1146" s="63" t="s">
        <v>52</v>
      </c>
      <c r="G1146" s="63" t="s">
        <v>53</v>
      </c>
      <c r="H1146" s="111" t="s">
        <v>733</v>
      </c>
      <c r="I1146" s="63" t="s">
        <v>710</v>
      </c>
      <c r="J1146" s="63" t="s">
        <v>3183</v>
      </c>
      <c r="K1146" s="106">
        <v>801116</v>
      </c>
      <c r="L1146" s="106" t="s">
        <v>2836</v>
      </c>
      <c r="M1146" s="106" t="s">
        <v>2837</v>
      </c>
      <c r="N1146" s="106" t="s">
        <v>2838</v>
      </c>
      <c r="O1146" s="106" t="s">
        <v>2839</v>
      </c>
      <c r="P1146" s="107" t="s">
        <v>3212</v>
      </c>
      <c r="Q1146" s="198">
        <v>4120000</v>
      </c>
      <c r="R1146" s="63">
        <v>1</v>
      </c>
      <c r="S1146" s="198">
        <f>23346666-2746667</f>
        <v>20599999</v>
      </c>
      <c r="T1146" s="112" t="s">
        <v>888</v>
      </c>
      <c r="U1146" s="63" t="s">
        <v>445</v>
      </c>
      <c r="V1146" s="81">
        <v>43296</v>
      </c>
      <c r="W1146" s="199">
        <v>1</v>
      </c>
      <c r="X1146" s="85" t="s">
        <v>3213</v>
      </c>
      <c r="Y1146" s="81">
        <v>43157</v>
      </c>
      <c r="Z1146" s="198">
        <v>23346666.666666668</v>
      </c>
      <c r="AA1146" s="84"/>
      <c r="AB1146" s="63">
        <v>961</v>
      </c>
      <c r="AC1146" s="81">
        <v>43262</v>
      </c>
      <c r="AD1146" s="198">
        <v>20600000</v>
      </c>
      <c r="AE1146" s="198">
        <f t="shared" ref="AE1146:AE1153" si="127">Z1146-AD1146</f>
        <v>2746666.6666666679</v>
      </c>
      <c r="AF1146" s="63">
        <v>2536</v>
      </c>
      <c r="AG1146" s="81">
        <v>43305</v>
      </c>
      <c r="AH1146" s="196">
        <v>20600000</v>
      </c>
      <c r="AI1146" s="84" t="s">
        <v>3214</v>
      </c>
      <c r="AJ1146" s="63">
        <v>459</v>
      </c>
      <c r="AK1146" s="63"/>
      <c r="AL1146" s="196">
        <v>20600000</v>
      </c>
      <c r="AM1146" s="196">
        <f>+VLOOKUP(AF1146,'[2]CRP a 31 Agosto de 2018'!$J$8:$V$2956,13,0)</f>
        <v>824000</v>
      </c>
      <c r="AN1146" s="196">
        <f t="shared" ref="AN1146:AN1154" si="128">+AL1146-AM1146</f>
        <v>19776000</v>
      </c>
      <c r="AO1146" s="63"/>
      <c r="AP1146" s="63"/>
      <c r="AQ1146" s="63"/>
      <c r="AR1146" s="81"/>
      <c r="AS1146" s="63"/>
      <c r="AT1146" s="81"/>
      <c r="AU1146" s="63"/>
      <c r="AV1146" s="63"/>
      <c r="AW1146" s="63"/>
    </row>
    <row r="1147" spans="1:49" ht="357.75" thickTop="1" thickBot="1" x14ac:dyDescent="0.3">
      <c r="A1147" s="193">
        <v>102</v>
      </c>
      <c r="B1147" s="85" t="s">
        <v>3215</v>
      </c>
      <c r="C1147" s="105" t="s">
        <v>2834</v>
      </c>
      <c r="D1147" s="63" t="s">
        <v>714</v>
      </c>
      <c r="E1147" s="106" t="s">
        <v>2835</v>
      </c>
      <c r="F1147" s="63" t="s">
        <v>52</v>
      </c>
      <c r="G1147" s="63" t="s">
        <v>53</v>
      </c>
      <c r="H1147" s="111" t="s">
        <v>733</v>
      </c>
      <c r="I1147" s="63" t="s">
        <v>710</v>
      </c>
      <c r="J1147" s="63" t="s">
        <v>3183</v>
      </c>
      <c r="K1147" s="106">
        <v>801116</v>
      </c>
      <c r="L1147" s="106" t="s">
        <v>2836</v>
      </c>
      <c r="M1147" s="106" t="s">
        <v>2837</v>
      </c>
      <c r="N1147" s="106" t="s">
        <v>2838</v>
      </c>
      <c r="O1147" s="106" t="s">
        <v>2839</v>
      </c>
      <c r="P1147" s="107" t="s">
        <v>3195</v>
      </c>
      <c r="Q1147" s="198">
        <v>2472000</v>
      </c>
      <c r="R1147" s="63">
        <v>1</v>
      </c>
      <c r="S1147" s="198">
        <f>14008000-1648000</f>
        <v>12360000</v>
      </c>
      <c r="T1147" s="112" t="s">
        <v>888</v>
      </c>
      <c r="U1147" s="63" t="s">
        <v>445</v>
      </c>
      <c r="V1147" s="81">
        <v>43296</v>
      </c>
      <c r="W1147" s="199">
        <v>1</v>
      </c>
      <c r="X1147" s="85" t="s">
        <v>3216</v>
      </c>
      <c r="Y1147" s="81">
        <v>43277</v>
      </c>
      <c r="Z1147" s="198">
        <v>14008000</v>
      </c>
      <c r="AA1147" s="84"/>
      <c r="AB1147" s="63">
        <v>962</v>
      </c>
      <c r="AC1147" s="81">
        <v>43262</v>
      </c>
      <c r="AD1147" s="198">
        <v>12360000</v>
      </c>
      <c r="AE1147" s="198">
        <f t="shared" si="127"/>
        <v>1648000</v>
      </c>
      <c r="AF1147" s="63">
        <v>2547</v>
      </c>
      <c r="AG1147" s="81">
        <v>43308</v>
      </c>
      <c r="AH1147" s="196">
        <v>12360000</v>
      </c>
      <c r="AI1147" s="84" t="s">
        <v>3217</v>
      </c>
      <c r="AJ1147" s="63">
        <v>470</v>
      </c>
      <c r="AK1147" s="63"/>
      <c r="AL1147" s="196">
        <v>12360000</v>
      </c>
      <c r="AM1147" s="196">
        <f>+VLOOKUP(AF1147,'[2]CRP a 31 Agosto de 2018'!$J$8:$V$2956,13,0)</f>
        <v>82400</v>
      </c>
      <c r="AN1147" s="196">
        <f t="shared" si="128"/>
        <v>12277600</v>
      </c>
      <c r="AO1147" s="63"/>
      <c r="AP1147" s="63"/>
      <c r="AQ1147" s="63"/>
      <c r="AR1147" s="81"/>
      <c r="AS1147" s="63"/>
      <c r="AT1147" s="81"/>
      <c r="AU1147" s="63"/>
      <c r="AV1147" s="63"/>
      <c r="AW1147" s="63"/>
    </row>
    <row r="1148" spans="1:49" ht="357.75" thickTop="1" thickBot="1" x14ac:dyDescent="0.3">
      <c r="A1148" s="193">
        <v>103</v>
      </c>
      <c r="B1148" s="85" t="s">
        <v>3218</v>
      </c>
      <c r="C1148" s="105" t="s">
        <v>2834</v>
      </c>
      <c r="D1148" s="63" t="s">
        <v>714</v>
      </c>
      <c r="E1148" s="106" t="s">
        <v>2835</v>
      </c>
      <c r="F1148" s="63" t="s">
        <v>52</v>
      </c>
      <c r="G1148" s="63" t="s">
        <v>53</v>
      </c>
      <c r="H1148" s="111" t="s">
        <v>733</v>
      </c>
      <c r="I1148" s="63" t="s">
        <v>710</v>
      </c>
      <c r="J1148" s="63" t="s">
        <v>3183</v>
      </c>
      <c r="K1148" s="106">
        <v>801116</v>
      </c>
      <c r="L1148" s="106" t="s">
        <v>2836</v>
      </c>
      <c r="M1148" s="106" t="s">
        <v>2837</v>
      </c>
      <c r="N1148" s="106" t="s">
        <v>2838</v>
      </c>
      <c r="O1148" s="106" t="s">
        <v>2839</v>
      </c>
      <c r="P1148" s="107" t="s">
        <v>3195</v>
      </c>
      <c r="Q1148" s="198">
        <v>2472000</v>
      </c>
      <c r="R1148" s="63">
        <v>1</v>
      </c>
      <c r="S1148" s="198">
        <f>14008000-1648000</f>
        <v>12360000</v>
      </c>
      <c r="T1148" s="112" t="s">
        <v>888</v>
      </c>
      <c r="U1148" s="63" t="s">
        <v>445</v>
      </c>
      <c r="V1148" s="81">
        <v>43296</v>
      </c>
      <c r="W1148" s="199">
        <v>1</v>
      </c>
      <c r="X1148" s="85" t="s">
        <v>3219</v>
      </c>
      <c r="Y1148" s="81">
        <v>43157</v>
      </c>
      <c r="Z1148" s="198">
        <v>14008000</v>
      </c>
      <c r="AA1148" s="84"/>
      <c r="AB1148" s="63">
        <v>957</v>
      </c>
      <c r="AC1148" s="81">
        <v>43262</v>
      </c>
      <c r="AD1148" s="198">
        <v>12360000</v>
      </c>
      <c r="AE1148" s="198">
        <f t="shared" si="127"/>
        <v>1648000</v>
      </c>
      <c r="AF1148" s="63">
        <v>2544</v>
      </c>
      <c r="AG1148" s="81">
        <v>43307</v>
      </c>
      <c r="AH1148" s="196">
        <v>12360000</v>
      </c>
      <c r="AI1148" s="84" t="s">
        <v>3220</v>
      </c>
      <c r="AJ1148" s="63">
        <v>461</v>
      </c>
      <c r="AK1148" s="63"/>
      <c r="AL1148" s="196">
        <v>12360000</v>
      </c>
      <c r="AM1148" s="196">
        <f>+VLOOKUP(AF1148,'[2]CRP a 31 Agosto de 2018'!$J$8:$V$2956,13,0)</f>
        <v>412000</v>
      </c>
      <c r="AN1148" s="196">
        <f t="shared" si="128"/>
        <v>11948000</v>
      </c>
      <c r="AO1148" s="63"/>
      <c r="AP1148" s="63"/>
      <c r="AQ1148" s="63"/>
      <c r="AR1148" s="81"/>
      <c r="AS1148" s="63"/>
      <c r="AT1148" s="81"/>
      <c r="AU1148" s="63"/>
      <c r="AV1148" s="63"/>
      <c r="AW1148" s="63"/>
    </row>
    <row r="1149" spans="1:49" ht="357.75" thickTop="1" thickBot="1" x14ac:dyDescent="0.3">
      <c r="A1149" s="193">
        <v>104</v>
      </c>
      <c r="B1149" s="85" t="s">
        <v>3221</v>
      </c>
      <c r="C1149" s="105" t="s">
        <v>2834</v>
      </c>
      <c r="D1149" s="63" t="s">
        <v>714</v>
      </c>
      <c r="E1149" s="106" t="s">
        <v>2835</v>
      </c>
      <c r="F1149" s="63" t="s">
        <v>52</v>
      </c>
      <c r="G1149" s="63" t="s">
        <v>53</v>
      </c>
      <c r="H1149" s="111" t="s">
        <v>733</v>
      </c>
      <c r="I1149" s="63" t="s">
        <v>710</v>
      </c>
      <c r="J1149" s="63" t="s">
        <v>3183</v>
      </c>
      <c r="K1149" s="106">
        <v>801116</v>
      </c>
      <c r="L1149" s="106" t="s">
        <v>2836</v>
      </c>
      <c r="M1149" s="106" t="s">
        <v>2837</v>
      </c>
      <c r="N1149" s="106" t="s">
        <v>2838</v>
      </c>
      <c r="O1149" s="106" t="s">
        <v>2839</v>
      </c>
      <c r="P1149" s="107" t="s">
        <v>3222</v>
      </c>
      <c r="Q1149" s="198">
        <v>2472000</v>
      </c>
      <c r="R1149" s="63">
        <v>1</v>
      </c>
      <c r="S1149" s="198">
        <f>14008000-1067767-580232</f>
        <v>12360001</v>
      </c>
      <c r="T1149" s="112" t="s">
        <v>888</v>
      </c>
      <c r="U1149" s="63" t="s">
        <v>445</v>
      </c>
      <c r="V1149" s="81">
        <v>43296</v>
      </c>
      <c r="W1149" s="199">
        <v>1</v>
      </c>
      <c r="X1149" s="85" t="s">
        <v>3223</v>
      </c>
      <c r="Y1149" s="81">
        <v>43157</v>
      </c>
      <c r="Z1149" s="198">
        <v>14008000</v>
      </c>
      <c r="AA1149" s="84"/>
      <c r="AB1149" s="63">
        <v>958</v>
      </c>
      <c r="AC1149" s="81">
        <v>43262</v>
      </c>
      <c r="AD1149" s="198">
        <v>12360000</v>
      </c>
      <c r="AE1149" s="198">
        <f t="shared" si="127"/>
        <v>1648000</v>
      </c>
      <c r="AF1149" s="63">
        <v>2535</v>
      </c>
      <c r="AG1149" s="81">
        <v>43305</v>
      </c>
      <c r="AH1149" s="196">
        <v>12360000</v>
      </c>
      <c r="AI1149" s="84" t="s">
        <v>3224</v>
      </c>
      <c r="AJ1149" s="63">
        <v>458</v>
      </c>
      <c r="AK1149" s="63"/>
      <c r="AL1149" s="196">
        <v>12360000</v>
      </c>
      <c r="AM1149" s="196">
        <f>+VLOOKUP(AF1149,'[2]CRP a 31 Agosto de 2018'!$J$8:$V$2956,13,0)</f>
        <v>412000</v>
      </c>
      <c r="AN1149" s="196">
        <f t="shared" si="128"/>
        <v>11948000</v>
      </c>
      <c r="AO1149" s="63"/>
      <c r="AP1149" s="63"/>
      <c r="AQ1149" s="63"/>
      <c r="AR1149" s="81"/>
      <c r="AS1149" s="63"/>
      <c r="AT1149" s="81"/>
      <c r="AU1149" s="63"/>
      <c r="AV1149" s="63"/>
      <c r="AW1149" s="63"/>
    </row>
    <row r="1150" spans="1:49" ht="357.75" thickTop="1" thickBot="1" x14ac:dyDescent="0.3">
      <c r="A1150" s="193">
        <v>105</v>
      </c>
      <c r="B1150" s="85" t="s">
        <v>3225</v>
      </c>
      <c r="C1150" s="105" t="s">
        <v>2834</v>
      </c>
      <c r="D1150" s="63" t="s">
        <v>714</v>
      </c>
      <c r="E1150" s="106" t="s">
        <v>2835</v>
      </c>
      <c r="F1150" s="63" t="s">
        <v>52</v>
      </c>
      <c r="G1150" s="63" t="s">
        <v>53</v>
      </c>
      <c r="H1150" s="111" t="s">
        <v>733</v>
      </c>
      <c r="I1150" s="63" t="s">
        <v>710</v>
      </c>
      <c r="J1150" s="63" t="s">
        <v>3183</v>
      </c>
      <c r="K1150" s="106">
        <v>801116</v>
      </c>
      <c r="L1150" s="106" t="s">
        <v>2836</v>
      </c>
      <c r="M1150" s="106" t="s">
        <v>2837</v>
      </c>
      <c r="N1150" s="106" t="s">
        <v>2838</v>
      </c>
      <c r="O1150" s="106" t="s">
        <v>2839</v>
      </c>
      <c r="P1150" s="107" t="s">
        <v>3226</v>
      </c>
      <c r="Q1150" s="198">
        <v>1751000</v>
      </c>
      <c r="R1150" s="63">
        <v>1</v>
      </c>
      <c r="S1150" s="198">
        <f>9922333-1167333</f>
        <v>8755000</v>
      </c>
      <c r="T1150" s="112" t="s">
        <v>888</v>
      </c>
      <c r="U1150" s="63" t="s">
        <v>445</v>
      </c>
      <c r="V1150" s="81">
        <v>43296</v>
      </c>
      <c r="W1150" s="199">
        <v>1</v>
      </c>
      <c r="X1150" s="85" t="s">
        <v>3227</v>
      </c>
      <c r="Y1150" s="81">
        <v>43157</v>
      </c>
      <c r="Z1150" s="198">
        <v>9922333</v>
      </c>
      <c r="AA1150" s="84"/>
      <c r="AB1150" s="63">
        <v>964</v>
      </c>
      <c r="AC1150" s="81">
        <v>43262</v>
      </c>
      <c r="AD1150" s="198">
        <v>8755000</v>
      </c>
      <c r="AE1150" s="198">
        <f t="shared" si="127"/>
        <v>1167333</v>
      </c>
      <c r="AF1150" s="63">
        <v>2539</v>
      </c>
      <c r="AG1150" s="81">
        <v>43305</v>
      </c>
      <c r="AH1150" s="196">
        <v>8755000</v>
      </c>
      <c r="AI1150" s="84" t="s">
        <v>3228</v>
      </c>
      <c r="AJ1150" s="63">
        <v>456</v>
      </c>
      <c r="AK1150" s="63"/>
      <c r="AL1150" s="196">
        <v>8755000</v>
      </c>
      <c r="AM1150" s="196">
        <f>+VLOOKUP(AF1150,'[2]CRP a 31 Agosto de 2018'!$J$8:$V$2956,13,0)</f>
        <v>350200</v>
      </c>
      <c r="AN1150" s="196">
        <f t="shared" si="128"/>
        <v>8404800</v>
      </c>
      <c r="AO1150" s="63"/>
      <c r="AP1150" s="63"/>
      <c r="AQ1150" s="63"/>
      <c r="AR1150" s="81"/>
      <c r="AS1150" s="63"/>
      <c r="AT1150" s="81"/>
      <c r="AU1150" s="63"/>
      <c r="AV1150" s="63"/>
      <c r="AW1150" s="63"/>
    </row>
    <row r="1151" spans="1:49" ht="357.75" thickTop="1" thickBot="1" x14ac:dyDescent="0.3">
      <c r="A1151" s="193">
        <v>106</v>
      </c>
      <c r="B1151" s="85" t="s">
        <v>3229</v>
      </c>
      <c r="C1151" s="105" t="s">
        <v>2834</v>
      </c>
      <c r="D1151" s="63" t="s">
        <v>714</v>
      </c>
      <c r="E1151" s="106" t="s">
        <v>2835</v>
      </c>
      <c r="F1151" s="63" t="s">
        <v>52</v>
      </c>
      <c r="G1151" s="63" t="s">
        <v>53</v>
      </c>
      <c r="H1151" s="111" t="s">
        <v>733</v>
      </c>
      <c r="I1151" s="63" t="s">
        <v>710</v>
      </c>
      <c r="J1151" s="63" t="s">
        <v>3183</v>
      </c>
      <c r="K1151" s="106">
        <v>801116</v>
      </c>
      <c r="L1151" s="106" t="s">
        <v>2836</v>
      </c>
      <c r="M1151" s="106" t="s">
        <v>2837</v>
      </c>
      <c r="N1151" s="106" t="s">
        <v>2838</v>
      </c>
      <c r="O1151" s="106" t="s">
        <v>2839</v>
      </c>
      <c r="P1151" s="107" t="s">
        <v>3230</v>
      </c>
      <c r="Q1151" s="198">
        <v>5253000</v>
      </c>
      <c r="R1151" s="63">
        <v>1</v>
      </c>
      <c r="S1151" s="198">
        <f>29767000-3502000</f>
        <v>26265000</v>
      </c>
      <c r="T1151" s="112" t="s">
        <v>888</v>
      </c>
      <c r="U1151" s="63" t="s">
        <v>445</v>
      </c>
      <c r="V1151" s="81">
        <v>43296</v>
      </c>
      <c r="W1151" s="199">
        <v>1</v>
      </c>
      <c r="X1151" s="85" t="s">
        <v>3231</v>
      </c>
      <c r="Y1151" s="81">
        <v>43157</v>
      </c>
      <c r="Z1151" s="198">
        <v>29767000</v>
      </c>
      <c r="AA1151" s="84"/>
      <c r="AB1151" s="63">
        <v>965</v>
      </c>
      <c r="AC1151" s="81">
        <v>43262</v>
      </c>
      <c r="AD1151" s="198">
        <v>26265000</v>
      </c>
      <c r="AE1151" s="198">
        <f t="shared" si="127"/>
        <v>3502000</v>
      </c>
      <c r="AF1151" s="63">
        <v>2537</v>
      </c>
      <c r="AG1151" s="81">
        <v>43305</v>
      </c>
      <c r="AH1151" s="196">
        <v>26265000</v>
      </c>
      <c r="AI1151" s="84" t="s">
        <v>3232</v>
      </c>
      <c r="AJ1151" s="63">
        <v>453</v>
      </c>
      <c r="AK1151" s="63"/>
      <c r="AL1151" s="196">
        <v>26265000</v>
      </c>
      <c r="AM1151" s="196">
        <f>+VLOOKUP(AF1151,'[2]CRP a 31 Agosto de 2018'!$J$8:$V$2956,13,0)</f>
        <v>1050600</v>
      </c>
      <c r="AN1151" s="196">
        <f t="shared" si="128"/>
        <v>25214400</v>
      </c>
      <c r="AO1151" s="63"/>
      <c r="AP1151" s="63"/>
      <c r="AQ1151" s="63"/>
      <c r="AR1151" s="81"/>
      <c r="AS1151" s="63"/>
      <c r="AT1151" s="81"/>
      <c r="AU1151" s="63"/>
      <c r="AV1151" s="63"/>
      <c r="AW1151" s="63"/>
    </row>
    <row r="1152" spans="1:49" ht="357.75" thickTop="1" thickBot="1" x14ac:dyDescent="0.3">
      <c r="A1152" s="193">
        <v>107</v>
      </c>
      <c r="B1152" s="85" t="s">
        <v>3233</v>
      </c>
      <c r="C1152" s="105" t="s">
        <v>2834</v>
      </c>
      <c r="D1152" s="63" t="s">
        <v>714</v>
      </c>
      <c r="E1152" s="106" t="s">
        <v>2835</v>
      </c>
      <c r="F1152" s="63" t="s">
        <v>52</v>
      </c>
      <c r="G1152" s="63" t="s">
        <v>53</v>
      </c>
      <c r="H1152" s="111" t="s">
        <v>733</v>
      </c>
      <c r="I1152" s="63" t="s">
        <v>710</v>
      </c>
      <c r="J1152" s="63" t="s">
        <v>3183</v>
      </c>
      <c r="K1152" s="106">
        <v>801116</v>
      </c>
      <c r="L1152" s="106" t="s">
        <v>2836</v>
      </c>
      <c r="M1152" s="106" t="s">
        <v>2837</v>
      </c>
      <c r="N1152" s="106" t="s">
        <v>2838</v>
      </c>
      <c r="O1152" s="106" t="s">
        <v>2839</v>
      </c>
      <c r="P1152" s="107" t="s">
        <v>3188</v>
      </c>
      <c r="Q1152" s="198">
        <v>3553500</v>
      </c>
      <c r="R1152" s="63">
        <v>1</v>
      </c>
      <c r="S1152" s="198">
        <f>20136500-2369000</f>
        <v>17767500</v>
      </c>
      <c r="T1152" s="112" t="s">
        <v>888</v>
      </c>
      <c r="U1152" s="63" t="s">
        <v>445</v>
      </c>
      <c r="V1152" s="81">
        <v>43296</v>
      </c>
      <c r="W1152" s="199">
        <v>1</v>
      </c>
      <c r="X1152" s="85" t="s">
        <v>3234</v>
      </c>
      <c r="Y1152" s="81">
        <v>43157</v>
      </c>
      <c r="Z1152" s="198">
        <v>20136500</v>
      </c>
      <c r="AA1152" s="84"/>
      <c r="AB1152" s="63">
        <v>954</v>
      </c>
      <c r="AC1152" s="81">
        <v>43262</v>
      </c>
      <c r="AD1152" s="198">
        <v>17767500</v>
      </c>
      <c r="AE1152" s="198">
        <f t="shared" si="127"/>
        <v>2369000</v>
      </c>
      <c r="AF1152" s="63">
        <v>2533</v>
      </c>
      <c r="AG1152" s="81">
        <v>43305</v>
      </c>
      <c r="AH1152" s="196">
        <v>17767500</v>
      </c>
      <c r="AI1152" s="84" t="s">
        <v>3235</v>
      </c>
      <c r="AJ1152" s="63">
        <v>457</v>
      </c>
      <c r="AK1152" s="63"/>
      <c r="AL1152" s="196">
        <v>17767500</v>
      </c>
      <c r="AM1152" s="196">
        <f>+VLOOKUP(AF1152,'[2]CRP a 31 Agosto de 2018'!$J$8:$V$2956,13,0)</f>
        <v>710700</v>
      </c>
      <c r="AN1152" s="196">
        <f t="shared" si="128"/>
        <v>17056800</v>
      </c>
      <c r="AO1152" s="63"/>
      <c r="AP1152" s="63"/>
      <c r="AQ1152" s="63"/>
      <c r="AR1152" s="81"/>
      <c r="AS1152" s="63"/>
      <c r="AT1152" s="81"/>
      <c r="AU1152" s="63"/>
      <c r="AV1152" s="63"/>
      <c r="AW1152" s="63"/>
    </row>
    <row r="1153" spans="1:49" ht="357.75" thickTop="1" thickBot="1" x14ac:dyDescent="0.3">
      <c r="A1153" s="193">
        <v>108</v>
      </c>
      <c r="B1153" s="85" t="s">
        <v>3236</v>
      </c>
      <c r="C1153" s="105" t="s">
        <v>2834</v>
      </c>
      <c r="D1153" s="63" t="s">
        <v>714</v>
      </c>
      <c r="E1153" s="106" t="s">
        <v>2835</v>
      </c>
      <c r="F1153" s="63" t="s">
        <v>52</v>
      </c>
      <c r="G1153" s="63" t="s">
        <v>53</v>
      </c>
      <c r="H1153" s="111" t="s">
        <v>733</v>
      </c>
      <c r="I1153" s="63" t="s">
        <v>710</v>
      </c>
      <c r="J1153" s="63" t="s">
        <v>3183</v>
      </c>
      <c r="K1153" s="106">
        <v>801116</v>
      </c>
      <c r="L1153" s="106" t="s">
        <v>2836</v>
      </c>
      <c r="M1153" s="106" t="s">
        <v>2837</v>
      </c>
      <c r="N1153" s="106" t="s">
        <v>2838</v>
      </c>
      <c r="O1153" s="106" t="s">
        <v>2839</v>
      </c>
      <c r="P1153" s="107" t="s">
        <v>3188</v>
      </c>
      <c r="Q1153" s="198">
        <v>3399000</v>
      </c>
      <c r="R1153" s="63">
        <v>1</v>
      </c>
      <c r="S1153" s="198">
        <f>19261000-2266000</f>
        <v>16995000</v>
      </c>
      <c r="T1153" s="112" t="s">
        <v>888</v>
      </c>
      <c r="U1153" s="63" t="s">
        <v>445</v>
      </c>
      <c r="V1153" s="81">
        <v>43296</v>
      </c>
      <c r="W1153" s="199">
        <v>1</v>
      </c>
      <c r="X1153" s="85" t="s">
        <v>3237</v>
      </c>
      <c r="Y1153" s="81">
        <v>43157</v>
      </c>
      <c r="Z1153" s="198">
        <v>19261000</v>
      </c>
      <c r="AA1153" s="84"/>
      <c r="AB1153" s="63">
        <v>955</v>
      </c>
      <c r="AC1153" s="81">
        <v>43262</v>
      </c>
      <c r="AD1153" s="198">
        <v>16995000</v>
      </c>
      <c r="AE1153" s="198">
        <f t="shared" si="127"/>
        <v>2266000</v>
      </c>
      <c r="AF1153" s="63">
        <v>2545</v>
      </c>
      <c r="AG1153" s="81">
        <v>43308</v>
      </c>
      <c r="AH1153" s="196">
        <v>16995000</v>
      </c>
      <c r="AI1153" s="84" t="s">
        <v>3238</v>
      </c>
      <c r="AJ1153" s="63">
        <v>464</v>
      </c>
      <c r="AK1153" s="63"/>
      <c r="AL1153" s="196">
        <v>16995000</v>
      </c>
      <c r="AM1153" s="196">
        <f>+VLOOKUP(AF1153,'[2]CRP a 31 Agosto de 2018'!$J$8:$V$2956,13,0)</f>
        <v>0</v>
      </c>
      <c r="AN1153" s="196">
        <f t="shared" si="128"/>
        <v>16995000</v>
      </c>
      <c r="AO1153" s="63"/>
      <c r="AP1153" s="63"/>
      <c r="AQ1153" s="63"/>
      <c r="AR1153" s="81"/>
      <c r="AS1153" s="63"/>
      <c r="AT1153" s="81"/>
      <c r="AU1153" s="63"/>
      <c r="AV1153" s="63"/>
      <c r="AW1153" s="63"/>
    </row>
    <row r="1154" spans="1:49" ht="357.75" thickTop="1" thickBot="1" x14ac:dyDescent="0.3">
      <c r="A1154" s="193">
        <v>109</v>
      </c>
      <c r="B1154" s="85" t="s">
        <v>3239</v>
      </c>
      <c r="C1154" s="105" t="s">
        <v>2834</v>
      </c>
      <c r="D1154" s="63" t="s">
        <v>714</v>
      </c>
      <c r="E1154" s="106" t="s">
        <v>2835</v>
      </c>
      <c r="F1154" s="63" t="s">
        <v>52</v>
      </c>
      <c r="G1154" s="63" t="s">
        <v>53</v>
      </c>
      <c r="H1154" s="111" t="s">
        <v>733</v>
      </c>
      <c r="I1154" s="63" t="s">
        <v>710</v>
      </c>
      <c r="J1154" s="63" t="s">
        <v>3183</v>
      </c>
      <c r="K1154" s="106">
        <v>801116</v>
      </c>
      <c r="L1154" s="106" t="s">
        <v>2836</v>
      </c>
      <c r="M1154" s="106" t="s">
        <v>2837</v>
      </c>
      <c r="N1154" s="106" t="s">
        <v>2838</v>
      </c>
      <c r="O1154" s="106" t="s">
        <v>2839</v>
      </c>
      <c r="P1154" s="107" t="s">
        <v>3188</v>
      </c>
      <c r="Q1154" s="198">
        <v>3399000</v>
      </c>
      <c r="R1154" s="63">
        <v>1</v>
      </c>
      <c r="S1154" s="198">
        <f>19261000-2266000</f>
        <v>16995000</v>
      </c>
      <c r="T1154" s="112" t="s">
        <v>888</v>
      </c>
      <c r="U1154" s="63" t="s">
        <v>445</v>
      </c>
      <c r="V1154" s="81">
        <v>43296</v>
      </c>
      <c r="W1154" s="199">
        <v>1</v>
      </c>
      <c r="X1154" s="85" t="s">
        <v>3240</v>
      </c>
      <c r="Y1154" s="81">
        <v>43157</v>
      </c>
      <c r="Z1154" s="198">
        <v>19261000</v>
      </c>
      <c r="AA1154" s="84"/>
      <c r="AB1154" s="63">
        <v>960</v>
      </c>
      <c r="AC1154" s="81">
        <v>43262</v>
      </c>
      <c r="AD1154" s="198">
        <v>16995000</v>
      </c>
      <c r="AE1154" s="198">
        <f>Z1154-AD1154</f>
        <v>2266000</v>
      </c>
      <c r="AF1154" s="63">
        <v>2680</v>
      </c>
      <c r="AG1154" s="81">
        <v>43329</v>
      </c>
      <c r="AH1154" s="196">
        <v>16995000</v>
      </c>
      <c r="AI1154" s="84" t="s">
        <v>3241</v>
      </c>
      <c r="AJ1154" s="63">
        <v>503</v>
      </c>
      <c r="AK1154" s="63"/>
      <c r="AL1154" s="196">
        <v>16995000</v>
      </c>
      <c r="AM1154" s="196">
        <f>+VLOOKUP(AF1154,'[2]CRP a 31 Agosto de 2018'!$J$8:$V$2956,13,0)</f>
        <v>0</v>
      </c>
      <c r="AN1154" s="196">
        <f t="shared" si="128"/>
        <v>16995000</v>
      </c>
      <c r="AO1154" s="63"/>
      <c r="AP1154" s="63"/>
      <c r="AQ1154" s="63"/>
      <c r="AR1154" s="81"/>
      <c r="AS1154" s="63"/>
      <c r="AT1154" s="81"/>
      <c r="AU1154" s="63"/>
      <c r="AV1154" s="63"/>
      <c r="AW1154" s="63"/>
    </row>
    <row r="1155" spans="1:49" ht="357.75" thickTop="1" thickBot="1" x14ac:dyDescent="0.3">
      <c r="A1155" s="193">
        <v>110</v>
      </c>
      <c r="B1155" s="85" t="s">
        <v>3242</v>
      </c>
      <c r="C1155" s="105" t="s">
        <v>2834</v>
      </c>
      <c r="D1155" s="63" t="s">
        <v>714</v>
      </c>
      <c r="E1155" s="106" t="s">
        <v>2835</v>
      </c>
      <c r="F1155" s="63" t="s">
        <v>52</v>
      </c>
      <c r="G1155" s="63" t="s">
        <v>53</v>
      </c>
      <c r="H1155" s="111" t="s">
        <v>733</v>
      </c>
      <c r="I1155" s="63" t="s">
        <v>710</v>
      </c>
      <c r="J1155" s="63" t="s">
        <v>3183</v>
      </c>
      <c r="K1155" s="106">
        <v>801116</v>
      </c>
      <c r="L1155" s="106" t="s">
        <v>2836</v>
      </c>
      <c r="M1155" s="106" t="s">
        <v>2837</v>
      </c>
      <c r="N1155" s="106" t="s">
        <v>2838</v>
      </c>
      <c r="O1155" s="106" t="s">
        <v>2839</v>
      </c>
      <c r="P1155" s="107" t="s">
        <v>3188</v>
      </c>
      <c r="Q1155" s="198">
        <v>3553500</v>
      </c>
      <c r="R1155" s="63">
        <v>1</v>
      </c>
      <c r="S1155" s="198">
        <f>20136500-2369000</f>
        <v>17767500</v>
      </c>
      <c r="T1155" s="112" t="s">
        <v>888</v>
      </c>
      <c r="U1155" s="63" t="s">
        <v>445</v>
      </c>
      <c r="V1155" s="81">
        <v>43296</v>
      </c>
      <c r="W1155" s="199">
        <v>1</v>
      </c>
      <c r="X1155" s="85" t="s">
        <v>3243</v>
      </c>
      <c r="Y1155" s="81">
        <v>43157</v>
      </c>
      <c r="Z1155" s="198">
        <v>20136500</v>
      </c>
      <c r="AA1155" s="84"/>
      <c r="AB1155" s="63">
        <v>934</v>
      </c>
      <c r="AC1155" s="81">
        <v>43285</v>
      </c>
      <c r="AD1155" s="198">
        <v>17767500</v>
      </c>
      <c r="AE1155" s="198">
        <f t="shared" ref="AE1155:AE1156" si="129">Z1155-AD1155</f>
        <v>2369000</v>
      </c>
      <c r="AF1155" s="63">
        <v>2564</v>
      </c>
      <c r="AG1155" s="81">
        <v>43314</v>
      </c>
      <c r="AH1155" s="196">
        <v>17767500</v>
      </c>
      <c r="AI1155" s="84" t="s">
        <v>3244</v>
      </c>
      <c r="AJ1155" s="63">
        <v>473</v>
      </c>
      <c r="AK1155" s="63"/>
      <c r="AL1155" s="196">
        <v>17767500</v>
      </c>
      <c r="AM1155" s="196">
        <f>+VLOOKUP(AF1155,'[2]CRP a 31 Agosto de 2018'!$J$8:$V$2956,13,0)</f>
        <v>0</v>
      </c>
      <c r="AN1155" s="196">
        <f>AL1155-AM1155</f>
        <v>17767500</v>
      </c>
      <c r="AO1155" s="63"/>
      <c r="AP1155" s="63"/>
      <c r="AQ1155" s="63"/>
      <c r="AR1155" s="81"/>
      <c r="AS1155" s="63"/>
      <c r="AT1155" s="81"/>
      <c r="AU1155" s="63"/>
      <c r="AV1155" s="63"/>
      <c r="AW1155" s="63"/>
    </row>
    <row r="1156" spans="1:49" ht="357.75" thickTop="1" thickBot="1" x14ac:dyDescent="0.3">
      <c r="A1156" s="193">
        <v>111</v>
      </c>
      <c r="B1156" s="85" t="s">
        <v>3245</v>
      </c>
      <c r="C1156" s="105" t="s">
        <v>2834</v>
      </c>
      <c r="D1156" s="63" t="s">
        <v>714</v>
      </c>
      <c r="E1156" s="106" t="s">
        <v>2835</v>
      </c>
      <c r="F1156" s="63" t="s">
        <v>52</v>
      </c>
      <c r="G1156" s="63" t="s">
        <v>53</v>
      </c>
      <c r="H1156" s="111" t="s">
        <v>733</v>
      </c>
      <c r="I1156" s="63" t="s">
        <v>710</v>
      </c>
      <c r="J1156" s="63" t="s">
        <v>3183</v>
      </c>
      <c r="K1156" s="106">
        <v>801116</v>
      </c>
      <c r="L1156" s="106" t="s">
        <v>2836</v>
      </c>
      <c r="M1156" s="106" t="s">
        <v>2837</v>
      </c>
      <c r="N1156" s="106" t="s">
        <v>2838</v>
      </c>
      <c r="O1156" s="106" t="s">
        <v>2839</v>
      </c>
      <c r="P1156" s="107" t="s">
        <v>3188</v>
      </c>
      <c r="Q1156" s="198">
        <v>3399000</v>
      </c>
      <c r="R1156" s="63">
        <v>1</v>
      </c>
      <c r="S1156" s="198">
        <f>19261000-2266000</f>
        <v>16995000</v>
      </c>
      <c r="T1156" s="112" t="s">
        <v>888</v>
      </c>
      <c r="U1156" s="63" t="s">
        <v>445</v>
      </c>
      <c r="V1156" s="81">
        <v>43296</v>
      </c>
      <c r="W1156" s="199">
        <v>1</v>
      </c>
      <c r="X1156" s="85" t="s">
        <v>3246</v>
      </c>
      <c r="Y1156" s="81">
        <v>43279</v>
      </c>
      <c r="Z1156" s="198">
        <v>19261000</v>
      </c>
      <c r="AA1156" s="84"/>
      <c r="AB1156" s="63">
        <v>959</v>
      </c>
      <c r="AC1156" s="81">
        <v>43262</v>
      </c>
      <c r="AD1156" s="198">
        <v>16995000</v>
      </c>
      <c r="AE1156" s="198">
        <f t="shared" si="129"/>
        <v>2266000</v>
      </c>
      <c r="AF1156" s="63">
        <v>2538</v>
      </c>
      <c r="AG1156" s="81">
        <v>43305</v>
      </c>
      <c r="AH1156" s="196">
        <v>16995000</v>
      </c>
      <c r="AI1156" s="84" t="s">
        <v>3247</v>
      </c>
      <c r="AJ1156" s="63">
        <v>454</v>
      </c>
      <c r="AK1156" s="63"/>
      <c r="AL1156" s="196">
        <v>16995000</v>
      </c>
      <c r="AM1156" s="196">
        <f>+VLOOKUP(AF1156,'[2]CRP a 31 Agosto de 2018'!$J$8:$V$2956,13,0)</f>
        <v>793100</v>
      </c>
      <c r="AN1156" s="196">
        <f>AL1156-AM1156</f>
        <v>16201900</v>
      </c>
      <c r="AO1156" s="63"/>
      <c r="AP1156" s="63"/>
      <c r="AQ1156" s="63"/>
      <c r="AR1156" s="81"/>
      <c r="AS1156" s="63"/>
      <c r="AT1156" s="81"/>
      <c r="AU1156" s="63"/>
      <c r="AV1156" s="63"/>
      <c r="AW1156" s="63"/>
    </row>
    <row r="1157" spans="1:49" ht="357.75" thickTop="1" thickBot="1" x14ac:dyDescent="0.3">
      <c r="A1157" s="193">
        <v>112</v>
      </c>
      <c r="B1157" s="85" t="s">
        <v>3248</v>
      </c>
      <c r="C1157" s="105" t="s">
        <v>2834</v>
      </c>
      <c r="D1157" s="63" t="s">
        <v>714</v>
      </c>
      <c r="E1157" s="106" t="s">
        <v>2835</v>
      </c>
      <c r="F1157" s="63" t="s">
        <v>52</v>
      </c>
      <c r="G1157" s="63" t="s">
        <v>53</v>
      </c>
      <c r="H1157" s="111" t="s">
        <v>733</v>
      </c>
      <c r="I1157" s="63" t="s">
        <v>710</v>
      </c>
      <c r="J1157" s="63" t="s">
        <v>3183</v>
      </c>
      <c r="K1157" s="106">
        <v>801116</v>
      </c>
      <c r="L1157" s="106" t="s">
        <v>2836</v>
      </c>
      <c r="M1157" s="106" t="s">
        <v>2837</v>
      </c>
      <c r="N1157" s="106" t="s">
        <v>2838</v>
      </c>
      <c r="O1157" s="106" t="s">
        <v>2839</v>
      </c>
      <c r="P1157" s="107" t="s">
        <v>3249</v>
      </c>
      <c r="Q1157" s="198">
        <v>3553500</v>
      </c>
      <c r="R1157" s="63">
        <v>1</v>
      </c>
      <c r="S1157" s="198">
        <f>18952000-17175250-1776750</f>
        <v>0</v>
      </c>
      <c r="T1157" s="112" t="s">
        <v>888</v>
      </c>
      <c r="U1157" s="63" t="s">
        <v>445</v>
      </c>
      <c r="V1157" s="81">
        <v>43296</v>
      </c>
      <c r="W1157" s="199">
        <v>1</v>
      </c>
      <c r="X1157" s="85"/>
      <c r="Y1157" s="81"/>
      <c r="Z1157" s="198"/>
      <c r="AA1157" s="84"/>
      <c r="AB1157" s="63"/>
      <c r="AC1157" s="81"/>
      <c r="AD1157" s="198"/>
      <c r="AE1157" s="198"/>
      <c r="AF1157" s="63"/>
      <c r="AG1157" s="81"/>
      <c r="AH1157" s="196"/>
      <c r="AI1157" s="84"/>
      <c r="AJ1157" s="63"/>
      <c r="AK1157" s="63"/>
      <c r="AL1157" s="196"/>
      <c r="AM1157" s="196">
        <v>0</v>
      </c>
      <c r="AN1157" s="196"/>
      <c r="AO1157" s="63"/>
      <c r="AP1157" s="63"/>
      <c r="AQ1157" s="63"/>
      <c r="AR1157" s="81"/>
      <c r="AS1157" s="63"/>
      <c r="AT1157" s="81"/>
      <c r="AU1157" s="63"/>
      <c r="AV1157" s="63"/>
      <c r="AW1157" s="63"/>
    </row>
    <row r="1158" spans="1:49" ht="357.75" thickTop="1" thickBot="1" x14ac:dyDescent="0.3">
      <c r="A1158" s="193">
        <v>113</v>
      </c>
      <c r="B1158" s="85" t="s">
        <v>3250</v>
      </c>
      <c r="C1158" s="105" t="s">
        <v>2834</v>
      </c>
      <c r="D1158" s="63" t="s">
        <v>714</v>
      </c>
      <c r="E1158" s="106" t="s">
        <v>2835</v>
      </c>
      <c r="F1158" s="63" t="s">
        <v>52</v>
      </c>
      <c r="G1158" s="63" t="s">
        <v>53</v>
      </c>
      <c r="H1158" s="111" t="s">
        <v>733</v>
      </c>
      <c r="I1158" s="63" t="s">
        <v>710</v>
      </c>
      <c r="J1158" s="63" t="s">
        <v>3183</v>
      </c>
      <c r="K1158" s="106">
        <v>801116</v>
      </c>
      <c r="L1158" s="106" t="s">
        <v>2836</v>
      </c>
      <c r="M1158" s="106" t="s">
        <v>2837</v>
      </c>
      <c r="N1158" s="106" t="s">
        <v>2838</v>
      </c>
      <c r="O1158" s="106" t="s">
        <v>2839</v>
      </c>
      <c r="P1158" s="111" t="s">
        <v>3226</v>
      </c>
      <c r="Q1158" s="198">
        <v>1751000</v>
      </c>
      <c r="R1158" s="63">
        <v>1</v>
      </c>
      <c r="S1158" s="198">
        <f>9338667-8463167-875500</f>
        <v>0</v>
      </c>
      <c r="T1158" s="112" t="s">
        <v>888</v>
      </c>
      <c r="U1158" s="63" t="s">
        <v>445</v>
      </c>
      <c r="V1158" s="81">
        <v>43296</v>
      </c>
      <c r="W1158" s="199">
        <v>1</v>
      </c>
      <c r="X1158" s="85"/>
      <c r="Y1158" s="81"/>
      <c r="Z1158" s="198"/>
      <c r="AA1158" s="84"/>
      <c r="AB1158" s="63"/>
      <c r="AC1158" s="81"/>
      <c r="AD1158" s="198"/>
      <c r="AE1158" s="198"/>
      <c r="AF1158" s="63"/>
      <c r="AG1158" s="81"/>
      <c r="AH1158" s="196"/>
      <c r="AI1158" s="84"/>
      <c r="AJ1158" s="63"/>
      <c r="AK1158" s="63"/>
      <c r="AL1158" s="196"/>
      <c r="AM1158" s="196">
        <v>0</v>
      </c>
      <c r="AN1158" s="196"/>
      <c r="AO1158" s="63"/>
      <c r="AP1158" s="63"/>
      <c r="AQ1158" s="63"/>
      <c r="AR1158" s="81"/>
      <c r="AS1158" s="63"/>
      <c r="AT1158" s="81"/>
      <c r="AU1158" s="63"/>
      <c r="AV1158" s="63"/>
      <c r="AW1158" s="63"/>
    </row>
    <row r="1159" spans="1:49" ht="357.75" thickTop="1" thickBot="1" x14ac:dyDescent="0.3">
      <c r="A1159" s="193">
        <v>114</v>
      </c>
      <c r="B1159" s="85" t="s">
        <v>3251</v>
      </c>
      <c r="C1159" s="105" t="s">
        <v>2834</v>
      </c>
      <c r="D1159" s="63" t="s">
        <v>714</v>
      </c>
      <c r="E1159" s="106" t="s">
        <v>2835</v>
      </c>
      <c r="F1159" s="63" t="s">
        <v>52</v>
      </c>
      <c r="G1159" s="63" t="s">
        <v>53</v>
      </c>
      <c r="H1159" s="111" t="s">
        <v>733</v>
      </c>
      <c r="I1159" s="63" t="s">
        <v>710</v>
      </c>
      <c r="J1159" s="63" t="s">
        <v>3183</v>
      </c>
      <c r="K1159" s="106">
        <v>801116</v>
      </c>
      <c r="L1159" s="106" t="s">
        <v>2836</v>
      </c>
      <c r="M1159" s="106" t="s">
        <v>2837</v>
      </c>
      <c r="N1159" s="106" t="s">
        <v>2838</v>
      </c>
      <c r="O1159" s="106" t="s">
        <v>2839</v>
      </c>
      <c r="P1159" s="111" t="s">
        <v>3226</v>
      </c>
      <c r="Q1159" s="198">
        <v>1751000</v>
      </c>
      <c r="R1159" s="63">
        <v>1</v>
      </c>
      <c r="S1159" s="198">
        <f>9338667-8463167-193983-681517</f>
        <v>0</v>
      </c>
      <c r="T1159" s="112" t="s">
        <v>888</v>
      </c>
      <c r="U1159" s="63" t="s">
        <v>445</v>
      </c>
      <c r="V1159" s="81">
        <v>43296</v>
      </c>
      <c r="W1159" s="199">
        <v>1</v>
      </c>
      <c r="X1159" s="85"/>
      <c r="Y1159" s="81"/>
      <c r="Z1159" s="198"/>
      <c r="AA1159" s="84"/>
      <c r="AB1159" s="63"/>
      <c r="AC1159" s="81"/>
      <c r="AD1159" s="198"/>
      <c r="AE1159" s="198"/>
      <c r="AF1159" s="63"/>
      <c r="AG1159" s="81"/>
      <c r="AH1159" s="196"/>
      <c r="AI1159" s="84"/>
      <c r="AJ1159" s="63"/>
      <c r="AK1159" s="63"/>
      <c r="AL1159" s="196"/>
      <c r="AM1159" s="196">
        <v>0</v>
      </c>
      <c r="AN1159" s="196"/>
      <c r="AO1159" s="63"/>
      <c r="AP1159" s="63"/>
      <c r="AQ1159" s="63"/>
      <c r="AR1159" s="81"/>
      <c r="AS1159" s="63"/>
      <c r="AT1159" s="81"/>
      <c r="AU1159" s="63"/>
      <c r="AV1159" s="63"/>
      <c r="AW1159" s="63"/>
    </row>
    <row r="1160" spans="1:49" ht="357.75" thickTop="1" thickBot="1" x14ac:dyDescent="0.3">
      <c r="A1160" s="193">
        <v>115</v>
      </c>
      <c r="B1160" s="85" t="s">
        <v>3252</v>
      </c>
      <c r="C1160" s="105" t="s">
        <v>2834</v>
      </c>
      <c r="D1160" s="63" t="s">
        <v>714</v>
      </c>
      <c r="E1160" s="106" t="s">
        <v>2835</v>
      </c>
      <c r="F1160" s="63" t="s">
        <v>52</v>
      </c>
      <c r="G1160" s="63" t="s">
        <v>53</v>
      </c>
      <c r="H1160" s="111" t="s">
        <v>733</v>
      </c>
      <c r="I1160" s="63" t="s">
        <v>710</v>
      </c>
      <c r="J1160" s="63" t="s">
        <v>3183</v>
      </c>
      <c r="K1160" s="106">
        <v>801116</v>
      </c>
      <c r="L1160" s="106" t="s">
        <v>2836</v>
      </c>
      <c r="M1160" s="106" t="s">
        <v>2837</v>
      </c>
      <c r="N1160" s="106" t="s">
        <v>2838</v>
      </c>
      <c r="O1160" s="106" t="s">
        <v>2839</v>
      </c>
      <c r="P1160" s="111" t="s">
        <v>3070</v>
      </c>
      <c r="Q1160" s="198">
        <v>4532000</v>
      </c>
      <c r="R1160" s="63">
        <v>1</v>
      </c>
      <c r="S1160" s="198">
        <f>20394000-20394000</f>
        <v>0</v>
      </c>
      <c r="T1160" s="112" t="s">
        <v>888</v>
      </c>
      <c r="U1160" s="63" t="s">
        <v>445</v>
      </c>
      <c r="V1160" s="81">
        <v>43296</v>
      </c>
      <c r="W1160" s="199">
        <v>1</v>
      </c>
      <c r="X1160" s="85"/>
      <c r="Y1160" s="81"/>
      <c r="Z1160" s="198"/>
      <c r="AA1160" s="84"/>
      <c r="AB1160" s="63"/>
      <c r="AC1160" s="81"/>
      <c r="AD1160" s="198"/>
      <c r="AE1160" s="198"/>
      <c r="AF1160" s="63"/>
      <c r="AG1160" s="81"/>
      <c r="AH1160" s="196"/>
      <c r="AI1160" s="84"/>
      <c r="AJ1160" s="63"/>
      <c r="AK1160" s="63"/>
      <c r="AL1160" s="196"/>
      <c r="AM1160" s="196">
        <v>0</v>
      </c>
      <c r="AN1160" s="196"/>
      <c r="AO1160" s="63"/>
      <c r="AP1160" s="63"/>
      <c r="AQ1160" s="63"/>
      <c r="AR1160" s="81"/>
      <c r="AS1160" s="63"/>
      <c r="AT1160" s="81"/>
      <c r="AU1160" s="63"/>
      <c r="AV1160" s="63"/>
      <c r="AW1160" s="63"/>
    </row>
    <row r="1161" spans="1:49" ht="357.75" thickTop="1" thickBot="1" x14ac:dyDescent="0.3">
      <c r="A1161" s="193">
        <v>116</v>
      </c>
      <c r="B1161" s="85" t="s">
        <v>3253</v>
      </c>
      <c r="C1161" s="105" t="s">
        <v>2834</v>
      </c>
      <c r="D1161" s="63" t="s">
        <v>714</v>
      </c>
      <c r="E1161" s="106" t="s">
        <v>2835</v>
      </c>
      <c r="F1161" s="63" t="s">
        <v>52</v>
      </c>
      <c r="G1161" s="63" t="s">
        <v>53</v>
      </c>
      <c r="H1161" s="111" t="s">
        <v>733</v>
      </c>
      <c r="I1161" s="63" t="s">
        <v>710</v>
      </c>
      <c r="J1161" s="63" t="s">
        <v>3183</v>
      </c>
      <c r="K1161" s="106">
        <v>801116</v>
      </c>
      <c r="L1161" s="106" t="s">
        <v>2836</v>
      </c>
      <c r="M1161" s="106" t="s">
        <v>2837</v>
      </c>
      <c r="N1161" s="106" t="s">
        <v>2838</v>
      </c>
      <c r="O1161" s="106" t="s">
        <v>2839</v>
      </c>
      <c r="P1161" s="111" t="s">
        <v>3254</v>
      </c>
      <c r="Q1161" s="198">
        <v>6695000</v>
      </c>
      <c r="R1161" s="63">
        <v>1</v>
      </c>
      <c r="S1161" s="198">
        <f>30127500-30127500</f>
        <v>0</v>
      </c>
      <c r="T1161" s="112" t="s">
        <v>888</v>
      </c>
      <c r="U1161" s="63" t="s">
        <v>445</v>
      </c>
      <c r="V1161" s="81">
        <v>43296</v>
      </c>
      <c r="W1161" s="199">
        <v>1</v>
      </c>
      <c r="X1161" s="85"/>
      <c r="Y1161" s="81"/>
      <c r="Z1161" s="198"/>
      <c r="AA1161" s="84"/>
      <c r="AB1161" s="63"/>
      <c r="AC1161" s="81"/>
      <c r="AD1161" s="198"/>
      <c r="AE1161" s="198"/>
      <c r="AF1161" s="63"/>
      <c r="AG1161" s="81"/>
      <c r="AH1161" s="196"/>
      <c r="AI1161" s="84"/>
      <c r="AJ1161" s="63"/>
      <c r="AK1161" s="63"/>
      <c r="AL1161" s="196"/>
      <c r="AM1161" s="196">
        <v>0</v>
      </c>
      <c r="AN1161" s="196"/>
      <c r="AO1161" s="63"/>
      <c r="AP1161" s="63"/>
      <c r="AQ1161" s="63"/>
      <c r="AR1161" s="81"/>
      <c r="AS1161" s="63"/>
      <c r="AT1161" s="81"/>
      <c r="AU1161" s="63"/>
      <c r="AV1161" s="63"/>
      <c r="AW1161" s="63"/>
    </row>
    <row r="1162" spans="1:49" ht="357.75" thickTop="1" thickBot="1" x14ac:dyDescent="0.3">
      <c r="A1162" s="193">
        <v>117</v>
      </c>
      <c r="B1162" s="85" t="s">
        <v>3255</v>
      </c>
      <c r="C1162" s="105" t="s">
        <v>2834</v>
      </c>
      <c r="D1162" s="63" t="s">
        <v>714</v>
      </c>
      <c r="E1162" s="106" t="s">
        <v>2835</v>
      </c>
      <c r="F1162" s="63" t="s">
        <v>52</v>
      </c>
      <c r="G1162" s="63" t="s">
        <v>53</v>
      </c>
      <c r="H1162" s="111" t="s">
        <v>733</v>
      </c>
      <c r="I1162" s="63" t="s">
        <v>710</v>
      </c>
      <c r="J1162" s="63" t="s">
        <v>3183</v>
      </c>
      <c r="K1162" s="106">
        <v>801116</v>
      </c>
      <c r="L1162" s="106" t="s">
        <v>2836</v>
      </c>
      <c r="M1162" s="106" t="s">
        <v>2837</v>
      </c>
      <c r="N1162" s="106" t="s">
        <v>2838</v>
      </c>
      <c r="O1162" s="106" t="s">
        <v>2839</v>
      </c>
      <c r="P1162" s="111" t="s">
        <v>3226</v>
      </c>
      <c r="Q1162" s="198">
        <v>1751000</v>
      </c>
      <c r="R1162" s="63">
        <v>1</v>
      </c>
      <c r="S1162" s="198">
        <f>8171333-8171333</f>
        <v>0</v>
      </c>
      <c r="T1162" s="112" t="s">
        <v>888</v>
      </c>
      <c r="U1162" s="63" t="s">
        <v>445</v>
      </c>
      <c r="V1162" s="81">
        <v>43296</v>
      </c>
      <c r="W1162" s="199">
        <v>1</v>
      </c>
      <c r="X1162" s="85"/>
      <c r="Y1162" s="81"/>
      <c r="Z1162" s="198"/>
      <c r="AA1162" s="84"/>
      <c r="AB1162" s="63"/>
      <c r="AC1162" s="81"/>
      <c r="AD1162" s="198"/>
      <c r="AE1162" s="198"/>
      <c r="AF1162" s="63"/>
      <c r="AG1162" s="81"/>
      <c r="AH1162" s="196"/>
      <c r="AI1162" s="84"/>
      <c r="AJ1162" s="63"/>
      <c r="AK1162" s="63"/>
      <c r="AL1162" s="196"/>
      <c r="AM1162" s="196">
        <v>0</v>
      </c>
      <c r="AN1162" s="196"/>
      <c r="AO1162" s="63"/>
      <c r="AP1162" s="63"/>
      <c r="AQ1162" s="63"/>
      <c r="AR1162" s="81"/>
      <c r="AS1162" s="63"/>
      <c r="AT1162" s="81"/>
      <c r="AU1162" s="63"/>
      <c r="AV1162" s="63"/>
      <c r="AW1162" s="63"/>
    </row>
    <row r="1163" spans="1:49" ht="357.75" thickTop="1" thickBot="1" x14ac:dyDescent="0.3">
      <c r="A1163" s="193">
        <v>118</v>
      </c>
      <c r="B1163" s="85" t="s">
        <v>3256</v>
      </c>
      <c r="C1163" s="105" t="s">
        <v>2834</v>
      </c>
      <c r="D1163" s="63" t="s">
        <v>714</v>
      </c>
      <c r="E1163" s="106" t="s">
        <v>2835</v>
      </c>
      <c r="F1163" s="63" t="s">
        <v>52</v>
      </c>
      <c r="G1163" s="63" t="s">
        <v>53</v>
      </c>
      <c r="H1163" s="111" t="s">
        <v>733</v>
      </c>
      <c r="I1163" s="63" t="s">
        <v>710</v>
      </c>
      <c r="J1163" s="63" t="s">
        <v>3183</v>
      </c>
      <c r="K1163" s="106">
        <v>801116</v>
      </c>
      <c r="L1163" s="106" t="s">
        <v>2836</v>
      </c>
      <c r="M1163" s="106" t="s">
        <v>2837</v>
      </c>
      <c r="N1163" s="106" t="s">
        <v>2838</v>
      </c>
      <c r="O1163" s="106" t="s">
        <v>2839</v>
      </c>
      <c r="P1163" s="111" t="s">
        <v>3254</v>
      </c>
      <c r="Q1163" s="198">
        <v>8240000</v>
      </c>
      <c r="R1163" s="63">
        <v>1</v>
      </c>
      <c r="S1163" s="198">
        <f>39826666-39826666</f>
        <v>0</v>
      </c>
      <c r="T1163" s="112" t="s">
        <v>888</v>
      </c>
      <c r="U1163" s="63" t="s">
        <v>445</v>
      </c>
      <c r="V1163" s="81">
        <v>43296</v>
      </c>
      <c r="W1163" s="199">
        <v>1</v>
      </c>
      <c r="X1163" s="85"/>
      <c r="Y1163" s="81"/>
      <c r="Z1163" s="198"/>
      <c r="AA1163" s="84"/>
      <c r="AB1163" s="63"/>
      <c r="AC1163" s="81"/>
      <c r="AD1163" s="198"/>
      <c r="AE1163" s="198"/>
      <c r="AF1163" s="63"/>
      <c r="AG1163" s="81"/>
      <c r="AH1163" s="196"/>
      <c r="AI1163" s="84"/>
      <c r="AJ1163" s="63"/>
      <c r="AK1163" s="63"/>
      <c r="AL1163" s="196"/>
      <c r="AM1163" s="196">
        <v>0</v>
      </c>
      <c r="AN1163" s="196"/>
      <c r="AO1163" s="63"/>
      <c r="AP1163" s="63"/>
      <c r="AQ1163" s="63"/>
      <c r="AR1163" s="81"/>
      <c r="AS1163" s="63"/>
      <c r="AT1163" s="81"/>
      <c r="AU1163" s="63"/>
      <c r="AV1163" s="63"/>
      <c r="AW1163" s="63"/>
    </row>
    <row r="1164" spans="1:49" ht="357.75" thickTop="1" thickBot="1" x14ac:dyDescent="0.3">
      <c r="A1164" s="193">
        <v>119</v>
      </c>
      <c r="B1164" s="85" t="s">
        <v>3257</v>
      </c>
      <c r="C1164" s="105" t="s">
        <v>2834</v>
      </c>
      <c r="D1164" s="63" t="s">
        <v>714</v>
      </c>
      <c r="E1164" s="106" t="s">
        <v>2835</v>
      </c>
      <c r="F1164" s="63" t="s">
        <v>52</v>
      </c>
      <c r="G1164" s="63" t="s">
        <v>53</v>
      </c>
      <c r="H1164" s="111" t="s">
        <v>733</v>
      </c>
      <c r="I1164" s="63" t="s">
        <v>710</v>
      </c>
      <c r="J1164" s="63" t="s">
        <v>3183</v>
      </c>
      <c r="K1164" s="106">
        <v>801116</v>
      </c>
      <c r="L1164" s="106" t="s">
        <v>2836</v>
      </c>
      <c r="M1164" s="106" t="s">
        <v>2837</v>
      </c>
      <c r="N1164" s="106" t="s">
        <v>2838</v>
      </c>
      <c r="O1164" s="106" t="s">
        <v>2839</v>
      </c>
      <c r="P1164" s="111" t="s">
        <v>3258</v>
      </c>
      <c r="Q1164" s="198">
        <v>4532000</v>
      </c>
      <c r="R1164" s="63">
        <v>1</v>
      </c>
      <c r="S1164" s="198">
        <f>21149333-21149333</f>
        <v>0</v>
      </c>
      <c r="T1164" s="112" t="s">
        <v>888</v>
      </c>
      <c r="U1164" s="63" t="s">
        <v>445</v>
      </c>
      <c r="V1164" s="81">
        <v>43296</v>
      </c>
      <c r="W1164" s="199">
        <v>1</v>
      </c>
      <c r="X1164" s="85"/>
      <c r="Y1164" s="81"/>
      <c r="Z1164" s="198"/>
      <c r="AA1164" s="84"/>
      <c r="AB1164" s="63"/>
      <c r="AC1164" s="81"/>
      <c r="AD1164" s="198"/>
      <c r="AE1164" s="198"/>
      <c r="AF1164" s="63"/>
      <c r="AG1164" s="81"/>
      <c r="AH1164" s="196"/>
      <c r="AI1164" s="84"/>
      <c r="AJ1164" s="63"/>
      <c r="AK1164" s="63"/>
      <c r="AL1164" s="196"/>
      <c r="AM1164" s="196">
        <v>0</v>
      </c>
      <c r="AN1164" s="196"/>
      <c r="AO1164" s="63"/>
      <c r="AP1164" s="63"/>
      <c r="AQ1164" s="63"/>
      <c r="AR1164" s="81"/>
      <c r="AS1164" s="63"/>
      <c r="AT1164" s="81"/>
      <c r="AU1164" s="63"/>
      <c r="AV1164" s="63"/>
      <c r="AW1164" s="63"/>
    </row>
    <row r="1165" spans="1:49" ht="409.6" thickTop="1" thickBot="1" x14ac:dyDescent="0.3">
      <c r="A1165" s="193">
        <v>120</v>
      </c>
      <c r="B1165" s="85" t="s">
        <v>3259</v>
      </c>
      <c r="C1165" s="105" t="s">
        <v>2834</v>
      </c>
      <c r="D1165" s="63" t="s">
        <v>714</v>
      </c>
      <c r="E1165" s="106" t="s">
        <v>2835</v>
      </c>
      <c r="F1165" s="63" t="s">
        <v>52</v>
      </c>
      <c r="G1165" s="63" t="s">
        <v>53</v>
      </c>
      <c r="H1165" s="111" t="s">
        <v>733</v>
      </c>
      <c r="I1165" s="63" t="s">
        <v>710</v>
      </c>
      <c r="J1165" s="63" t="s">
        <v>3183</v>
      </c>
      <c r="K1165" s="106">
        <v>801116</v>
      </c>
      <c r="L1165" s="106" t="s">
        <v>2836</v>
      </c>
      <c r="M1165" s="106" t="s">
        <v>2837</v>
      </c>
      <c r="N1165" s="106" t="s">
        <v>2838</v>
      </c>
      <c r="O1165" s="106" t="s">
        <v>2839</v>
      </c>
      <c r="P1165" s="111" t="s">
        <v>2888</v>
      </c>
      <c r="Q1165" s="198">
        <v>3129655</v>
      </c>
      <c r="R1165" s="63">
        <v>1</v>
      </c>
      <c r="S1165" s="198">
        <f>12518620-12518620</f>
        <v>0</v>
      </c>
      <c r="T1165" s="112" t="s">
        <v>888</v>
      </c>
      <c r="U1165" s="63" t="s">
        <v>445</v>
      </c>
      <c r="V1165" s="81">
        <v>43296</v>
      </c>
      <c r="W1165" s="199">
        <v>1</v>
      </c>
      <c r="X1165" s="85"/>
      <c r="Y1165" s="81"/>
      <c r="Z1165" s="198"/>
      <c r="AA1165" s="84"/>
      <c r="AB1165" s="63"/>
      <c r="AC1165" s="81"/>
      <c r="AD1165" s="198"/>
      <c r="AE1165" s="198"/>
      <c r="AF1165" s="63"/>
      <c r="AG1165" s="81"/>
      <c r="AH1165" s="196"/>
      <c r="AI1165" s="84"/>
      <c r="AJ1165" s="63"/>
      <c r="AK1165" s="63"/>
      <c r="AL1165" s="196"/>
      <c r="AM1165" s="196">
        <v>0</v>
      </c>
      <c r="AN1165" s="196"/>
      <c r="AO1165" s="63"/>
      <c r="AP1165" s="63"/>
      <c r="AQ1165" s="63"/>
      <c r="AR1165" s="81"/>
      <c r="AS1165" s="63"/>
      <c r="AT1165" s="81"/>
      <c r="AU1165" s="63"/>
      <c r="AV1165" s="63"/>
      <c r="AW1165" s="63"/>
    </row>
    <row r="1166" spans="1:49" ht="409.6" thickTop="1" thickBot="1" x14ac:dyDescent="0.3">
      <c r="A1166" s="193">
        <v>121</v>
      </c>
      <c r="B1166" s="85" t="s">
        <v>3260</v>
      </c>
      <c r="C1166" s="105" t="s">
        <v>2834</v>
      </c>
      <c r="D1166" s="63" t="s">
        <v>714</v>
      </c>
      <c r="E1166" s="106" t="s">
        <v>2835</v>
      </c>
      <c r="F1166" s="63" t="s">
        <v>52</v>
      </c>
      <c r="G1166" s="63" t="s">
        <v>53</v>
      </c>
      <c r="H1166" s="111" t="s">
        <v>733</v>
      </c>
      <c r="I1166" s="63" t="s">
        <v>710</v>
      </c>
      <c r="J1166" s="63" t="s">
        <v>3183</v>
      </c>
      <c r="K1166" s="106">
        <v>801116</v>
      </c>
      <c r="L1166" s="106" t="s">
        <v>2836</v>
      </c>
      <c r="M1166" s="106" t="s">
        <v>2837</v>
      </c>
      <c r="N1166" s="106" t="s">
        <v>2838</v>
      </c>
      <c r="O1166" s="106" t="s">
        <v>2839</v>
      </c>
      <c r="P1166" s="111" t="s">
        <v>3171</v>
      </c>
      <c r="Q1166" s="198">
        <v>3500970</v>
      </c>
      <c r="R1166" s="63">
        <v>1</v>
      </c>
      <c r="S1166" s="198">
        <f>10502910-4922313-3961380-1619217</f>
        <v>0</v>
      </c>
      <c r="T1166" s="112" t="s">
        <v>888</v>
      </c>
      <c r="U1166" s="63" t="s">
        <v>445</v>
      </c>
      <c r="V1166" s="81">
        <v>43296</v>
      </c>
      <c r="W1166" s="199">
        <v>1</v>
      </c>
      <c r="X1166" s="85"/>
      <c r="Y1166" s="81"/>
      <c r="Z1166" s="198"/>
      <c r="AA1166" s="84"/>
      <c r="AB1166" s="63"/>
      <c r="AC1166" s="81"/>
      <c r="AD1166" s="198"/>
      <c r="AE1166" s="198"/>
      <c r="AF1166" s="63"/>
      <c r="AG1166" s="81"/>
      <c r="AH1166" s="196"/>
      <c r="AI1166" s="84"/>
      <c r="AJ1166" s="63"/>
      <c r="AK1166" s="63"/>
      <c r="AL1166" s="196"/>
      <c r="AM1166" s="196">
        <v>0</v>
      </c>
      <c r="AN1166" s="196"/>
      <c r="AO1166" s="63"/>
      <c r="AP1166" s="63"/>
      <c r="AQ1166" s="63"/>
      <c r="AR1166" s="81"/>
      <c r="AS1166" s="63"/>
      <c r="AT1166" s="81"/>
      <c r="AU1166" s="63"/>
      <c r="AV1166" s="63"/>
      <c r="AW1166" s="63"/>
    </row>
    <row r="1167" spans="1:49" ht="357.75" thickTop="1" thickBot="1" x14ac:dyDescent="0.3">
      <c r="A1167" s="193">
        <v>122</v>
      </c>
      <c r="B1167" s="85" t="s">
        <v>3261</v>
      </c>
      <c r="C1167" s="105" t="s">
        <v>2834</v>
      </c>
      <c r="D1167" s="63" t="s">
        <v>714</v>
      </c>
      <c r="E1167" s="106" t="s">
        <v>2835</v>
      </c>
      <c r="F1167" s="63" t="s">
        <v>52</v>
      </c>
      <c r="G1167" s="63" t="s">
        <v>53</v>
      </c>
      <c r="H1167" s="111" t="s">
        <v>733</v>
      </c>
      <c r="I1167" s="63" t="s">
        <v>710</v>
      </c>
      <c r="J1167" s="63" t="s">
        <v>3183</v>
      </c>
      <c r="K1167" s="106">
        <v>801116</v>
      </c>
      <c r="L1167" s="106" t="s">
        <v>2836</v>
      </c>
      <c r="M1167" s="106" t="s">
        <v>2837</v>
      </c>
      <c r="N1167" s="106" t="s">
        <v>2838</v>
      </c>
      <c r="O1167" s="106" t="s">
        <v>2839</v>
      </c>
      <c r="P1167" s="111" t="s">
        <v>3177</v>
      </c>
      <c r="Q1167" s="198">
        <v>2546160</v>
      </c>
      <c r="R1167" s="63">
        <v>1</v>
      </c>
      <c r="S1167" s="198">
        <f>7638480-7638480</f>
        <v>0</v>
      </c>
      <c r="T1167" s="112" t="s">
        <v>888</v>
      </c>
      <c r="U1167" s="63" t="s">
        <v>445</v>
      </c>
      <c r="V1167" s="81">
        <v>43296</v>
      </c>
      <c r="W1167" s="199">
        <v>1</v>
      </c>
      <c r="X1167" s="85"/>
      <c r="Y1167" s="81"/>
      <c r="Z1167" s="198"/>
      <c r="AA1167" s="84"/>
      <c r="AB1167" s="63"/>
      <c r="AC1167" s="81"/>
      <c r="AD1167" s="198"/>
      <c r="AE1167" s="198"/>
      <c r="AF1167" s="63"/>
      <c r="AG1167" s="81"/>
      <c r="AH1167" s="196"/>
      <c r="AI1167" s="84"/>
      <c r="AJ1167" s="63"/>
      <c r="AK1167" s="63"/>
      <c r="AL1167" s="196"/>
      <c r="AM1167" s="196">
        <v>0</v>
      </c>
      <c r="AN1167" s="196"/>
      <c r="AO1167" s="63"/>
      <c r="AP1167" s="63"/>
      <c r="AQ1167" s="63"/>
      <c r="AR1167" s="81"/>
      <c r="AS1167" s="63"/>
      <c r="AT1167" s="81"/>
      <c r="AU1167" s="63"/>
      <c r="AV1167" s="63"/>
      <c r="AW1167" s="63"/>
    </row>
    <row r="1168" spans="1:49" ht="357.75" thickTop="1" thickBot="1" x14ac:dyDescent="0.3">
      <c r="A1168" s="193">
        <v>123</v>
      </c>
      <c r="B1168" s="85" t="s">
        <v>3262</v>
      </c>
      <c r="C1168" s="105" t="s">
        <v>2834</v>
      </c>
      <c r="D1168" s="63" t="s">
        <v>714</v>
      </c>
      <c r="E1168" s="106" t="s">
        <v>2835</v>
      </c>
      <c r="F1168" s="63" t="s">
        <v>52</v>
      </c>
      <c r="G1168" s="63" t="s">
        <v>53</v>
      </c>
      <c r="H1168" s="111" t="s">
        <v>733</v>
      </c>
      <c r="I1168" s="63" t="s">
        <v>710</v>
      </c>
      <c r="J1168" s="63" t="s">
        <v>3183</v>
      </c>
      <c r="K1168" s="106">
        <v>801116</v>
      </c>
      <c r="L1168" s="106" t="s">
        <v>2836</v>
      </c>
      <c r="M1168" s="106" t="s">
        <v>2837</v>
      </c>
      <c r="N1168" s="106" t="s">
        <v>2838</v>
      </c>
      <c r="O1168" s="106" t="s">
        <v>2839</v>
      </c>
      <c r="P1168" s="119" t="s">
        <v>3263</v>
      </c>
      <c r="Q1168" s="198">
        <v>4532000</v>
      </c>
      <c r="R1168" s="63">
        <v>1</v>
      </c>
      <c r="S1168" s="198">
        <f>24926000-2581810-1510667-2231667-291833-755333-2156190-15398500</f>
        <v>0</v>
      </c>
      <c r="T1168" s="112" t="s">
        <v>888</v>
      </c>
      <c r="U1168" s="63" t="s">
        <v>445</v>
      </c>
      <c r="V1168" s="81">
        <v>43296</v>
      </c>
      <c r="W1168" s="199">
        <v>1</v>
      </c>
      <c r="X1168" s="85"/>
      <c r="Y1168" s="81"/>
      <c r="Z1168" s="198"/>
      <c r="AA1168" s="84"/>
      <c r="AB1168" s="63"/>
      <c r="AC1168" s="81"/>
      <c r="AD1168" s="198"/>
      <c r="AE1168" s="198"/>
      <c r="AF1168" s="63"/>
      <c r="AG1168" s="81"/>
      <c r="AH1168" s="196"/>
      <c r="AI1168" s="84"/>
      <c r="AJ1168" s="63"/>
      <c r="AK1168" s="63"/>
      <c r="AL1168" s="196"/>
      <c r="AM1168" s="196">
        <v>0</v>
      </c>
      <c r="AN1168" s="196"/>
      <c r="AO1168" s="63"/>
      <c r="AP1168" s="63"/>
      <c r="AQ1168" s="63"/>
      <c r="AR1168" s="81"/>
      <c r="AS1168" s="63"/>
      <c r="AT1168" s="81"/>
      <c r="AU1168" s="63"/>
      <c r="AV1168" s="63"/>
      <c r="AW1168" s="63"/>
    </row>
    <row r="1169" spans="1:49" ht="357.75" thickTop="1" thickBot="1" x14ac:dyDescent="0.3">
      <c r="A1169" s="193">
        <v>124</v>
      </c>
      <c r="B1169" s="85" t="s">
        <v>3264</v>
      </c>
      <c r="C1169" s="105" t="s">
        <v>2834</v>
      </c>
      <c r="D1169" s="63" t="s">
        <v>714</v>
      </c>
      <c r="E1169" s="106" t="s">
        <v>2835</v>
      </c>
      <c r="F1169" s="63" t="s">
        <v>52</v>
      </c>
      <c r="G1169" s="63" t="s">
        <v>53</v>
      </c>
      <c r="H1169" s="111" t="s">
        <v>733</v>
      </c>
      <c r="I1169" s="63" t="s">
        <v>710</v>
      </c>
      <c r="J1169" s="63" t="s">
        <v>3183</v>
      </c>
      <c r="K1169" s="106">
        <v>801116</v>
      </c>
      <c r="L1169" s="106" t="s">
        <v>2836</v>
      </c>
      <c r="M1169" s="106" t="s">
        <v>2837</v>
      </c>
      <c r="N1169" s="106" t="s">
        <v>2838</v>
      </c>
      <c r="O1169" s="106" t="s">
        <v>2839</v>
      </c>
      <c r="P1169" s="119" t="s">
        <v>3226</v>
      </c>
      <c r="Q1169" s="198">
        <v>1751000</v>
      </c>
      <c r="R1169" s="63">
        <v>1</v>
      </c>
      <c r="S1169" s="198">
        <f>9572133-8755000-817133</f>
        <v>0</v>
      </c>
      <c r="T1169" s="112" t="s">
        <v>888</v>
      </c>
      <c r="U1169" s="63" t="s">
        <v>445</v>
      </c>
      <c r="V1169" s="81">
        <v>43296</v>
      </c>
      <c r="W1169" s="199">
        <v>1</v>
      </c>
      <c r="X1169" s="85"/>
      <c r="Y1169" s="81"/>
      <c r="Z1169" s="198"/>
      <c r="AA1169" s="84"/>
      <c r="AB1169" s="63"/>
      <c r="AC1169" s="81"/>
      <c r="AD1169" s="198"/>
      <c r="AE1169" s="198"/>
      <c r="AF1169" s="63"/>
      <c r="AG1169" s="81"/>
      <c r="AH1169" s="196"/>
      <c r="AI1169" s="84"/>
      <c r="AJ1169" s="63"/>
      <c r="AK1169" s="63"/>
      <c r="AL1169" s="196"/>
      <c r="AM1169" s="196">
        <v>0</v>
      </c>
      <c r="AN1169" s="196"/>
      <c r="AO1169" s="63"/>
      <c r="AP1169" s="63"/>
      <c r="AQ1169" s="63"/>
      <c r="AR1169" s="81"/>
      <c r="AS1169" s="63"/>
      <c r="AT1169" s="81"/>
      <c r="AU1169" s="63"/>
      <c r="AV1169" s="63"/>
      <c r="AW1169" s="63"/>
    </row>
    <row r="1170" spans="1:49" ht="357.75" thickTop="1" thickBot="1" x14ac:dyDescent="0.3">
      <c r="A1170" s="193">
        <v>125</v>
      </c>
      <c r="B1170" s="85" t="s">
        <v>3265</v>
      </c>
      <c r="C1170" s="105" t="s">
        <v>2834</v>
      </c>
      <c r="D1170" s="63" t="s">
        <v>714</v>
      </c>
      <c r="E1170" s="106" t="s">
        <v>2835</v>
      </c>
      <c r="F1170" s="63" t="s">
        <v>52</v>
      </c>
      <c r="G1170" s="63" t="s">
        <v>53</v>
      </c>
      <c r="H1170" s="111" t="s">
        <v>733</v>
      </c>
      <c r="I1170" s="63" t="s">
        <v>710</v>
      </c>
      <c r="J1170" s="63" t="s">
        <v>3183</v>
      </c>
      <c r="K1170" s="106">
        <v>801116</v>
      </c>
      <c r="L1170" s="106" t="s">
        <v>2836</v>
      </c>
      <c r="M1170" s="106" t="s">
        <v>2837</v>
      </c>
      <c r="N1170" s="106" t="s">
        <v>2838</v>
      </c>
      <c r="O1170" s="106" t="s">
        <v>2839</v>
      </c>
      <c r="P1170" s="119" t="s">
        <v>3266</v>
      </c>
      <c r="Q1170" s="198">
        <v>3399000</v>
      </c>
      <c r="R1170" s="63">
        <v>1</v>
      </c>
      <c r="S1170" s="198">
        <f>18694500-3399000-2169867-13125633</f>
        <v>0</v>
      </c>
      <c r="T1170" s="112" t="s">
        <v>888</v>
      </c>
      <c r="U1170" s="63" t="s">
        <v>445</v>
      </c>
      <c r="V1170" s="81">
        <v>43296</v>
      </c>
      <c r="W1170" s="199">
        <v>1</v>
      </c>
      <c r="X1170" s="85"/>
      <c r="Y1170" s="81"/>
      <c r="Z1170" s="198"/>
      <c r="AA1170" s="84"/>
      <c r="AB1170" s="63"/>
      <c r="AC1170" s="81"/>
      <c r="AD1170" s="198"/>
      <c r="AE1170" s="198"/>
      <c r="AF1170" s="63"/>
      <c r="AG1170" s="81"/>
      <c r="AH1170" s="196"/>
      <c r="AI1170" s="84"/>
      <c r="AJ1170" s="63"/>
      <c r="AK1170" s="63"/>
      <c r="AL1170" s="196"/>
      <c r="AM1170" s="196">
        <v>0</v>
      </c>
      <c r="AN1170" s="196"/>
      <c r="AO1170" s="63"/>
      <c r="AP1170" s="63"/>
      <c r="AQ1170" s="63"/>
      <c r="AR1170" s="81"/>
      <c r="AS1170" s="63"/>
      <c r="AT1170" s="81"/>
      <c r="AU1170" s="63"/>
      <c r="AV1170" s="63"/>
      <c r="AW1170" s="63"/>
    </row>
    <row r="1171" spans="1:49" ht="357.75" thickTop="1" thickBot="1" x14ac:dyDescent="0.3">
      <c r="A1171" s="193">
        <v>126</v>
      </c>
      <c r="B1171" s="85" t="s">
        <v>3267</v>
      </c>
      <c r="C1171" s="105" t="s">
        <v>2834</v>
      </c>
      <c r="D1171" s="63" t="s">
        <v>714</v>
      </c>
      <c r="E1171" s="106" t="s">
        <v>2835</v>
      </c>
      <c r="F1171" s="63" t="s">
        <v>52</v>
      </c>
      <c r="G1171" s="63" t="s">
        <v>53</v>
      </c>
      <c r="H1171" s="111" t="s">
        <v>733</v>
      </c>
      <c r="I1171" s="63" t="s">
        <v>710</v>
      </c>
      <c r="J1171" s="63" t="s">
        <v>3183</v>
      </c>
      <c r="K1171" s="106">
        <v>801116</v>
      </c>
      <c r="L1171" s="106" t="s">
        <v>2836</v>
      </c>
      <c r="M1171" s="106" t="s">
        <v>2837</v>
      </c>
      <c r="N1171" s="106" t="s">
        <v>2838</v>
      </c>
      <c r="O1171" s="106" t="s">
        <v>2839</v>
      </c>
      <c r="P1171" s="119" t="s">
        <v>3188</v>
      </c>
      <c r="Q1171" s="198">
        <v>5253000</v>
      </c>
      <c r="R1171" s="63">
        <v>1</v>
      </c>
      <c r="S1171" s="198">
        <f>28940557-1133000-4639367-16995000-6173190</f>
        <v>0</v>
      </c>
      <c r="T1171" s="112" t="s">
        <v>888</v>
      </c>
      <c r="U1171" s="63" t="s">
        <v>445</v>
      </c>
      <c r="V1171" s="81">
        <v>43296</v>
      </c>
      <c r="W1171" s="199">
        <v>1</v>
      </c>
      <c r="X1171" s="85"/>
      <c r="Y1171" s="81"/>
      <c r="Z1171" s="198"/>
      <c r="AA1171" s="84"/>
      <c r="AB1171" s="63"/>
      <c r="AC1171" s="81"/>
      <c r="AD1171" s="198"/>
      <c r="AE1171" s="198"/>
      <c r="AF1171" s="63"/>
      <c r="AG1171" s="81"/>
      <c r="AH1171" s="196"/>
      <c r="AI1171" s="84"/>
      <c r="AJ1171" s="63"/>
      <c r="AK1171" s="63"/>
      <c r="AL1171" s="196"/>
      <c r="AM1171" s="196">
        <v>0</v>
      </c>
      <c r="AN1171" s="196"/>
      <c r="AO1171" s="63"/>
      <c r="AP1171" s="63"/>
      <c r="AQ1171" s="63"/>
      <c r="AR1171" s="81"/>
      <c r="AS1171" s="63"/>
      <c r="AT1171" s="81"/>
      <c r="AU1171" s="63"/>
      <c r="AV1171" s="63"/>
      <c r="AW1171" s="63"/>
    </row>
    <row r="1172" spans="1:49" ht="357.75" thickTop="1" thickBot="1" x14ac:dyDescent="0.3">
      <c r="A1172" s="193">
        <v>127</v>
      </c>
      <c r="B1172" s="85" t="s">
        <v>3268</v>
      </c>
      <c r="C1172" s="105" t="s">
        <v>2834</v>
      </c>
      <c r="D1172" s="63" t="s">
        <v>714</v>
      </c>
      <c r="E1172" s="106" t="s">
        <v>2835</v>
      </c>
      <c r="F1172" s="63" t="s">
        <v>52</v>
      </c>
      <c r="G1172" s="63" t="s">
        <v>53</v>
      </c>
      <c r="H1172" s="111" t="s">
        <v>733</v>
      </c>
      <c r="I1172" s="63" t="s">
        <v>710</v>
      </c>
      <c r="J1172" s="63" t="s">
        <v>3183</v>
      </c>
      <c r="K1172" s="106">
        <v>801116</v>
      </c>
      <c r="L1172" s="106" t="s">
        <v>2836</v>
      </c>
      <c r="M1172" s="106" t="s">
        <v>2837</v>
      </c>
      <c r="N1172" s="106" t="s">
        <v>2838</v>
      </c>
      <c r="O1172" s="106" t="s">
        <v>2839</v>
      </c>
      <c r="P1172" s="111" t="s">
        <v>3269</v>
      </c>
      <c r="Q1172" s="198"/>
      <c r="R1172" s="63">
        <v>1</v>
      </c>
      <c r="S1172" s="198">
        <v>8755000</v>
      </c>
      <c r="T1172" s="112" t="s">
        <v>888</v>
      </c>
      <c r="U1172" s="63" t="s">
        <v>445</v>
      </c>
      <c r="V1172" s="81">
        <v>43293</v>
      </c>
      <c r="W1172" s="199">
        <v>5</v>
      </c>
      <c r="X1172" s="85" t="s">
        <v>3270</v>
      </c>
      <c r="Y1172" s="81">
        <v>43293</v>
      </c>
      <c r="Z1172" s="196">
        <v>8755000</v>
      </c>
      <c r="AA1172" s="84"/>
      <c r="AB1172" s="63">
        <v>1003</v>
      </c>
      <c r="AC1172" s="81">
        <v>43306</v>
      </c>
      <c r="AD1172" s="196">
        <v>8755000</v>
      </c>
      <c r="AE1172" s="198"/>
      <c r="AF1172" s="63">
        <v>2624</v>
      </c>
      <c r="AG1172" s="81">
        <v>43325</v>
      </c>
      <c r="AH1172" s="196">
        <v>8755000</v>
      </c>
      <c r="AI1172" s="84" t="s">
        <v>3271</v>
      </c>
      <c r="AJ1172" s="63">
        <v>480</v>
      </c>
      <c r="AK1172" s="63"/>
      <c r="AL1172" s="196">
        <v>8755000</v>
      </c>
      <c r="AM1172" s="196">
        <f>+VLOOKUP(AF1172,'[2]CRP a 31 Agosto de 2018'!$J$8:$V$2956,13,0)</f>
        <v>0</v>
      </c>
      <c r="AN1172" s="196">
        <f>AL1172-AM1172</f>
        <v>8755000</v>
      </c>
      <c r="AO1172" s="63"/>
      <c r="AP1172" s="63"/>
      <c r="AQ1172" s="63"/>
      <c r="AR1172" s="81"/>
      <c r="AS1172" s="63"/>
      <c r="AT1172" s="81"/>
      <c r="AU1172" s="63"/>
      <c r="AV1172" s="63"/>
      <c r="AW1172" s="63"/>
    </row>
    <row r="1173" spans="1:49" ht="357.75" thickTop="1" thickBot="1" x14ac:dyDescent="0.3">
      <c r="A1173" s="193">
        <v>128</v>
      </c>
      <c r="B1173" s="85" t="s">
        <v>3272</v>
      </c>
      <c r="C1173" s="105" t="s">
        <v>2834</v>
      </c>
      <c r="D1173" s="63" t="s">
        <v>714</v>
      </c>
      <c r="E1173" s="106" t="s">
        <v>2835</v>
      </c>
      <c r="F1173" s="63" t="s">
        <v>52</v>
      </c>
      <c r="G1173" s="63" t="s">
        <v>53</v>
      </c>
      <c r="H1173" s="111" t="s">
        <v>733</v>
      </c>
      <c r="I1173" s="63" t="s">
        <v>710</v>
      </c>
      <c r="J1173" s="63" t="s">
        <v>3183</v>
      </c>
      <c r="K1173" s="106">
        <v>801116</v>
      </c>
      <c r="L1173" s="106" t="s">
        <v>2836</v>
      </c>
      <c r="M1173" s="106" t="s">
        <v>2837</v>
      </c>
      <c r="N1173" s="106" t="s">
        <v>2838</v>
      </c>
      <c r="O1173" s="106" t="s">
        <v>2839</v>
      </c>
      <c r="P1173" s="111" t="s">
        <v>3188</v>
      </c>
      <c r="Q1173" s="198"/>
      <c r="R1173" s="63">
        <v>1</v>
      </c>
      <c r="S1173" s="198">
        <f>29767000+1133000-4120000</f>
        <v>26780000</v>
      </c>
      <c r="T1173" s="112" t="s">
        <v>888</v>
      </c>
      <c r="U1173" s="63" t="s">
        <v>445</v>
      </c>
      <c r="V1173" s="81">
        <v>43293</v>
      </c>
      <c r="W1173" s="199">
        <v>5</v>
      </c>
      <c r="X1173" s="85" t="s">
        <v>3273</v>
      </c>
      <c r="Y1173" s="81" t="s">
        <v>3274</v>
      </c>
      <c r="Z1173" s="198">
        <v>30900000</v>
      </c>
      <c r="AA1173" s="84"/>
      <c r="AB1173" s="63">
        <v>977</v>
      </c>
      <c r="AC1173" s="81">
        <v>43297</v>
      </c>
      <c r="AD1173" s="198">
        <v>30900000</v>
      </c>
      <c r="AE1173" s="198">
        <f>Z1173-AH1173</f>
        <v>4120000</v>
      </c>
      <c r="AF1173" s="63">
        <v>2770</v>
      </c>
      <c r="AG1173" s="81">
        <v>43343</v>
      </c>
      <c r="AH1173" s="196">
        <v>26780000</v>
      </c>
      <c r="AI1173" s="84" t="s">
        <v>3275</v>
      </c>
      <c r="AJ1173" s="63">
        <v>542</v>
      </c>
      <c r="AK1173" s="63"/>
      <c r="AL1173" s="196">
        <v>26780000</v>
      </c>
      <c r="AM1173" s="196">
        <f>+VLOOKUP(AF1173,'[2]CRP a 31 Agosto de 2018'!$J$8:$V$2956,13,0)</f>
        <v>0</v>
      </c>
      <c r="AN1173" s="196">
        <f>AL1173-AM1173</f>
        <v>26780000</v>
      </c>
      <c r="AO1173" s="63"/>
      <c r="AP1173" s="63"/>
      <c r="AQ1173" s="63"/>
      <c r="AR1173" s="81"/>
      <c r="AS1173" s="63"/>
      <c r="AT1173" s="81"/>
      <c r="AU1173" s="63"/>
      <c r="AV1173" s="63"/>
      <c r="AW1173" s="63"/>
    </row>
    <row r="1174" spans="1:49" ht="357.75" thickTop="1" thickBot="1" x14ac:dyDescent="0.3">
      <c r="A1174" s="193">
        <v>129</v>
      </c>
      <c r="B1174" s="85" t="s">
        <v>3276</v>
      </c>
      <c r="C1174" s="105" t="s">
        <v>2834</v>
      </c>
      <c r="D1174" s="63" t="s">
        <v>714</v>
      </c>
      <c r="E1174" s="106" t="s">
        <v>2835</v>
      </c>
      <c r="F1174" s="63" t="s">
        <v>52</v>
      </c>
      <c r="G1174" s="63" t="s">
        <v>53</v>
      </c>
      <c r="H1174" s="111" t="s">
        <v>733</v>
      </c>
      <c r="I1174" s="63" t="s">
        <v>710</v>
      </c>
      <c r="J1174" s="63" t="s">
        <v>3183</v>
      </c>
      <c r="K1174" s="106">
        <v>801116</v>
      </c>
      <c r="L1174" s="106" t="s">
        <v>2836</v>
      </c>
      <c r="M1174" s="106" t="s">
        <v>2837</v>
      </c>
      <c r="N1174" s="106" t="s">
        <v>2838</v>
      </c>
      <c r="O1174" s="106" t="s">
        <v>2839</v>
      </c>
      <c r="P1174" s="111" t="s">
        <v>3266</v>
      </c>
      <c r="Q1174" s="198">
        <v>4532000</v>
      </c>
      <c r="R1174" s="63">
        <v>1</v>
      </c>
      <c r="S1174" s="198">
        <f>+Q1174*5</f>
        <v>22660000</v>
      </c>
      <c r="T1174" s="112" t="s">
        <v>888</v>
      </c>
      <c r="U1174" s="63" t="s">
        <v>445</v>
      </c>
      <c r="V1174" s="81">
        <v>43293</v>
      </c>
      <c r="W1174" s="199">
        <v>5</v>
      </c>
      <c r="X1174" s="85" t="s">
        <v>3277</v>
      </c>
      <c r="Y1174" s="81" t="s">
        <v>3274</v>
      </c>
      <c r="Z1174" s="198">
        <v>22660000</v>
      </c>
      <c r="AA1174" s="84"/>
      <c r="AB1174" s="63">
        <v>978</v>
      </c>
      <c r="AC1174" s="81">
        <v>43297</v>
      </c>
      <c r="AD1174" s="198">
        <v>22660000</v>
      </c>
      <c r="AE1174" s="198"/>
      <c r="AF1174" s="63">
        <v>2588</v>
      </c>
      <c r="AG1174" s="81">
        <v>43315</v>
      </c>
      <c r="AH1174" s="196">
        <v>22660000</v>
      </c>
      <c r="AI1174" s="84" t="s">
        <v>3278</v>
      </c>
      <c r="AJ1174" s="63">
        <v>479</v>
      </c>
      <c r="AK1174" s="63"/>
      <c r="AL1174" s="196">
        <v>22660000</v>
      </c>
      <c r="AM1174" s="196">
        <f>+VLOOKUP(AF1174,'[2]CRP a 31 Agosto de 2018'!$J$8:$V$2956,13,0)</f>
        <v>0</v>
      </c>
      <c r="AN1174" s="196">
        <f>AL1174-AM1174</f>
        <v>22660000</v>
      </c>
      <c r="AO1174" s="63"/>
      <c r="AP1174" s="63"/>
      <c r="AQ1174" s="63"/>
      <c r="AR1174" s="81"/>
      <c r="AS1174" s="63"/>
      <c r="AT1174" s="81"/>
      <c r="AU1174" s="63"/>
      <c r="AV1174" s="63"/>
      <c r="AW1174" s="63"/>
    </row>
    <row r="1175" spans="1:49" ht="357.75" thickTop="1" thickBot="1" x14ac:dyDescent="0.3">
      <c r="A1175" s="193">
        <v>130</v>
      </c>
      <c r="B1175" s="85" t="s">
        <v>3279</v>
      </c>
      <c r="C1175" s="105" t="s">
        <v>2834</v>
      </c>
      <c r="D1175" s="63" t="s">
        <v>714</v>
      </c>
      <c r="E1175" s="106" t="s">
        <v>2835</v>
      </c>
      <c r="F1175" s="63" t="s">
        <v>52</v>
      </c>
      <c r="G1175" s="63" t="s">
        <v>53</v>
      </c>
      <c r="H1175" s="111" t="s">
        <v>733</v>
      </c>
      <c r="I1175" s="63" t="s">
        <v>55</v>
      </c>
      <c r="J1175" s="106" t="s">
        <v>56</v>
      </c>
      <c r="K1175" s="106">
        <v>801116</v>
      </c>
      <c r="L1175" s="106" t="s">
        <v>2836</v>
      </c>
      <c r="M1175" s="106" t="s">
        <v>2837</v>
      </c>
      <c r="N1175" s="106" t="s">
        <v>2838</v>
      </c>
      <c r="O1175" s="106" t="s">
        <v>2839</v>
      </c>
      <c r="P1175" s="111" t="s">
        <v>3280</v>
      </c>
      <c r="Q1175" s="198">
        <f>+S1175/5</f>
        <v>0</v>
      </c>
      <c r="R1175" s="63">
        <v>1</v>
      </c>
      <c r="S1175" s="198">
        <f>15000000+7335000+2848500-15000000-7335000-2848500</f>
        <v>0</v>
      </c>
      <c r="T1175" s="112" t="s">
        <v>888</v>
      </c>
      <c r="U1175" s="63" t="s">
        <v>445</v>
      </c>
      <c r="V1175" s="81">
        <v>43293</v>
      </c>
      <c r="W1175" s="199">
        <v>5</v>
      </c>
      <c r="X1175" s="85" t="s">
        <v>3281</v>
      </c>
      <c r="Y1175" s="81"/>
      <c r="Z1175" s="198"/>
      <c r="AA1175" s="84"/>
      <c r="AB1175" s="63"/>
      <c r="AC1175" s="81"/>
      <c r="AD1175" s="198"/>
      <c r="AE1175" s="198"/>
      <c r="AF1175" s="63"/>
      <c r="AG1175" s="81"/>
      <c r="AH1175" s="196"/>
      <c r="AI1175" s="84"/>
      <c r="AJ1175" s="63"/>
      <c r="AK1175" s="63"/>
      <c r="AL1175" s="196"/>
      <c r="AM1175" s="196">
        <v>0</v>
      </c>
      <c r="AN1175" s="196"/>
      <c r="AO1175" s="63"/>
      <c r="AP1175" s="63"/>
      <c r="AQ1175" s="63" t="s">
        <v>3282</v>
      </c>
      <c r="AR1175" s="81"/>
      <c r="AS1175" s="63"/>
      <c r="AT1175" s="81"/>
      <c r="AU1175" s="63"/>
      <c r="AV1175" s="63"/>
      <c r="AW1175" s="63"/>
    </row>
    <row r="1176" spans="1:49" ht="343.5" thickTop="1" thickBot="1" x14ac:dyDescent="0.3">
      <c r="A1176" s="193">
        <v>131</v>
      </c>
      <c r="B1176" s="85" t="s">
        <v>3283</v>
      </c>
      <c r="C1176" s="105" t="s">
        <v>2834</v>
      </c>
      <c r="D1176" s="63" t="s">
        <v>714</v>
      </c>
      <c r="E1176" s="106" t="s">
        <v>2843</v>
      </c>
      <c r="F1176" s="63" t="s">
        <v>52</v>
      </c>
      <c r="G1176" s="63" t="s">
        <v>53</v>
      </c>
      <c r="H1176" s="111" t="s">
        <v>733</v>
      </c>
      <c r="I1176" s="63" t="s">
        <v>55</v>
      </c>
      <c r="J1176" s="106" t="s">
        <v>56</v>
      </c>
      <c r="K1176" s="106">
        <v>801116</v>
      </c>
      <c r="L1176" s="106" t="s">
        <v>2836</v>
      </c>
      <c r="M1176" s="106" t="s">
        <v>2837</v>
      </c>
      <c r="N1176" s="106" t="s">
        <v>2838</v>
      </c>
      <c r="O1176" s="106" t="s">
        <v>2839</v>
      </c>
      <c r="P1176" s="111" t="s">
        <v>3284</v>
      </c>
      <c r="Q1176" s="198">
        <f t="shared" ref="Q1176:Q1181" si="130">+S1176/W1176</f>
        <v>9800000</v>
      </c>
      <c r="R1176" s="63">
        <v>1</v>
      </c>
      <c r="S1176" s="198">
        <v>49000000</v>
      </c>
      <c r="T1176" s="112" t="s">
        <v>888</v>
      </c>
      <c r="U1176" s="63" t="s">
        <v>445</v>
      </c>
      <c r="V1176" s="81">
        <v>43305</v>
      </c>
      <c r="W1176" s="199">
        <v>5</v>
      </c>
      <c r="X1176" s="85" t="s">
        <v>3285</v>
      </c>
      <c r="Y1176" s="81">
        <v>43306</v>
      </c>
      <c r="Z1176" s="198">
        <v>49000000</v>
      </c>
      <c r="AA1176" s="84"/>
      <c r="AB1176" s="63">
        <v>1007</v>
      </c>
      <c r="AC1176" s="81">
        <v>43308</v>
      </c>
      <c r="AD1176" s="198"/>
      <c r="AE1176" s="198"/>
      <c r="AF1176" s="63">
        <v>2591</v>
      </c>
      <c r="AG1176" s="81">
        <v>43315</v>
      </c>
      <c r="AH1176" s="196">
        <v>49000000</v>
      </c>
      <c r="AI1176" s="84" t="s">
        <v>3286</v>
      </c>
      <c r="AJ1176" s="63">
        <v>481</v>
      </c>
      <c r="AK1176" s="63"/>
      <c r="AL1176" s="196">
        <v>49000000</v>
      </c>
      <c r="AM1176" s="196">
        <f>+VLOOKUP(AF1176,'[2]CRP a 31 Agosto de 2018'!$J$8:$V$2956,13,0)</f>
        <v>0</v>
      </c>
      <c r="AN1176" s="196">
        <f t="shared" ref="AN1176:AN1186" si="131">AL1176-AM1176</f>
        <v>49000000</v>
      </c>
      <c r="AO1176" s="63"/>
      <c r="AP1176" s="63"/>
      <c r="AQ1176" s="63"/>
      <c r="AR1176" s="81"/>
      <c r="AS1176" s="63"/>
      <c r="AT1176" s="81"/>
      <c r="AU1176" s="63"/>
      <c r="AV1176" s="63"/>
      <c r="AW1176" s="63"/>
    </row>
    <row r="1177" spans="1:49" ht="409.6" thickTop="1" thickBot="1" x14ac:dyDescent="0.3">
      <c r="A1177" s="193">
        <v>132</v>
      </c>
      <c r="B1177" s="85" t="s">
        <v>3287</v>
      </c>
      <c r="C1177" s="105" t="s">
        <v>2834</v>
      </c>
      <c r="D1177" s="63" t="s">
        <v>714</v>
      </c>
      <c r="E1177" s="106" t="s">
        <v>2835</v>
      </c>
      <c r="F1177" s="63" t="s">
        <v>52</v>
      </c>
      <c r="G1177" s="63" t="s">
        <v>53</v>
      </c>
      <c r="H1177" s="111" t="s">
        <v>733</v>
      </c>
      <c r="I1177" s="63" t="s">
        <v>55</v>
      </c>
      <c r="J1177" s="106" t="s">
        <v>56</v>
      </c>
      <c r="K1177" s="106">
        <v>801116</v>
      </c>
      <c r="L1177" s="106" t="s">
        <v>2836</v>
      </c>
      <c r="M1177" s="106" t="s">
        <v>2837</v>
      </c>
      <c r="N1177" s="106" t="s">
        <v>2838</v>
      </c>
      <c r="O1177" s="106" t="s">
        <v>2839</v>
      </c>
      <c r="P1177" s="111" t="s">
        <v>3288</v>
      </c>
      <c r="Q1177" s="198">
        <f t="shared" si="130"/>
        <v>6695000</v>
      </c>
      <c r="R1177" s="63">
        <v>1</v>
      </c>
      <c r="S1177" s="198">
        <f>3450000+4950000+3300000+4950000+3450000+4000000+3300000+1273500+4801500</f>
        <v>33475000</v>
      </c>
      <c r="T1177" s="112" t="s">
        <v>888</v>
      </c>
      <c r="U1177" s="63" t="s">
        <v>445</v>
      </c>
      <c r="V1177" s="81">
        <v>43293</v>
      </c>
      <c r="W1177" s="199">
        <v>5</v>
      </c>
      <c r="X1177" s="85" t="s">
        <v>3289</v>
      </c>
      <c r="Y1177" s="81">
        <v>43306</v>
      </c>
      <c r="Z1177" s="198">
        <f>3450000+4950000+3300000+4950000+3450000+4000000+3300000+1273500+4801500</f>
        <v>33475000</v>
      </c>
      <c r="AA1177" s="84"/>
      <c r="AB1177" s="63">
        <v>1006</v>
      </c>
      <c r="AC1177" s="81">
        <v>43308</v>
      </c>
      <c r="AD1177" s="196">
        <v>33475000</v>
      </c>
      <c r="AE1177" s="198"/>
      <c r="AF1177" s="63">
        <v>2596</v>
      </c>
      <c r="AG1177" s="81">
        <v>43315</v>
      </c>
      <c r="AH1177" s="196">
        <v>33475000</v>
      </c>
      <c r="AI1177" s="84" t="s">
        <v>3290</v>
      </c>
      <c r="AJ1177" s="63">
        <v>478</v>
      </c>
      <c r="AK1177" s="63"/>
      <c r="AL1177" s="196">
        <v>33475000</v>
      </c>
      <c r="AM1177" s="196">
        <f>+VLOOKUP(AF1177,'[2]CRP a 31 Agosto de 2018'!$J$8:$V$2956,13,0)</f>
        <v>0</v>
      </c>
      <c r="AN1177" s="196">
        <f t="shared" si="131"/>
        <v>33475000</v>
      </c>
      <c r="AO1177" s="63"/>
      <c r="AP1177" s="63"/>
      <c r="AQ1177" s="63"/>
      <c r="AR1177" s="81"/>
      <c r="AS1177" s="63"/>
      <c r="AT1177" s="81"/>
      <c r="AU1177" s="63"/>
      <c r="AV1177" s="63"/>
      <c r="AW1177" s="63"/>
    </row>
    <row r="1178" spans="1:49" ht="357.75" thickTop="1" thickBot="1" x14ac:dyDescent="0.3">
      <c r="A1178" s="193">
        <v>133</v>
      </c>
      <c r="B1178" s="85" t="s">
        <v>3291</v>
      </c>
      <c r="C1178" s="105" t="s">
        <v>2834</v>
      </c>
      <c r="D1178" s="63" t="s">
        <v>714</v>
      </c>
      <c r="E1178" s="106" t="s">
        <v>2835</v>
      </c>
      <c r="F1178" s="63" t="s">
        <v>52</v>
      </c>
      <c r="G1178" s="63" t="s">
        <v>53</v>
      </c>
      <c r="H1178" s="111" t="s">
        <v>733</v>
      </c>
      <c r="I1178" s="63" t="s">
        <v>710</v>
      </c>
      <c r="J1178" s="63" t="s">
        <v>3183</v>
      </c>
      <c r="K1178" s="106">
        <v>801116</v>
      </c>
      <c r="L1178" s="106" t="s">
        <v>2836</v>
      </c>
      <c r="M1178" s="106" t="s">
        <v>2837</v>
      </c>
      <c r="N1178" s="106" t="s">
        <v>2838</v>
      </c>
      <c r="O1178" s="106" t="s">
        <v>2839</v>
      </c>
      <c r="P1178" s="111" t="s">
        <v>3292</v>
      </c>
      <c r="Q1178" s="198">
        <f t="shared" si="130"/>
        <v>3172400</v>
      </c>
      <c r="R1178" s="63">
        <v>1</v>
      </c>
      <c r="S1178" s="198">
        <f>16995000-1133000</f>
        <v>15862000</v>
      </c>
      <c r="T1178" s="112" t="s">
        <v>888</v>
      </c>
      <c r="U1178" s="63" t="s">
        <v>445</v>
      </c>
      <c r="V1178" s="81">
        <v>43293</v>
      </c>
      <c r="W1178" s="199">
        <v>5</v>
      </c>
      <c r="X1178" s="85" t="s">
        <v>3293</v>
      </c>
      <c r="Y1178" s="81">
        <v>43307</v>
      </c>
      <c r="Z1178" s="198">
        <v>16995000</v>
      </c>
      <c r="AA1178" s="84"/>
      <c r="AB1178" s="63">
        <v>1010</v>
      </c>
      <c r="AC1178" s="81">
        <v>43311</v>
      </c>
      <c r="AD1178" s="198">
        <v>15862000</v>
      </c>
      <c r="AE1178" s="198">
        <f>Z1178-AD1178</f>
        <v>1133000</v>
      </c>
      <c r="AF1178" s="63">
        <v>2654</v>
      </c>
      <c r="AG1178" s="81">
        <v>43326</v>
      </c>
      <c r="AH1178" s="196">
        <v>15862000</v>
      </c>
      <c r="AI1178" s="84" t="s">
        <v>3294</v>
      </c>
      <c r="AJ1178" s="63">
        <v>496</v>
      </c>
      <c r="AK1178" s="63"/>
      <c r="AL1178" s="196">
        <v>15862000</v>
      </c>
      <c r="AM1178" s="196">
        <f>+VLOOKUP(AF1178,'[2]CRP a 31 Agosto de 2018'!$J$8:$V$2956,13,0)</f>
        <v>0</v>
      </c>
      <c r="AN1178" s="196">
        <f t="shared" si="131"/>
        <v>15862000</v>
      </c>
      <c r="AO1178" s="63"/>
      <c r="AP1178" s="63"/>
      <c r="AQ1178" s="63"/>
      <c r="AR1178" s="81"/>
      <c r="AS1178" s="63"/>
      <c r="AT1178" s="81"/>
      <c r="AU1178" s="63"/>
      <c r="AV1178" s="63"/>
      <c r="AW1178" s="63"/>
    </row>
    <row r="1179" spans="1:49" ht="357.75" thickTop="1" thickBot="1" x14ac:dyDescent="0.3">
      <c r="A1179" s="193">
        <v>134</v>
      </c>
      <c r="B1179" s="85" t="s">
        <v>3295</v>
      </c>
      <c r="C1179" s="105" t="s">
        <v>2834</v>
      </c>
      <c r="D1179" s="63" t="s">
        <v>714</v>
      </c>
      <c r="E1179" s="106" t="s">
        <v>2835</v>
      </c>
      <c r="F1179" s="63" t="s">
        <v>52</v>
      </c>
      <c r="G1179" s="63" t="s">
        <v>53</v>
      </c>
      <c r="H1179" s="111" t="s">
        <v>733</v>
      </c>
      <c r="I1179" s="63" t="s">
        <v>710</v>
      </c>
      <c r="J1179" s="63" t="s">
        <v>3183</v>
      </c>
      <c r="K1179" s="106">
        <v>801116</v>
      </c>
      <c r="L1179" s="106" t="s">
        <v>2836</v>
      </c>
      <c r="M1179" s="106" t="s">
        <v>2837</v>
      </c>
      <c r="N1179" s="106" t="s">
        <v>2838</v>
      </c>
      <c r="O1179" s="106" t="s">
        <v>2839</v>
      </c>
      <c r="P1179" s="111" t="s">
        <v>3296</v>
      </c>
      <c r="Q1179" s="198">
        <f t="shared" si="130"/>
        <v>3316600</v>
      </c>
      <c r="R1179" s="63">
        <v>1</v>
      </c>
      <c r="S1179" s="198">
        <f>17765000-1182000</f>
        <v>16583000</v>
      </c>
      <c r="T1179" s="112" t="s">
        <v>888</v>
      </c>
      <c r="U1179" s="63" t="s">
        <v>445</v>
      </c>
      <c r="V1179" s="81">
        <v>43293</v>
      </c>
      <c r="W1179" s="199">
        <v>5</v>
      </c>
      <c r="X1179" s="85" t="s">
        <v>3297</v>
      </c>
      <c r="Y1179" s="81">
        <v>43307</v>
      </c>
      <c r="Z1179" s="198">
        <v>17765000</v>
      </c>
      <c r="AA1179" s="84"/>
      <c r="AB1179" s="63">
        <v>934</v>
      </c>
      <c r="AC1179" s="81">
        <v>43314</v>
      </c>
      <c r="AD1179" s="198">
        <v>16583000</v>
      </c>
      <c r="AE1179" s="198">
        <f>Z1179-AD1179</f>
        <v>1182000</v>
      </c>
      <c r="AF1179" s="63">
        <v>2670</v>
      </c>
      <c r="AG1179" s="81">
        <v>43329</v>
      </c>
      <c r="AH1179" s="196">
        <v>16583000</v>
      </c>
      <c r="AI1179" s="84" t="s">
        <v>3298</v>
      </c>
      <c r="AJ1179" s="63">
        <v>499</v>
      </c>
      <c r="AK1179" s="63"/>
      <c r="AL1179" s="196">
        <v>16583000</v>
      </c>
      <c r="AM1179" s="196">
        <f>+VLOOKUP(AF1179,'[2]CRP a 31 Agosto de 2018'!$J$8:$V$2956,13,0)</f>
        <v>0</v>
      </c>
      <c r="AN1179" s="196">
        <f t="shared" si="131"/>
        <v>16583000</v>
      </c>
      <c r="AO1179" s="63"/>
      <c r="AP1179" s="63"/>
      <c r="AQ1179" s="63"/>
      <c r="AR1179" s="81"/>
      <c r="AS1179" s="63"/>
      <c r="AT1179" s="81"/>
      <c r="AU1179" s="63"/>
      <c r="AV1179" s="63"/>
      <c r="AW1179" s="63"/>
    </row>
    <row r="1180" spans="1:49" ht="357.75" thickTop="1" thickBot="1" x14ac:dyDescent="0.3">
      <c r="A1180" s="193">
        <v>135</v>
      </c>
      <c r="B1180" s="85" t="s">
        <v>3299</v>
      </c>
      <c r="C1180" s="105" t="s">
        <v>2834</v>
      </c>
      <c r="D1180" s="63" t="s">
        <v>714</v>
      </c>
      <c r="E1180" s="106" t="s">
        <v>2835</v>
      </c>
      <c r="F1180" s="63" t="s">
        <v>52</v>
      </c>
      <c r="G1180" s="63" t="s">
        <v>53</v>
      </c>
      <c r="H1180" s="111" t="s">
        <v>733</v>
      </c>
      <c r="I1180" s="63" t="s">
        <v>710</v>
      </c>
      <c r="J1180" s="63" t="s">
        <v>3183</v>
      </c>
      <c r="K1180" s="106">
        <v>801116</v>
      </c>
      <c r="L1180" s="106" t="s">
        <v>2836</v>
      </c>
      <c r="M1180" s="106" t="s">
        <v>2837</v>
      </c>
      <c r="N1180" s="106" t="s">
        <v>2838</v>
      </c>
      <c r="O1180" s="106" t="s">
        <v>2839</v>
      </c>
      <c r="P1180" s="111" t="s">
        <v>3292</v>
      </c>
      <c r="Q1180" s="198">
        <f t="shared" si="130"/>
        <v>3399000</v>
      </c>
      <c r="R1180" s="63">
        <v>1</v>
      </c>
      <c r="S1180" s="198">
        <v>16995000</v>
      </c>
      <c r="T1180" s="112" t="s">
        <v>888</v>
      </c>
      <c r="U1180" s="63" t="s">
        <v>445</v>
      </c>
      <c r="V1180" s="81">
        <v>43293</v>
      </c>
      <c r="W1180" s="199">
        <v>5</v>
      </c>
      <c r="X1180" s="85" t="s">
        <v>3300</v>
      </c>
      <c r="Y1180" s="81">
        <v>43308</v>
      </c>
      <c r="Z1180" s="198">
        <v>16995000</v>
      </c>
      <c r="AA1180" s="84"/>
      <c r="AB1180" s="63">
        <v>1023</v>
      </c>
      <c r="AC1180" s="81">
        <v>43314</v>
      </c>
      <c r="AD1180" s="198">
        <v>16995000</v>
      </c>
      <c r="AE1180" s="63"/>
      <c r="AF1180" s="63">
        <v>2684</v>
      </c>
      <c r="AG1180" s="81">
        <v>43329</v>
      </c>
      <c r="AH1180" s="196">
        <v>16995000</v>
      </c>
      <c r="AI1180" s="84" t="s">
        <v>3301</v>
      </c>
      <c r="AJ1180" s="63">
        <v>498</v>
      </c>
      <c r="AK1180" s="63"/>
      <c r="AL1180" s="196">
        <v>16995000</v>
      </c>
      <c r="AM1180" s="196">
        <f>+VLOOKUP(AF1180,'[2]CRP a 31 Agosto de 2018'!$J$8:$V$2956,13,0)</f>
        <v>0</v>
      </c>
      <c r="AN1180" s="196">
        <f t="shared" si="131"/>
        <v>16995000</v>
      </c>
      <c r="AO1180" s="63"/>
      <c r="AP1180" s="63"/>
      <c r="AQ1180" s="63"/>
      <c r="AR1180" s="81"/>
      <c r="AS1180" s="63"/>
      <c r="AT1180" s="81"/>
      <c r="AU1180" s="63"/>
      <c r="AV1180" s="63"/>
      <c r="AW1180" s="63"/>
    </row>
    <row r="1181" spans="1:49" ht="357.75" thickTop="1" thickBot="1" x14ac:dyDescent="0.3">
      <c r="A1181" s="193">
        <v>136</v>
      </c>
      <c r="B1181" s="85" t="s">
        <v>3302</v>
      </c>
      <c r="C1181" s="105" t="s">
        <v>2834</v>
      </c>
      <c r="D1181" s="63" t="s">
        <v>714</v>
      </c>
      <c r="E1181" s="106" t="s">
        <v>2835</v>
      </c>
      <c r="F1181" s="63" t="s">
        <v>52</v>
      </c>
      <c r="G1181" s="63" t="s">
        <v>53</v>
      </c>
      <c r="H1181" s="111" t="s">
        <v>733</v>
      </c>
      <c r="I1181" s="63" t="s">
        <v>710</v>
      </c>
      <c r="J1181" s="63" t="s">
        <v>3183</v>
      </c>
      <c r="K1181" s="106">
        <v>801116</v>
      </c>
      <c r="L1181" s="106" t="s">
        <v>2836</v>
      </c>
      <c r="M1181" s="106" t="s">
        <v>2837</v>
      </c>
      <c r="N1181" s="106" t="s">
        <v>2838</v>
      </c>
      <c r="O1181" s="106" t="s">
        <v>2839</v>
      </c>
      <c r="P1181" s="111" t="s">
        <v>2914</v>
      </c>
      <c r="Q1181" s="198">
        <f t="shared" si="130"/>
        <v>1517533.4</v>
      </c>
      <c r="R1181" s="63">
        <v>1</v>
      </c>
      <c r="S1181" s="198">
        <f>8755000-1167333</f>
        <v>7587667</v>
      </c>
      <c r="T1181" s="112" t="s">
        <v>888</v>
      </c>
      <c r="U1181" s="63" t="s">
        <v>445</v>
      </c>
      <c r="V1181" s="81">
        <v>43293</v>
      </c>
      <c r="W1181" s="199">
        <v>5</v>
      </c>
      <c r="X1181" s="85" t="s">
        <v>3303</v>
      </c>
      <c r="Y1181" s="81">
        <v>43307</v>
      </c>
      <c r="Z1181" s="198">
        <v>8755000</v>
      </c>
      <c r="AA1181" s="84"/>
      <c r="AB1181" s="63">
        <v>1011</v>
      </c>
      <c r="AC1181" s="81">
        <v>43311</v>
      </c>
      <c r="AD1181" s="198">
        <v>7587667</v>
      </c>
      <c r="AE1181" s="198">
        <f>Z1181-AH1181</f>
        <v>1167333</v>
      </c>
      <c r="AF1181" s="63">
        <v>2765</v>
      </c>
      <c r="AG1181" s="81">
        <v>43342</v>
      </c>
      <c r="AH1181" s="196">
        <v>7587667</v>
      </c>
      <c r="AI1181" s="84" t="s">
        <v>3304</v>
      </c>
      <c r="AJ1181" s="63">
        <v>524</v>
      </c>
      <c r="AK1181" s="63"/>
      <c r="AL1181" s="196">
        <v>7587667</v>
      </c>
      <c r="AM1181" s="196">
        <f>+VLOOKUP(AF1181,'[2]CRP a 31 Agosto de 2018'!$J$8:$V$2956,13,0)</f>
        <v>0</v>
      </c>
      <c r="AN1181" s="196">
        <f t="shared" si="131"/>
        <v>7587667</v>
      </c>
      <c r="AO1181" s="63"/>
      <c r="AP1181" s="63"/>
      <c r="AQ1181" s="63"/>
      <c r="AR1181" s="81"/>
      <c r="AS1181" s="63"/>
      <c r="AT1181" s="81"/>
      <c r="AU1181" s="63"/>
      <c r="AV1181" s="63"/>
      <c r="AW1181" s="63"/>
    </row>
    <row r="1182" spans="1:49" ht="357.75" thickTop="1" thickBot="1" x14ac:dyDescent="0.3">
      <c r="A1182" s="193">
        <v>137</v>
      </c>
      <c r="B1182" s="85" t="s">
        <v>3305</v>
      </c>
      <c r="C1182" s="105" t="s">
        <v>2834</v>
      </c>
      <c r="D1182" s="63" t="s">
        <v>714</v>
      </c>
      <c r="E1182" s="106" t="s">
        <v>2835</v>
      </c>
      <c r="F1182" s="63" t="s">
        <v>52</v>
      </c>
      <c r="G1182" s="63" t="s">
        <v>53</v>
      </c>
      <c r="H1182" s="111" t="s">
        <v>733</v>
      </c>
      <c r="I1182" s="63" t="s">
        <v>710</v>
      </c>
      <c r="J1182" s="63" t="s">
        <v>3183</v>
      </c>
      <c r="K1182" s="106">
        <v>801116</v>
      </c>
      <c r="L1182" s="106" t="s">
        <v>2836</v>
      </c>
      <c r="M1182" s="106" t="s">
        <v>2837</v>
      </c>
      <c r="N1182" s="106" t="s">
        <v>2838</v>
      </c>
      <c r="O1182" s="106" t="s">
        <v>2839</v>
      </c>
      <c r="P1182" s="111" t="s">
        <v>3249</v>
      </c>
      <c r="Q1182" s="198"/>
      <c r="R1182" s="63">
        <v>1</v>
      </c>
      <c r="S1182" s="198">
        <v>17175250</v>
      </c>
      <c r="T1182" s="112" t="s">
        <v>888</v>
      </c>
      <c r="U1182" s="63" t="s">
        <v>445</v>
      </c>
      <c r="V1182" s="81">
        <v>43307</v>
      </c>
      <c r="W1182" s="199"/>
      <c r="X1182" s="85" t="s">
        <v>3306</v>
      </c>
      <c r="Y1182" s="81">
        <v>43311</v>
      </c>
      <c r="Z1182" s="198">
        <v>17175250</v>
      </c>
      <c r="AA1182" s="84"/>
      <c r="AB1182" s="63">
        <v>1014</v>
      </c>
      <c r="AC1182" s="81">
        <v>43312</v>
      </c>
      <c r="AD1182" s="198">
        <v>17175250</v>
      </c>
      <c r="AE1182" s="63"/>
      <c r="AF1182" s="63">
        <v>2673</v>
      </c>
      <c r="AG1182" s="81">
        <v>43329</v>
      </c>
      <c r="AH1182" s="196">
        <v>17175250</v>
      </c>
      <c r="AI1182" s="84" t="s">
        <v>3129</v>
      </c>
      <c r="AJ1182" s="63">
        <v>491</v>
      </c>
      <c r="AK1182" s="63"/>
      <c r="AL1182" s="196">
        <v>17175250</v>
      </c>
      <c r="AM1182" s="196">
        <f>+VLOOKUP(AF1182,'[2]CRP a 31 Agosto de 2018'!$J$8:$V$2956,13,0)</f>
        <v>0</v>
      </c>
      <c r="AN1182" s="196">
        <f t="shared" si="131"/>
        <v>17175250</v>
      </c>
      <c r="AO1182" s="63"/>
      <c r="AP1182" s="63"/>
      <c r="AQ1182" s="63"/>
      <c r="AR1182" s="81"/>
      <c r="AS1182" s="63"/>
      <c r="AT1182" s="81"/>
      <c r="AU1182" s="63"/>
      <c r="AV1182" s="63"/>
      <c r="AW1182" s="63"/>
    </row>
    <row r="1183" spans="1:49" ht="357.75" thickTop="1" thickBot="1" x14ac:dyDescent="0.3">
      <c r="A1183" s="193">
        <v>138</v>
      </c>
      <c r="B1183" s="85" t="s">
        <v>3307</v>
      </c>
      <c r="C1183" s="105" t="s">
        <v>2834</v>
      </c>
      <c r="D1183" s="63" t="s">
        <v>714</v>
      </c>
      <c r="E1183" s="106" t="s">
        <v>2835</v>
      </c>
      <c r="F1183" s="63" t="s">
        <v>52</v>
      </c>
      <c r="G1183" s="63" t="s">
        <v>53</v>
      </c>
      <c r="H1183" s="111" t="s">
        <v>733</v>
      </c>
      <c r="I1183" s="63" t="s">
        <v>710</v>
      </c>
      <c r="J1183" s="63" t="s">
        <v>3183</v>
      </c>
      <c r="K1183" s="106">
        <v>801116</v>
      </c>
      <c r="L1183" s="106" t="s">
        <v>2836</v>
      </c>
      <c r="M1183" s="106" t="s">
        <v>2837</v>
      </c>
      <c r="N1183" s="106" t="s">
        <v>2838</v>
      </c>
      <c r="O1183" s="106" t="s">
        <v>2839</v>
      </c>
      <c r="P1183" s="111" t="s">
        <v>3308</v>
      </c>
      <c r="Q1183" s="198"/>
      <c r="R1183" s="63">
        <v>1</v>
      </c>
      <c r="S1183" s="198">
        <v>8463167</v>
      </c>
      <c r="T1183" s="112" t="s">
        <v>888</v>
      </c>
      <c r="U1183" s="63" t="s">
        <v>445</v>
      </c>
      <c r="V1183" s="81">
        <v>43307</v>
      </c>
      <c r="W1183" s="199"/>
      <c r="X1183" s="85" t="s">
        <v>3309</v>
      </c>
      <c r="Y1183" s="81">
        <v>43311</v>
      </c>
      <c r="Z1183" s="198">
        <v>8463167</v>
      </c>
      <c r="AA1183" s="84"/>
      <c r="AB1183" s="63">
        <v>1015</v>
      </c>
      <c r="AC1183" s="81">
        <v>43312</v>
      </c>
      <c r="AD1183" s="198">
        <v>8463167</v>
      </c>
      <c r="AE1183" s="63"/>
      <c r="AF1183" s="63">
        <v>2672</v>
      </c>
      <c r="AG1183" s="81">
        <v>43329</v>
      </c>
      <c r="AH1183" s="196">
        <v>8463167</v>
      </c>
      <c r="AI1183" s="84" t="s">
        <v>3310</v>
      </c>
      <c r="AJ1183" s="63">
        <v>493</v>
      </c>
      <c r="AK1183" s="63"/>
      <c r="AL1183" s="196">
        <v>8463167</v>
      </c>
      <c r="AM1183" s="196">
        <f>+VLOOKUP(AF1183,'[2]CRP a 31 Agosto de 2018'!$J$8:$V$2956,13,0)</f>
        <v>0</v>
      </c>
      <c r="AN1183" s="196">
        <f t="shared" si="131"/>
        <v>8463167</v>
      </c>
      <c r="AO1183" s="63"/>
      <c r="AP1183" s="63"/>
      <c r="AQ1183" s="63"/>
      <c r="AR1183" s="81"/>
      <c r="AS1183" s="63"/>
      <c r="AT1183" s="81"/>
      <c r="AU1183" s="63"/>
      <c r="AV1183" s="63"/>
      <c r="AW1183" s="63"/>
    </row>
    <row r="1184" spans="1:49" ht="357.75" thickTop="1" thickBot="1" x14ac:dyDescent="0.3">
      <c r="A1184" s="193">
        <v>139</v>
      </c>
      <c r="B1184" s="85" t="s">
        <v>3311</v>
      </c>
      <c r="C1184" s="105" t="s">
        <v>2834</v>
      </c>
      <c r="D1184" s="63" t="s">
        <v>714</v>
      </c>
      <c r="E1184" s="106" t="s">
        <v>2835</v>
      </c>
      <c r="F1184" s="63" t="s">
        <v>52</v>
      </c>
      <c r="G1184" s="63" t="s">
        <v>53</v>
      </c>
      <c r="H1184" s="111" t="s">
        <v>733</v>
      </c>
      <c r="I1184" s="63" t="s">
        <v>710</v>
      </c>
      <c r="J1184" s="63" t="s">
        <v>3183</v>
      </c>
      <c r="K1184" s="106">
        <v>801116</v>
      </c>
      <c r="L1184" s="106" t="s">
        <v>2836</v>
      </c>
      <c r="M1184" s="106" t="s">
        <v>2837</v>
      </c>
      <c r="N1184" s="106" t="s">
        <v>2838</v>
      </c>
      <c r="O1184" s="106" t="s">
        <v>2839</v>
      </c>
      <c r="P1184" s="111" t="s">
        <v>3308</v>
      </c>
      <c r="Q1184" s="198"/>
      <c r="R1184" s="63">
        <v>1</v>
      </c>
      <c r="S1184" s="198">
        <v>8463167</v>
      </c>
      <c r="T1184" s="112" t="s">
        <v>888</v>
      </c>
      <c r="U1184" s="63" t="s">
        <v>445</v>
      </c>
      <c r="V1184" s="81">
        <v>43307</v>
      </c>
      <c r="W1184" s="199"/>
      <c r="X1184" s="85" t="s">
        <v>3312</v>
      </c>
      <c r="Y1184" s="81">
        <v>43311</v>
      </c>
      <c r="Z1184" s="198">
        <v>8463167</v>
      </c>
      <c r="AA1184" s="84"/>
      <c r="AB1184" s="63">
        <v>1018</v>
      </c>
      <c r="AC1184" s="81">
        <v>43313</v>
      </c>
      <c r="AD1184" s="198">
        <v>8463167</v>
      </c>
      <c r="AE1184" s="63"/>
      <c r="AF1184" s="63">
        <v>2725</v>
      </c>
      <c r="AG1184" s="81">
        <v>43335</v>
      </c>
      <c r="AH1184" s="196">
        <v>8463167</v>
      </c>
      <c r="AI1184" s="84" t="s">
        <v>3313</v>
      </c>
      <c r="AJ1184" s="63">
        <v>497</v>
      </c>
      <c r="AK1184" s="63"/>
      <c r="AL1184" s="196">
        <v>8463167</v>
      </c>
      <c r="AM1184" s="196">
        <f>+VLOOKUP(AF1184,'[2]CRP a 31 Agosto de 2018'!$J$8:$V$2956,13,0)</f>
        <v>0</v>
      </c>
      <c r="AN1184" s="196">
        <f t="shared" si="131"/>
        <v>8463167</v>
      </c>
      <c r="AO1184" s="63"/>
      <c r="AP1184" s="63"/>
      <c r="AQ1184" s="63"/>
      <c r="AR1184" s="81"/>
      <c r="AS1184" s="63"/>
      <c r="AT1184" s="81"/>
      <c r="AU1184" s="63"/>
      <c r="AV1184" s="63"/>
      <c r="AW1184" s="63"/>
    </row>
    <row r="1185" spans="1:49" ht="357.75" thickTop="1" thickBot="1" x14ac:dyDescent="0.3">
      <c r="A1185" s="193">
        <v>140</v>
      </c>
      <c r="B1185" s="85" t="s">
        <v>3314</v>
      </c>
      <c r="C1185" s="105" t="s">
        <v>2834</v>
      </c>
      <c r="D1185" s="63" t="s">
        <v>714</v>
      </c>
      <c r="E1185" s="106" t="s">
        <v>2835</v>
      </c>
      <c r="F1185" s="63" t="s">
        <v>52</v>
      </c>
      <c r="G1185" s="63" t="s">
        <v>53</v>
      </c>
      <c r="H1185" s="111" t="s">
        <v>733</v>
      </c>
      <c r="I1185" s="63" t="s">
        <v>710</v>
      </c>
      <c r="J1185" s="63" t="s">
        <v>3183</v>
      </c>
      <c r="K1185" s="106">
        <v>801116</v>
      </c>
      <c r="L1185" s="106" t="s">
        <v>2836</v>
      </c>
      <c r="M1185" s="106" t="s">
        <v>2837</v>
      </c>
      <c r="N1185" s="106" t="s">
        <v>2838</v>
      </c>
      <c r="O1185" s="106" t="s">
        <v>2839</v>
      </c>
      <c r="P1185" s="111" t="s">
        <v>3201</v>
      </c>
      <c r="Q1185" s="198"/>
      <c r="R1185" s="63">
        <v>1</v>
      </c>
      <c r="S1185" s="198">
        <f>21904667-18128000-803783-412000-2560884</f>
        <v>0</v>
      </c>
      <c r="T1185" s="112" t="s">
        <v>888</v>
      </c>
      <c r="U1185" s="63" t="s">
        <v>445</v>
      </c>
      <c r="V1185" s="81">
        <v>43307</v>
      </c>
      <c r="W1185" s="199"/>
      <c r="X1185" s="85" t="s">
        <v>3315</v>
      </c>
      <c r="Y1185" s="81">
        <v>43311</v>
      </c>
      <c r="Z1185" s="198">
        <v>21904667</v>
      </c>
      <c r="AA1185" s="84"/>
      <c r="AB1185" s="63"/>
      <c r="AC1185" s="81"/>
      <c r="AD1185" s="198"/>
      <c r="AE1185" s="63"/>
      <c r="AF1185" s="63"/>
      <c r="AG1185" s="81"/>
      <c r="AH1185" s="196"/>
      <c r="AI1185" s="84"/>
      <c r="AJ1185" s="63"/>
      <c r="AK1185" s="63"/>
      <c r="AL1185" s="196"/>
      <c r="AM1185" s="196">
        <v>0</v>
      </c>
      <c r="AN1185" s="196">
        <f t="shared" si="131"/>
        <v>0</v>
      </c>
      <c r="AO1185" s="63"/>
      <c r="AP1185" s="63"/>
      <c r="AQ1185" s="63"/>
      <c r="AR1185" s="81"/>
      <c r="AS1185" s="63"/>
      <c r="AT1185" s="81"/>
      <c r="AU1185" s="63"/>
      <c r="AV1185" s="63"/>
      <c r="AW1185" s="63"/>
    </row>
    <row r="1186" spans="1:49" ht="357.75" thickTop="1" thickBot="1" x14ac:dyDescent="0.3">
      <c r="A1186" s="193">
        <v>141</v>
      </c>
      <c r="B1186" s="85" t="s">
        <v>3316</v>
      </c>
      <c r="C1186" s="105" t="s">
        <v>2834</v>
      </c>
      <c r="D1186" s="63" t="s">
        <v>714</v>
      </c>
      <c r="E1186" s="106" t="s">
        <v>2835</v>
      </c>
      <c r="F1186" s="63" t="s">
        <v>52</v>
      </c>
      <c r="G1186" s="63" t="s">
        <v>53</v>
      </c>
      <c r="H1186" s="111" t="s">
        <v>733</v>
      </c>
      <c r="I1186" s="63" t="s">
        <v>710</v>
      </c>
      <c r="J1186" s="63" t="s">
        <v>3183</v>
      </c>
      <c r="K1186" s="106">
        <v>801116</v>
      </c>
      <c r="L1186" s="106" t="s">
        <v>2836</v>
      </c>
      <c r="M1186" s="106" t="s">
        <v>2837</v>
      </c>
      <c r="N1186" s="106" t="s">
        <v>2838</v>
      </c>
      <c r="O1186" s="106" t="s">
        <v>2839</v>
      </c>
      <c r="P1186" s="111" t="s">
        <v>3254</v>
      </c>
      <c r="Q1186" s="198"/>
      <c r="R1186" s="63">
        <v>1</v>
      </c>
      <c r="S1186" s="198">
        <v>32359167</v>
      </c>
      <c r="T1186" s="112" t="s">
        <v>888</v>
      </c>
      <c r="U1186" s="63" t="s">
        <v>445</v>
      </c>
      <c r="V1186" s="81">
        <v>43307</v>
      </c>
      <c r="W1186" s="199"/>
      <c r="X1186" s="85" t="s">
        <v>3317</v>
      </c>
      <c r="Y1186" s="81">
        <v>43311</v>
      </c>
      <c r="Z1186" s="196" t="s">
        <v>3318</v>
      </c>
      <c r="AA1186" s="84"/>
      <c r="AB1186" s="63">
        <v>1012</v>
      </c>
      <c r="AC1186" s="81">
        <v>43312</v>
      </c>
      <c r="AD1186" s="198">
        <v>32359167</v>
      </c>
      <c r="AE1186" s="63"/>
      <c r="AF1186" s="63">
        <v>2675</v>
      </c>
      <c r="AG1186" s="81">
        <v>43329</v>
      </c>
      <c r="AH1186" s="196">
        <v>32359167</v>
      </c>
      <c r="AI1186" s="84" t="s">
        <v>3319</v>
      </c>
      <c r="AJ1186" s="63">
        <v>495</v>
      </c>
      <c r="AK1186" s="63"/>
      <c r="AL1186" s="196">
        <v>32359167</v>
      </c>
      <c r="AM1186" s="196">
        <f>+VLOOKUP(AF1186,'[2]CRP a 31 Agosto de 2018'!$J$8:$V$2956,13,0)</f>
        <v>0</v>
      </c>
      <c r="AN1186" s="196">
        <f t="shared" si="131"/>
        <v>32359167</v>
      </c>
      <c r="AO1186" s="63"/>
      <c r="AP1186" s="63"/>
      <c r="AQ1186" s="63"/>
      <c r="AR1186" s="81"/>
      <c r="AS1186" s="63"/>
      <c r="AT1186" s="81"/>
      <c r="AU1186" s="63"/>
      <c r="AV1186" s="63"/>
      <c r="AW1186" s="63"/>
    </row>
    <row r="1187" spans="1:49" ht="357.75" thickTop="1" thickBot="1" x14ac:dyDescent="0.3">
      <c r="A1187" s="193">
        <v>142</v>
      </c>
      <c r="B1187" s="85" t="s">
        <v>3320</v>
      </c>
      <c r="C1187" s="105" t="s">
        <v>2834</v>
      </c>
      <c r="D1187" s="63" t="s">
        <v>714</v>
      </c>
      <c r="E1187" s="106" t="s">
        <v>2835</v>
      </c>
      <c r="F1187" s="63" t="s">
        <v>52</v>
      </c>
      <c r="G1187" s="63" t="s">
        <v>53</v>
      </c>
      <c r="H1187" s="111" t="s">
        <v>733</v>
      </c>
      <c r="I1187" s="63" t="s">
        <v>710</v>
      </c>
      <c r="J1187" s="63" t="s">
        <v>3183</v>
      </c>
      <c r="K1187" s="106">
        <v>801116</v>
      </c>
      <c r="L1187" s="106" t="s">
        <v>2836</v>
      </c>
      <c r="M1187" s="106" t="s">
        <v>2837</v>
      </c>
      <c r="N1187" s="106" t="s">
        <v>2838</v>
      </c>
      <c r="O1187" s="106" t="s">
        <v>2839</v>
      </c>
      <c r="P1187" s="111" t="s">
        <v>3308</v>
      </c>
      <c r="Q1187" s="198"/>
      <c r="R1187" s="63">
        <v>1</v>
      </c>
      <c r="S1187" s="198">
        <f>8463167-1974167</f>
        <v>6489000</v>
      </c>
      <c r="T1187" s="112" t="s">
        <v>888</v>
      </c>
      <c r="U1187" s="63" t="s">
        <v>445</v>
      </c>
      <c r="V1187" s="81">
        <v>43307</v>
      </c>
      <c r="W1187" s="199"/>
      <c r="X1187" s="85" t="s">
        <v>3321</v>
      </c>
      <c r="Y1187" s="81">
        <v>43311</v>
      </c>
      <c r="Z1187" s="198">
        <v>8463167</v>
      </c>
      <c r="AA1187" s="84"/>
      <c r="AB1187" s="63">
        <v>1013</v>
      </c>
      <c r="AC1187" s="81">
        <v>43312</v>
      </c>
      <c r="AD1187" s="198">
        <v>8463167</v>
      </c>
      <c r="AE1187" s="198">
        <f>Z1187-AH1187</f>
        <v>1974167</v>
      </c>
      <c r="AF1187" s="63">
        <v>2744</v>
      </c>
      <c r="AG1187" s="81">
        <v>43336</v>
      </c>
      <c r="AH1187" s="196">
        <v>6489000</v>
      </c>
      <c r="AI1187" s="84" t="s">
        <v>3322</v>
      </c>
      <c r="AJ1187" s="63">
        <v>534</v>
      </c>
      <c r="AK1187" s="63"/>
      <c r="AL1187" s="196">
        <v>6489000</v>
      </c>
      <c r="AM1187" s="196">
        <f>+VLOOKUP(AF1187,'[2]CRP a 31 Agosto de 2018'!$J$8:$V$2956,13,0)</f>
        <v>0</v>
      </c>
      <c r="AN1187" s="196">
        <f>AL1187-AM1187</f>
        <v>6489000</v>
      </c>
      <c r="AO1187" s="63"/>
      <c r="AP1187" s="63"/>
      <c r="AQ1187" s="63"/>
      <c r="AR1187" s="81"/>
      <c r="AS1187" s="63"/>
      <c r="AT1187" s="81"/>
      <c r="AU1187" s="63"/>
      <c r="AV1187" s="63"/>
      <c r="AW1187" s="63"/>
    </row>
    <row r="1188" spans="1:49" ht="357.75" thickTop="1" thickBot="1" x14ac:dyDescent="0.3">
      <c r="A1188" s="193">
        <v>143</v>
      </c>
      <c r="B1188" s="85" t="s">
        <v>3323</v>
      </c>
      <c r="C1188" s="105" t="s">
        <v>2834</v>
      </c>
      <c r="D1188" s="63" t="s">
        <v>714</v>
      </c>
      <c r="E1188" s="106" t="s">
        <v>2835</v>
      </c>
      <c r="F1188" s="63" t="s">
        <v>52</v>
      </c>
      <c r="G1188" s="63" t="s">
        <v>53</v>
      </c>
      <c r="H1188" s="111" t="s">
        <v>733</v>
      </c>
      <c r="I1188" s="63" t="s">
        <v>710</v>
      </c>
      <c r="J1188" s="63" t="s">
        <v>3183</v>
      </c>
      <c r="K1188" s="106">
        <v>801116</v>
      </c>
      <c r="L1188" s="106" t="s">
        <v>2836</v>
      </c>
      <c r="M1188" s="106" t="s">
        <v>2837</v>
      </c>
      <c r="N1188" s="106" t="s">
        <v>2838</v>
      </c>
      <c r="O1188" s="106" t="s">
        <v>2839</v>
      </c>
      <c r="P1188" s="111" t="s">
        <v>3254</v>
      </c>
      <c r="Q1188" s="198"/>
      <c r="R1188" s="63">
        <v>1</v>
      </c>
      <c r="S1188" s="198">
        <v>39826667</v>
      </c>
      <c r="T1188" s="112" t="s">
        <v>888</v>
      </c>
      <c r="U1188" s="63" t="s">
        <v>445</v>
      </c>
      <c r="V1188" s="81">
        <v>43307</v>
      </c>
      <c r="W1188" s="199"/>
      <c r="X1188" s="85" t="s">
        <v>3324</v>
      </c>
      <c r="Y1188" s="81">
        <v>43311</v>
      </c>
      <c r="Z1188" s="196">
        <v>39826667</v>
      </c>
      <c r="AA1188" s="84"/>
      <c r="AB1188" s="63">
        <v>1017</v>
      </c>
      <c r="AC1188" s="81">
        <v>43313</v>
      </c>
      <c r="AD1188" s="198">
        <v>39826667</v>
      </c>
      <c r="AE1188" s="63"/>
      <c r="AF1188" s="63">
        <v>2651</v>
      </c>
      <c r="AG1188" s="81">
        <v>43326</v>
      </c>
      <c r="AH1188" s="196">
        <v>39826667</v>
      </c>
      <c r="AI1188" s="84" t="s">
        <v>3325</v>
      </c>
      <c r="AJ1188" s="63">
        <v>489</v>
      </c>
      <c r="AK1188" s="63"/>
      <c r="AL1188" s="196">
        <v>39826667</v>
      </c>
      <c r="AM1188" s="196">
        <f>+VLOOKUP(AF1188,'[2]CRP a 31 Agosto de 2018'!$J$8:$V$2956,13,0)</f>
        <v>0</v>
      </c>
      <c r="AN1188" s="196">
        <f>AL1188-AM1188</f>
        <v>39826667</v>
      </c>
      <c r="AO1188" s="63"/>
      <c r="AP1188" s="63"/>
      <c r="AQ1188" s="63"/>
      <c r="AR1188" s="81"/>
      <c r="AS1188" s="63"/>
      <c r="AT1188" s="81"/>
      <c r="AU1188" s="63"/>
      <c r="AV1188" s="63"/>
      <c r="AW1188" s="63"/>
    </row>
    <row r="1189" spans="1:49" ht="357.75" thickTop="1" thickBot="1" x14ac:dyDescent="0.3">
      <c r="A1189" s="193">
        <v>144</v>
      </c>
      <c r="B1189" s="85" t="s">
        <v>3326</v>
      </c>
      <c r="C1189" s="105" t="s">
        <v>2834</v>
      </c>
      <c r="D1189" s="63" t="s">
        <v>714</v>
      </c>
      <c r="E1189" s="106" t="s">
        <v>2835</v>
      </c>
      <c r="F1189" s="63" t="s">
        <v>52</v>
      </c>
      <c r="G1189" s="63" t="s">
        <v>53</v>
      </c>
      <c r="H1189" s="111" t="s">
        <v>733</v>
      </c>
      <c r="I1189" s="63" t="s">
        <v>710</v>
      </c>
      <c r="J1189" s="63" t="s">
        <v>3183</v>
      </c>
      <c r="K1189" s="106">
        <v>801116</v>
      </c>
      <c r="L1189" s="106" t="s">
        <v>2836</v>
      </c>
      <c r="M1189" s="106" t="s">
        <v>2837</v>
      </c>
      <c r="N1189" s="106" t="s">
        <v>2838</v>
      </c>
      <c r="O1189" s="106" t="s">
        <v>2839</v>
      </c>
      <c r="P1189" s="111" t="s">
        <v>3327</v>
      </c>
      <c r="Q1189" s="198"/>
      <c r="R1189" s="63">
        <v>1</v>
      </c>
      <c r="S1189" s="198">
        <v>21904667</v>
      </c>
      <c r="T1189" s="112" t="s">
        <v>888</v>
      </c>
      <c r="U1189" s="63" t="s">
        <v>445</v>
      </c>
      <c r="V1189" s="81">
        <v>43307</v>
      </c>
      <c r="W1189" s="199"/>
      <c r="X1189" s="85" t="s">
        <v>3328</v>
      </c>
      <c r="Y1189" s="81">
        <v>43311</v>
      </c>
      <c r="Z1189" s="196">
        <v>21904667</v>
      </c>
      <c r="AA1189" s="84"/>
      <c r="AB1189" s="63">
        <v>1020</v>
      </c>
      <c r="AC1189" s="81" t="s">
        <v>3329</v>
      </c>
      <c r="AD1189" s="198">
        <v>21904667</v>
      </c>
      <c r="AE1189" s="63"/>
      <c r="AF1189" s="63">
        <v>2653</v>
      </c>
      <c r="AG1189" s="81">
        <v>43326</v>
      </c>
      <c r="AH1189" s="196">
        <v>21904667</v>
      </c>
      <c r="AI1189" s="84" t="s">
        <v>3330</v>
      </c>
      <c r="AJ1189" s="63">
        <v>494</v>
      </c>
      <c r="AK1189" s="63"/>
      <c r="AL1189" s="196">
        <v>21904667</v>
      </c>
      <c r="AM1189" s="196">
        <f>+VLOOKUP(AF1189,'[2]CRP a 31 Agosto de 2018'!$J$8:$V$2956,13,0)</f>
        <v>0</v>
      </c>
      <c r="AN1189" s="196">
        <f>AL1189-AM1189</f>
        <v>21904667</v>
      </c>
      <c r="AO1189" s="63"/>
      <c r="AP1189" s="63"/>
      <c r="AQ1189" s="63"/>
      <c r="AR1189" s="81"/>
      <c r="AS1189" s="63"/>
      <c r="AT1189" s="81"/>
      <c r="AU1189" s="63"/>
      <c r="AV1189" s="63"/>
      <c r="AW1189" s="63"/>
    </row>
    <row r="1190" spans="1:49" ht="357.75" thickTop="1" thickBot="1" x14ac:dyDescent="0.3">
      <c r="A1190" s="193">
        <v>145</v>
      </c>
      <c r="B1190" s="85" t="s">
        <v>3331</v>
      </c>
      <c r="C1190" s="120" t="s">
        <v>2834</v>
      </c>
      <c r="D1190" s="111" t="s">
        <v>714</v>
      </c>
      <c r="E1190" s="111" t="s">
        <v>2835</v>
      </c>
      <c r="F1190" s="63" t="s">
        <v>52</v>
      </c>
      <c r="G1190" s="63" t="s">
        <v>53</v>
      </c>
      <c r="H1190" s="111" t="s">
        <v>733</v>
      </c>
      <c r="I1190" s="63" t="s">
        <v>55</v>
      </c>
      <c r="J1190" s="106" t="s">
        <v>56</v>
      </c>
      <c r="K1190" s="63">
        <v>801116</v>
      </c>
      <c r="L1190" s="63" t="s">
        <v>2836</v>
      </c>
      <c r="M1190" s="63" t="s">
        <v>2837</v>
      </c>
      <c r="N1190" s="63" t="s">
        <v>2838</v>
      </c>
      <c r="O1190" s="63" t="s">
        <v>2839</v>
      </c>
      <c r="P1190" s="111" t="s">
        <v>3332</v>
      </c>
      <c r="Q1190" s="198"/>
      <c r="R1190" s="63">
        <v>1</v>
      </c>
      <c r="S1190" s="198">
        <v>15862000</v>
      </c>
      <c r="T1190" s="112" t="s">
        <v>888</v>
      </c>
      <c r="U1190" s="63" t="s">
        <v>445</v>
      </c>
      <c r="V1190" s="81">
        <v>43313</v>
      </c>
      <c r="W1190" s="199"/>
      <c r="X1190" s="85" t="s">
        <v>3333</v>
      </c>
      <c r="Y1190" s="81" t="s">
        <v>3334</v>
      </c>
      <c r="Z1190" s="198">
        <v>15862000</v>
      </c>
      <c r="AA1190" s="84"/>
      <c r="AB1190" s="63">
        <v>1034</v>
      </c>
      <c r="AC1190" s="81">
        <v>43320</v>
      </c>
      <c r="AD1190" s="198">
        <v>15862000</v>
      </c>
      <c r="AE1190" s="63"/>
      <c r="AF1190" s="63">
        <v>2685</v>
      </c>
      <c r="AG1190" s="81">
        <v>43329</v>
      </c>
      <c r="AH1190" s="196">
        <v>15862000</v>
      </c>
      <c r="AI1190" s="84" t="s">
        <v>3335</v>
      </c>
      <c r="AJ1190" s="63">
        <v>502</v>
      </c>
      <c r="AK1190" s="63"/>
      <c r="AL1190" s="196">
        <v>15862000</v>
      </c>
      <c r="AM1190" s="196">
        <f>+VLOOKUP(AF1190,'[2]CRP a 31 Agosto de 2018'!$J$8:$V$2956,13,0)</f>
        <v>0</v>
      </c>
      <c r="AN1190" s="196">
        <f>AL1190-AM1190</f>
        <v>15862000</v>
      </c>
      <c r="AO1190" s="63"/>
      <c r="AP1190" s="63"/>
      <c r="AQ1190" s="63"/>
      <c r="AR1190" s="81"/>
      <c r="AS1190" s="63"/>
      <c r="AT1190" s="81"/>
      <c r="AU1190" s="63"/>
      <c r="AV1190" s="63"/>
      <c r="AW1190" s="63"/>
    </row>
    <row r="1191" spans="1:49" ht="357.75" thickTop="1" thickBot="1" x14ac:dyDescent="0.3">
      <c r="A1191" s="193">
        <v>146</v>
      </c>
      <c r="B1191" s="85" t="s">
        <v>3336</v>
      </c>
      <c r="C1191" s="120" t="s">
        <v>2834</v>
      </c>
      <c r="D1191" s="111" t="s">
        <v>714</v>
      </c>
      <c r="E1191" s="111" t="s">
        <v>2835</v>
      </c>
      <c r="F1191" s="63" t="s">
        <v>52</v>
      </c>
      <c r="G1191" s="63" t="s">
        <v>53</v>
      </c>
      <c r="H1191" s="111" t="s">
        <v>733</v>
      </c>
      <c r="I1191" s="63" t="s">
        <v>55</v>
      </c>
      <c r="J1191" s="106" t="s">
        <v>56</v>
      </c>
      <c r="K1191" s="63">
        <v>801116</v>
      </c>
      <c r="L1191" s="63" t="s">
        <v>2836</v>
      </c>
      <c r="M1191" s="63" t="s">
        <v>2837</v>
      </c>
      <c r="N1191" s="63" t="s">
        <v>2838</v>
      </c>
      <c r="O1191" s="63" t="s">
        <v>2839</v>
      </c>
      <c r="P1191" s="111" t="s">
        <v>3280</v>
      </c>
      <c r="Q1191" s="198"/>
      <c r="R1191" s="63">
        <v>1</v>
      </c>
      <c r="S1191" s="198">
        <f>15000000+7335000+3656167+1145333+1258333+2848500</f>
        <v>31243333</v>
      </c>
      <c r="T1191" s="112" t="s">
        <v>888</v>
      </c>
      <c r="U1191" s="63" t="s">
        <v>445</v>
      </c>
      <c r="V1191" s="81">
        <v>43313</v>
      </c>
      <c r="W1191" s="199"/>
      <c r="X1191" s="85" t="s">
        <v>3337</v>
      </c>
      <c r="Y1191" s="81" t="s">
        <v>3334</v>
      </c>
      <c r="Z1191" s="198">
        <f>15000000+7335000+3656167+1145333+1258333+2848500</f>
        <v>31243333</v>
      </c>
      <c r="AA1191" s="84"/>
      <c r="AB1191" s="63">
        <v>1033</v>
      </c>
      <c r="AC1191" s="81">
        <v>43320</v>
      </c>
      <c r="AD1191" s="198">
        <v>31243333</v>
      </c>
      <c r="AE1191" s="63"/>
      <c r="AF1191" s="63">
        <v>2681</v>
      </c>
      <c r="AG1191" s="81">
        <v>43329</v>
      </c>
      <c r="AH1191" s="196">
        <v>31243333</v>
      </c>
      <c r="AI1191" s="84" t="s">
        <v>3338</v>
      </c>
      <c r="AJ1191" s="63">
        <v>501</v>
      </c>
      <c r="AK1191" s="63"/>
      <c r="AL1191" s="196">
        <v>31243333</v>
      </c>
      <c r="AM1191" s="196">
        <f>+VLOOKUP(AF1191,'[2]CRP a 31 Agosto de 2018'!$J$8:$V$2956,13,0)</f>
        <v>0</v>
      </c>
      <c r="AN1191" s="196">
        <f>AL1191-AM1191</f>
        <v>31243333</v>
      </c>
      <c r="AO1191" s="63"/>
      <c r="AP1191" s="63"/>
      <c r="AQ1191" s="63"/>
      <c r="AR1191" s="81"/>
      <c r="AS1191" s="63"/>
      <c r="AT1191" s="81"/>
      <c r="AU1191" s="63"/>
      <c r="AV1191" s="63"/>
      <c r="AW1191" s="63"/>
    </row>
    <row r="1192" spans="1:49" ht="357.75" thickTop="1" thickBot="1" x14ac:dyDescent="0.3">
      <c r="A1192" s="193">
        <v>147</v>
      </c>
      <c r="B1192" s="85" t="s">
        <v>3339</v>
      </c>
      <c r="C1192" s="120" t="s">
        <v>2834</v>
      </c>
      <c r="D1192" s="111" t="s">
        <v>714</v>
      </c>
      <c r="E1192" s="111" t="s">
        <v>2835</v>
      </c>
      <c r="F1192" s="63" t="s">
        <v>52</v>
      </c>
      <c r="G1192" s="63" t="s">
        <v>53</v>
      </c>
      <c r="H1192" s="111" t="s">
        <v>733</v>
      </c>
      <c r="I1192" s="63" t="s">
        <v>710</v>
      </c>
      <c r="J1192" s="106" t="s">
        <v>1046</v>
      </c>
      <c r="K1192" s="63">
        <v>801116</v>
      </c>
      <c r="L1192" s="63" t="s">
        <v>2836</v>
      </c>
      <c r="M1192" s="63" t="s">
        <v>2837</v>
      </c>
      <c r="N1192" s="63" t="s">
        <v>2838</v>
      </c>
      <c r="O1192" s="63" t="s">
        <v>2839</v>
      </c>
      <c r="P1192" s="111" t="s">
        <v>3332</v>
      </c>
      <c r="Q1192" s="198">
        <v>3553000</v>
      </c>
      <c r="R1192" s="63">
        <v>4</v>
      </c>
      <c r="S1192" s="198">
        <f>63954000-13762517-13307600-16480000-10197000-10206883</f>
        <v>0</v>
      </c>
      <c r="T1192" s="112" t="s">
        <v>888</v>
      </c>
      <c r="U1192" s="63" t="s">
        <v>445</v>
      </c>
      <c r="V1192" s="81">
        <v>43322</v>
      </c>
      <c r="W1192" s="199"/>
      <c r="X1192" s="85"/>
      <c r="Y1192" s="81"/>
      <c r="Z1192" s="198"/>
      <c r="AA1192" s="84"/>
      <c r="AB1192" s="63"/>
      <c r="AC1192" s="81"/>
      <c r="AD1192" s="198"/>
      <c r="AE1192" s="63"/>
      <c r="AF1192" s="63"/>
      <c r="AG1192" s="81"/>
      <c r="AH1192" s="196"/>
      <c r="AI1192" s="84"/>
      <c r="AJ1192" s="63"/>
      <c r="AK1192" s="63"/>
      <c r="AL1192" s="196"/>
      <c r="AM1192" s="196">
        <v>0</v>
      </c>
      <c r="AN1192" s="196"/>
      <c r="AO1192" s="63"/>
      <c r="AP1192" s="63"/>
      <c r="AQ1192" s="63"/>
      <c r="AR1192" s="81"/>
      <c r="AS1192" s="63"/>
      <c r="AT1192" s="81"/>
      <c r="AU1192" s="63"/>
      <c r="AV1192" s="63"/>
      <c r="AW1192" s="63"/>
    </row>
    <row r="1193" spans="1:49" ht="357.75" thickTop="1" thickBot="1" x14ac:dyDescent="0.3">
      <c r="A1193" s="193">
        <v>148</v>
      </c>
      <c r="B1193" s="85" t="s">
        <v>3340</v>
      </c>
      <c r="C1193" s="120" t="s">
        <v>2834</v>
      </c>
      <c r="D1193" s="111" t="s">
        <v>714</v>
      </c>
      <c r="E1193" s="111" t="s">
        <v>2835</v>
      </c>
      <c r="F1193" s="63" t="s">
        <v>52</v>
      </c>
      <c r="G1193" s="63" t="s">
        <v>53</v>
      </c>
      <c r="H1193" s="111" t="s">
        <v>733</v>
      </c>
      <c r="I1193" s="63" t="s">
        <v>710</v>
      </c>
      <c r="J1193" s="63" t="s">
        <v>1046</v>
      </c>
      <c r="K1193" s="63">
        <v>801116</v>
      </c>
      <c r="L1193" s="63" t="s">
        <v>2836</v>
      </c>
      <c r="M1193" s="63" t="s">
        <v>2837</v>
      </c>
      <c r="N1193" s="63" t="s">
        <v>2838</v>
      </c>
      <c r="O1193" s="63" t="s">
        <v>2839</v>
      </c>
      <c r="P1193" s="111" t="s">
        <v>3212</v>
      </c>
      <c r="Q1193" s="198">
        <v>4120000</v>
      </c>
      <c r="R1193" s="63">
        <v>6</v>
      </c>
      <c r="S1193" s="198">
        <f>111240000-20394000-29011667-21825700-17853333-22155300</f>
        <v>0</v>
      </c>
      <c r="T1193" s="112" t="s">
        <v>888</v>
      </c>
      <c r="U1193" s="63" t="s">
        <v>445</v>
      </c>
      <c r="V1193" s="81">
        <v>43322</v>
      </c>
      <c r="W1193" s="199"/>
      <c r="X1193" s="85"/>
      <c r="Y1193" s="81"/>
      <c r="Z1193" s="198"/>
      <c r="AA1193" s="84"/>
      <c r="AB1193" s="63"/>
      <c r="AC1193" s="81"/>
      <c r="AD1193" s="198"/>
      <c r="AE1193" s="63"/>
      <c r="AF1193" s="63"/>
      <c r="AG1193" s="81"/>
      <c r="AH1193" s="196"/>
      <c r="AI1193" s="84"/>
      <c r="AJ1193" s="63"/>
      <c r="AK1193" s="63"/>
      <c r="AL1193" s="196"/>
      <c r="AM1193" s="196">
        <v>0</v>
      </c>
      <c r="AN1193" s="196"/>
      <c r="AO1193" s="63"/>
      <c r="AP1193" s="63"/>
      <c r="AQ1193" s="63"/>
      <c r="AR1193" s="81"/>
      <c r="AS1193" s="63"/>
      <c r="AT1193" s="81"/>
      <c r="AU1193" s="63"/>
      <c r="AV1193" s="63"/>
      <c r="AW1193" s="63"/>
    </row>
    <row r="1194" spans="1:49" ht="357.75" thickTop="1" thickBot="1" x14ac:dyDescent="0.3">
      <c r="A1194" s="193">
        <v>149</v>
      </c>
      <c r="B1194" s="85" t="s">
        <v>3341</v>
      </c>
      <c r="C1194" s="120" t="s">
        <v>2834</v>
      </c>
      <c r="D1194" s="111" t="s">
        <v>714</v>
      </c>
      <c r="E1194" s="111" t="s">
        <v>2835</v>
      </c>
      <c r="F1194" s="63" t="s">
        <v>52</v>
      </c>
      <c r="G1194" s="63" t="s">
        <v>53</v>
      </c>
      <c r="H1194" s="111" t="s">
        <v>733</v>
      </c>
      <c r="I1194" s="63" t="s">
        <v>710</v>
      </c>
      <c r="J1194" s="63" t="s">
        <v>1046</v>
      </c>
      <c r="K1194" s="63">
        <v>801116</v>
      </c>
      <c r="L1194" s="63" t="s">
        <v>2836</v>
      </c>
      <c r="M1194" s="63" t="s">
        <v>2837</v>
      </c>
      <c r="N1194" s="63" t="s">
        <v>2838</v>
      </c>
      <c r="O1194" s="63" t="s">
        <v>2839</v>
      </c>
      <c r="P1194" s="111" t="s">
        <v>3342</v>
      </c>
      <c r="Q1194" s="198">
        <v>3553500</v>
      </c>
      <c r="R1194" s="63">
        <v>1</v>
      </c>
      <c r="S1194" s="198">
        <f>15990750-607700-14416567-966483</f>
        <v>0</v>
      </c>
      <c r="T1194" s="112" t="s">
        <v>888</v>
      </c>
      <c r="U1194" s="63" t="s">
        <v>445</v>
      </c>
      <c r="V1194" s="81">
        <v>43322</v>
      </c>
      <c r="W1194" s="199"/>
      <c r="X1194" s="85"/>
      <c r="Y1194" s="81"/>
      <c r="Z1194" s="198"/>
      <c r="AA1194" s="84"/>
      <c r="AB1194" s="63"/>
      <c r="AC1194" s="81"/>
      <c r="AD1194" s="198"/>
      <c r="AE1194" s="63"/>
      <c r="AF1194" s="63"/>
      <c r="AG1194" s="81"/>
      <c r="AH1194" s="196"/>
      <c r="AI1194" s="84"/>
      <c r="AJ1194" s="63"/>
      <c r="AK1194" s="63"/>
      <c r="AL1194" s="196"/>
      <c r="AM1194" s="196">
        <v>0</v>
      </c>
      <c r="AN1194" s="196"/>
      <c r="AO1194" s="63"/>
      <c r="AP1194" s="63"/>
      <c r="AQ1194" s="63"/>
      <c r="AR1194" s="81"/>
      <c r="AS1194" s="63"/>
      <c r="AT1194" s="81"/>
      <c r="AU1194" s="63"/>
      <c r="AV1194" s="63"/>
      <c r="AW1194" s="63"/>
    </row>
    <row r="1195" spans="1:49" ht="357.75" thickTop="1" thickBot="1" x14ac:dyDescent="0.3">
      <c r="A1195" s="193">
        <v>150</v>
      </c>
      <c r="B1195" s="85" t="s">
        <v>3343</v>
      </c>
      <c r="C1195" s="120" t="s">
        <v>2834</v>
      </c>
      <c r="D1195" s="111" t="s">
        <v>714</v>
      </c>
      <c r="E1195" s="111" t="s">
        <v>2835</v>
      </c>
      <c r="F1195" s="63" t="s">
        <v>52</v>
      </c>
      <c r="G1195" s="63" t="s">
        <v>53</v>
      </c>
      <c r="H1195" s="111" t="s">
        <v>733</v>
      </c>
      <c r="I1195" s="63" t="s">
        <v>710</v>
      </c>
      <c r="J1195" s="106" t="s">
        <v>1046</v>
      </c>
      <c r="K1195" s="63">
        <v>801116</v>
      </c>
      <c r="L1195" s="63" t="s">
        <v>2836</v>
      </c>
      <c r="M1195" s="63" t="s">
        <v>2837</v>
      </c>
      <c r="N1195" s="63" t="s">
        <v>2838</v>
      </c>
      <c r="O1195" s="63" t="s">
        <v>2839</v>
      </c>
      <c r="P1195" s="111" t="s">
        <v>3344</v>
      </c>
      <c r="Q1195" s="198">
        <v>1448028</v>
      </c>
      <c r="R1195" s="63">
        <v>2</v>
      </c>
      <c r="S1195" s="198">
        <f>13032250-10634750-2060000-337500</f>
        <v>0</v>
      </c>
      <c r="T1195" s="112" t="s">
        <v>888</v>
      </c>
      <c r="U1195" s="63" t="s">
        <v>445</v>
      </c>
      <c r="V1195" s="81">
        <v>43322</v>
      </c>
      <c r="W1195" s="199"/>
      <c r="X1195" s="85"/>
      <c r="Y1195" s="81"/>
      <c r="Z1195" s="198"/>
      <c r="AA1195" s="84"/>
      <c r="AB1195" s="63"/>
      <c r="AC1195" s="81"/>
      <c r="AD1195" s="198"/>
      <c r="AE1195" s="63"/>
      <c r="AF1195" s="63"/>
      <c r="AG1195" s="81"/>
      <c r="AH1195" s="196"/>
      <c r="AI1195" s="84"/>
      <c r="AJ1195" s="63"/>
      <c r="AK1195" s="63"/>
      <c r="AL1195" s="196"/>
      <c r="AM1195" s="196">
        <v>0</v>
      </c>
      <c r="AN1195" s="196"/>
      <c r="AO1195" s="63"/>
      <c r="AP1195" s="63"/>
      <c r="AQ1195" s="63"/>
      <c r="AR1195" s="81"/>
      <c r="AS1195" s="63"/>
      <c r="AT1195" s="81"/>
      <c r="AU1195" s="63"/>
      <c r="AV1195" s="63"/>
      <c r="AW1195" s="63"/>
    </row>
    <row r="1196" spans="1:49" ht="357.75" thickTop="1" thickBot="1" x14ac:dyDescent="0.3">
      <c r="A1196" s="193">
        <v>151</v>
      </c>
      <c r="B1196" s="85" t="s">
        <v>3345</v>
      </c>
      <c r="C1196" s="120" t="s">
        <v>2834</v>
      </c>
      <c r="D1196" s="111" t="s">
        <v>714</v>
      </c>
      <c r="E1196" s="111" t="s">
        <v>2835</v>
      </c>
      <c r="F1196" s="63" t="s">
        <v>52</v>
      </c>
      <c r="G1196" s="63" t="s">
        <v>53</v>
      </c>
      <c r="H1196" s="111" t="s">
        <v>733</v>
      </c>
      <c r="I1196" s="63" t="s">
        <v>710</v>
      </c>
      <c r="J1196" s="106" t="s">
        <v>1046</v>
      </c>
      <c r="K1196" s="63">
        <v>801116</v>
      </c>
      <c r="L1196" s="63" t="s">
        <v>2836</v>
      </c>
      <c r="M1196" s="63" t="s">
        <v>2837</v>
      </c>
      <c r="N1196" s="63" t="s">
        <v>2838</v>
      </c>
      <c r="O1196" s="63" t="s">
        <v>2839</v>
      </c>
      <c r="P1196" s="111" t="s">
        <v>3266</v>
      </c>
      <c r="Q1196" s="198">
        <f t="shared" ref="Q1196:Q1203" si="132">S1196/W1196</f>
        <v>4532000</v>
      </c>
      <c r="R1196" s="63">
        <v>1</v>
      </c>
      <c r="S1196" s="198">
        <v>20394000</v>
      </c>
      <c r="T1196" s="112" t="s">
        <v>888</v>
      </c>
      <c r="U1196" s="63" t="s">
        <v>445</v>
      </c>
      <c r="V1196" s="81">
        <v>43322</v>
      </c>
      <c r="W1196" s="199">
        <v>4.5</v>
      </c>
      <c r="X1196" s="85" t="s">
        <v>3346</v>
      </c>
      <c r="Y1196" s="81">
        <v>43326</v>
      </c>
      <c r="Z1196" s="198">
        <v>20394000</v>
      </c>
      <c r="AA1196" s="84"/>
      <c r="AB1196" s="63">
        <v>1069</v>
      </c>
      <c r="AC1196" s="81">
        <v>43328</v>
      </c>
      <c r="AD1196" s="198">
        <v>20394000</v>
      </c>
      <c r="AE1196" s="63"/>
      <c r="AF1196" s="63">
        <v>2737</v>
      </c>
      <c r="AG1196" s="81">
        <v>43336</v>
      </c>
      <c r="AH1196" s="196">
        <v>20394000</v>
      </c>
      <c r="AI1196" s="84" t="s">
        <v>3347</v>
      </c>
      <c r="AJ1196" s="63">
        <v>530</v>
      </c>
      <c r="AK1196" s="63"/>
      <c r="AL1196" s="196">
        <v>20394000</v>
      </c>
      <c r="AM1196" s="196">
        <f>+VLOOKUP(AF1196,'[2]CRP a 31 Agosto de 2018'!$J$8:$V$2956,13,0)</f>
        <v>0</v>
      </c>
      <c r="AN1196" s="196">
        <f>AL1196-AM1196</f>
        <v>20394000</v>
      </c>
      <c r="AO1196" s="63"/>
      <c r="AP1196" s="63"/>
      <c r="AQ1196" s="63"/>
      <c r="AR1196" s="81"/>
      <c r="AS1196" s="63"/>
      <c r="AT1196" s="81"/>
      <c r="AU1196" s="63"/>
      <c r="AV1196" s="63"/>
      <c r="AW1196" s="63"/>
    </row>
    <row r="1197" spans="1:49" ht="357.75" thickTop="1" thickBot="1" x14ac:dyDescent="0.3">
      <c r="A1197" s="193">
        <v>152</v>
      </c>
      <c r="B1197" s="85" t="s">
        <v>3348</v>
      </c>
      <c r="C1197" s="120" t="s">
        <v>2834</v>
      </c>
      <c r="D1197" s="111" t="s">
        <v>714</v>
      </c>
      <c r="E1197" s="111" t="s">
        <v>2835</v>
      </c>
      <c r="F1197" s="63" t="s">
        <v>52</v>
      </c>
      <c r="G1197" s="63" t="s">
        <v>53</v>
      </c>
      <c r="H1197" s="111" t="s">
        <v>733</v>
      </c>
      <c r="I1197" s="63" t="s">
        <v>710</v>
      </c>
      <c r="J1197" s="106" t="s">
        <v>3183</v>
      </c>
      <c r="K1197" s="63">
        <v>801116</v>
      </c>
      <c r="L1197" s="63" t="s">
        <v>2836</v>
      </c>
      <c r="M1197" s="63" t="s">
        <v>2837</v>
      </c>
      <c r="N1197" s="63" t="s">
        <v>2838</v>
      </c>
      <c r="O1197" s="63" t="s">
        <v>2839</v>
      </c>
      <c r="P1197" s="111" t="s">
        <v>3201</v>
      </c>
      <c r="Q1197" s="198">
        <f t="shared" si="132"/>
        <v>4120000.2400000188</v>
      </c>
      <c r="R1197" s="63">
        <v>1</v>
      </c>
      <c r="S1197" s="198">
        <v>17853333</v>
      </c>
      <c r="T1197" s="112" t="s">
        <v>888</v>
      </c>
      <c r="U1197" s="63" t="s">
        <v>445</v>
      </c>
      <c r="V1197" s="81">
        <v>43322</v>
      </c>
      <c r="W1197" s="199">
        <v>4.3333329999999997</v>
      </c>
      <c r="X1197" s="85" t="s">
        <v>3349</v>
      </c>
      <c r="Y1197" s="81"/>
      <c r="Z1197" s="198">
        <v>17853333</v>
      </c>
      <c r="AA1197" s="84"/>
      <c r="AB1197" s="63"/>
      <c r="AC1197" s="81"/>
      <c r="AD1197" s="198"/>
      <c r="AE1197" s="63"/>
      <c r="AF1197" s="63"/>
      <c r="AG1197" s="81"/>
      <c r="AH1197" s="196"/>
      <c r="AI1197" s="84"/>
      <c r="AJ1197" s="63"/>
      <c r="AK1197" s="63"/>
      <c r="AL1197" s="196"/>
      <c r="AM1197" s="196">
        <v>0</v>
      </c>
      <c r="AN1197" s="196"/>
      <c r="AO1197" s="63"/>
      <c r="AP1197" s="63"/>
      <c r="AQ1197" s="63"/>
      <c r="AR1197" s="81"/>
      <c r="AS1197" s="63"/>
      <c r="AT1197" s="81"/>
      <c r="AU1197" s="63"/>
      <c r="AV1197" s="63"/>
      <c r="AW1197" s="63"/>
    </row>
    <row r="1198" spans="1:49" ht="300.75" thickTop="1" thickBot="1" x14ac:dyDescent="0.3">
      <c r="A1198" s="193">
        <v>153</v>
      </c>
      <c r="B1198" s="85" t="s">
        <v>3350</v>
      </c>
      <c r="C1198" s="120" t="s">
        <v>2834</v>
      </c>
      <c r="D1198" s="111" t="s">
        <v>714</v>
      </c>
      <c r="E1198" s="111" t="s">
        <v>2843</v>
      </c>
      <c r="F1198" s="63" t="s">
        <v>52</v>
      </c>
      <c r="G1198" s="63" t="s">
        <v>53</v>
      </c>
      <c r="H1198" s="111" t="s">
        <v>733</v>
      </c>
      <c r="I1198" s="63" t="s">
        <v>55</v>
      </c>
      <c r="J1198" s="106" t="s">
        <v>56</v>
      </c>
      <c r="K1198" s="63">
        <v>801116</v>
      </c>
      <c r="L1198" s="63" t="s">
        <v>2836</v>
      </c>
      <c r="M1198" s="63" t="s">
        <v>2837</v>
      </c>
      <c r="N1198" s="63" t="s">
        <v>2838</v>
      </c>
      <c r="O1198" s="63" t="s">
        <v>2839</v>
      </c>
      <c r="P1198" s="111" t="s">
        <v>3344</v>
      </c>
      <c r="Q1198" s="198">
        <f t="shared" si="132"/>
        <v>2472000.190153861</v>
      </c>
      <c r="R1198" s="63">
        <v>1</v>
      </c>
      <c r="S1198" s="198">
        <v>10712000</v>
      </c>
      <c r="T1198" s="112" t="s">
        <v>888</v>
      </c>
      <c r="U1198" s="63" t="s">
        <v>445</v>
      </c>
      <c r="V1198" s="81">
        <v>43322</v>
      </c>
      <c r="W1198" s="199">
        <v>4.3333329999999997</v>
      </c>
      <c r="X1198" s="85" t="s">
        <v>3351</v>
      </c>
      <c r="Y1198" s="81"/>
      <c r="Z1198" s="198">
        <v>10712000</v>
      </c>
      <c r="AA1198" s="84"/>
      <c r="AB1198" s="63"/>
      <c r="AC1198" s="81"/>
      <c r="AD1198" s="198"/>
      <c r="AE1198" s="63"/>
      <c r="AF1198" s="63"/>
      <c r="AG1198" s="81"/>
      <c r="AH1198" s="196"/>
      <c r="AI1198" s="84"/>
      <c r="AJ1198" s="63"/>
      <c r="AK1198" s="63"/>
      <c r="AL1198" s="196"/>
      <c r="AM1198" s="196">
        <v>0</v>
      </c>
      <c r="AN1198" s="196"/>
      <c r="AO1198" s="63"/>
      <c r="AP1198" s="63"/>
      <c r="AQ1198" s="63"/>
      <c r="AR1198" s="81"/>
      <c r="AS1198" s="63"/>
      <c r="AT1198" s="81"/>
      <c r="AU1198" s="63"/>
      <c r="AV1198" s="63"/>
      <c r="AW1198" s="63"/>
    </row>
    <row r="1199" spans="1:49" ht="357.75" thickTop="1" thickBot="1" x14ac:dyDescent="0.3">
      <c r="A1199" s="193">
        <v>154</v>
      </c>
      <c r="B1199" s="85" t="s">
        <v>3352</v>
      </c>
      <c r="C1199" s="120" t="s">
        <v>2834</v>
      </c>
      <c r="D1199" s="111" t="s">
        <v>714</v>
      </c>
      <c r="E1199" s="111" t="s">
        <v>2835</v>
      </c>
      <c r="F1199" s="63" t="s">
        <v>52</v>
      </c>
      <c r="G1199" s="63" t="s">
        <v>53</v>
      </c>
      <c r="H1199" s="111" t="s">
        <v>733</v>
      </c>
      <c r="I1199" s="63" t="s">
        <v>710</v>
      </c>
      <c r="J1199" s="106" t="s">
        <v>3183</v>
      </c>
      <c r="K1199" s="63">
        <v>801116</v>
      </c>
      <c r="L1199" s="63" t="s">
        <v>2836</v>
      </c>
      <c r="M1199" s="63" t="s">
        <v>2837</v>
      </c>
      <c r="N1199" s="63" t="s">
        <v>2838</v>
      </c>
      <c r="O1199" s="63" t="s">
        <v>2839</v>
      </c>
      <c r="P1199" s="111" t="s">
        <v>3342</v>
      </c>
      <c r="Q1199" s="198">
        <f t="shared" si="132"/>
        <v>3553500.273346175</v>
      </c>
      <c r="R1199" s="63">
        <v>1</v>
      </c>
      <c r="S1199" s="198">
        <v>15398500</v>
      </c>
      <c r="T1199" s="112" t="s">
        <v>888</v>
      </c>
      <c r="U1199" s="63" t="s">
        <v>445</v>
      </c>
      <c r="V1199" s="81">
        <v>43322</v>
      </c>
      <c r="W1199" s="199">
        <v>4.3333329999999997</v>
      </c>
      <c r="X1199" s="85" t="s">
        <v>3353</v>
      </c>
      <c r="Y1199" s="81"/>
      <c r="Z1199" s="198">
        <v>15398500</v>
      </c>
      <c r="AA1199" s="84"/>
      <c r="AB1199" s="63">
        <v>1076</v>
      </c>
      <c r="AC1199" s="81">
        <v>43333</v>
      </c>
      <c r="AD1199" s="198">
        <v>15398500</v>
      </c>
      <c r="AE1199" s="63"/>
      <c r="AF1199" s="63">
        <v>2768</v>
      </c>
      <c r="AG1199" s="81">
        <v>43343</v>
      </c>
      <c r="AH1199" s="196">
        <v>15398500</v>
      </c>
      <c r="AI1199" s="84" t="s">
        <v>3354</v>
      </c>
      <c r="AJ1199" s="63">
        <v>545</v>
      </c>
      <c r="AK1199" s="63"/>
      <c r="AL1199" s="196">
        <v>15398500</v>
      </c>
      <c r="AM1199" s="196">
        <f>+VLOOKUP(AF1199,'[2]CRP a 31 Agosto de 2018'!$J$8:$V$2956,13,0)</f>
        <v>0</v>
      </c>
      <c r="AN1199" s="196">
        <f>AL1199-AM1199</f>
        <v>15398500</v>
      </c>
      <c r="AO1199" s="63"/>
      <c r="AP1199" s="63"/>
      <c r="AQ1199" s="63"/>
      <c r="AR1199" s="81"/>
      <c r="AS1199" s="63"/>
      <c r="AT1199" s="81"/>
      <c r="AU1199" s="63"/>
      <c r="AV1199" s="63"/>
      <c r="AW1199" s="63"/>
    </row>
    <row r="1200" spans="1:49" ht="357.75" thickTop="1" thickBot="1" x14ac:dyDescent="0.3">
      <c r="A1200" s="193">
        <v>155</v>
      </c>
      <c r="B1200" s="85" t="s">
        <v>3355</v>
      </c>
      <c r="C1200" s="120" t="s">
        <v>2834</v>
      </c>
      <c r="D1200" s="111" t="s">
        <v>714</v>
      </c>
      <c r="E1200" s="111" t="s">
        <v>2835</v>
      </c>
      <c r="F1200" s="63" t="s">
        <v>52</v>
      </c>
      <c r="G1200" s="63" t="s">
        <v>53</v>
      </c>
      <c r="H1200" s="111" t="s">
        <v>733</v>
      </c>
      <c r="I1200" s="63" t="s">
        <v>55</v>
      </c>
      <c r="J1200" s="106" t="s">
        <v>56</v>
      </c>
      <c r="K1200" s="63">
        <v>801116</v>
      </c>
      <c r="L1200" s="63" t="s">
        <v>2836</v>
      </c>
      <c r="M1200" s="63" t="s">
        <v>2837</v>
      </c>
      <c r="N1200" s="63" t="s">
        <v>2838</v>
      </c>
      <c r="O1200" s="63" t="s">
        <v>2839</v>
      </c>
      <c r="P1200" s="111" t="s">
        <v>3201</v>
      </c>
      <c r="Q1200" s="198">
        <f t="shared" si="132"/>
        <v>4120000.2400000188</v>
      </c>
      <c r="R1200" s="63">
        <v>1</v>
      </c>
      <c r="S1200" s="198">
        <v>17853333</v>
      </c>
      <c r="T1200" s="112" t="s">
        <v>888</v>
      </c>
      <c r="U1200" s="63" t="s">
        <v>445</v>
      </c>
      <c r="V1200" s="81">
        <v>43322</v>
      </c>
      <c r="W1200" s="199">
        <v>4.3333329999999997</v>
      </c>
      <c r="X1200" s="85" t="s">
        <v>3356</v>
      </c>
      <c r="Y1200" s="81"/>
      <c r="Z1200" s="198">
        <v>17853333</v>
      </c>
      <c r="AA1200" s="84"/>
      <c r="AB1200" s="63"/>
      <c r="AC1200" s="81"/>
      <c r="AD1200" s="198"/>
      <c r="AE1200" s="63"/>
      <c r="AF1200" s="63"/>
      <c r="AG1200" s="81"/>
      <c r="AH1200" s="196"/>
      <c r="AI1200" s="84"/>
      <c r="AJ1200" s="63"/>
      <c r="AK1200" s="63"/>
      <c r="AL1200" s="196"/>
      <c r="AM1200" s="196">
        <v>0</v>
      </c>
      <c r="AN1200" s="196"/>
      <c r="AO1200" s="63"/>
      <c r="AP1200" s="63"/>
      <c r="AQ1200" s="63"/>
      <c r="AR1200" s="81"/>
      <c r="AS1200" s="63"/>
      <c r="AT1200" s="81"/>
      <c r="AU1200" s="63"/>
      <c r="AV1200" s="63"/>
      <c r="AW1200" s="63"/>
    </row>
    <row r="1201" spans="1:49" ht="357.75" thickTop="1" thickBot="1" x14ac:dyDescent="0.3">
      <c r="A1201" s="193">
        <v>156</v>
      </c>
      <c r="B1201" s="85" t="s">
        <v>3357</v>
      </c>
      <c r="C1201" s="120" t="s">
        <v>2834</v>
      </c>
      <c r="D1201" s="111" t="s">
        <v>714</v>
      </c>
      <c r="E1201" s="111" t="s">
        <v>2835</v>
      </c>
      <c r="F1201" s="63" t="s">
        <v>52</v>
      </c>
      <c r="G1201" s="63" t="s">
        <v>53</v>
      </c>
      <c r="H1201" s="111" t="s">
        <v>733</v>
      </c>
      <c r="I1201" s="63" t="s">
        <v>710</v>
      </c>
      <c r="J1201" s="106" t="s">
        <v>3183</v>
      </c>
      <c r="K1201" s="63">
        <v>801116</v>
      </c>
      <c r="L1201" s="63" t="s">
        <v>2836</v>
      </c>
      <c r="M1201" s="63" t="s">
        <v>2837</v>
      </c>
      <c r="N1201" s="63" t="s">
        <v>2838</v>
      </c>
      <c r="O1201" s="63" t="s">
        <v>2839</v>
      </c>
      <c r="P1201" s="111" t="s">
        <v>3201</v>
      </c>
      <c r="Q1201" s="198">
        <f t="shared" si="132"/>
        <v>3553500.273346175</v>
      </c>
      <c r="R1201" s="63">
        <v>1</v>
      </c>
      <c r="S1201" s="198">
        <v>15398500</v>
      </c>
      <c r="T1201" s="112" t="s">
        <v>888</v>
      </c>
      <c r="U1201" s="63" t="s">
        <v>445</v>
      </c>
      <c r="V1201" s="81">
        <v>43322</v>
      </c>
      <c r="W1201" s="199">
        <v>4.3333329999999997</v>
      </c>
      <c r="X1201" s="85" t="s">
        <v>3358</v>
      </c>
      <c r="Y1201" s="81"/>
      <c r="Z1201" s="198">
        <v>15398500</v>
      </c>
      <c r="AA1201" s="84"/>
      <c r="AB1201" s="63"/>
      <c r="AC1201" s="81"/>
      <c r="AD1201" s="198"/>
      <c r="AE1201" s="63"/>
      <c r="AF1201" s="63"/>
      <c r="AG1201" s="81"/>
      <c r="AH1201" s="196"/>
      <c r="AI1201" s="84"/>
      <c r="AJ1201" s="63"/>
      <c r="AK1201" s="63"/>
      <c r="AL1201" s="196"/>
      <c r="AM1201" s="196">
        <v>0</v>
      </c>
      <c r="AN1201" s="196"/>
      <c r="AO1201" s="63"/>
      <c r="AP1201" s="63"/>
      <c r="AQ1201" s="63"/>
      <c r="AR1201" s="81"/>
      <c r="AS1201" s="63"/>
      <c r="AT1201" s="81"/>
      <c r="AU1201" s="63"/>
      <c r="AV1201" s="63"/>
      <c r="AW1201" s="63"/>
    </row>
    <row r="1202" spans="1:49" ht="357.75" thickTop="1" thickBot="1" x14ac:dyDescent="0.3">
      <c r="A1202" s="193">
        <v>157</v>
      </c>
      <c r="B1202" s="85" t="s">
        <v>3359</v>
      </c>
      <c r="C1202" s="120" t="s">
        <v>2834</v>
      </c>
      <c r="D1202" s="111" t="s">
        <v>714</v>
      </c>
      <c r="E1202" s="111" t="s">
        <v>2835</v>
      </c>
      <c r="F1202" s="63" t="s">
        <v>52</v>
      </c>
      <c r="G1202" s="63" t="s">
        <v>53</v>
      </c>
      <c r="H1202" s="111" t="s">
        <v>733</v>
      </c>
      <c r="I1202" s="63" t="s">
        <v>710</v>
      </c>
      <c r="J1202" s="106" t="s">
        <v>3183</v>
      </c>
      <c r="K1202" s="63">
        <v>801116</v>
      </c>
      <c r="L1202" s="63" t="s">
        <v>2836</v>
      </c>
      <c r="M1202" s="63" t="s">
        <v>2837</v>
      </c>
      <c r="N1202" s="63" t="s">
        <v>2838</v>
      </c>
      <c r="O1202" s="63" t="s">
        <v>2839</v>
      </c>
      <c r="P1202" s="111" t="s">
        <v>3201</v>
      </c>
      <c r="Q1202" s="198">
        <f t="shared" si="132"/>
        <v>4120000.2400000188</v>
      </c>
      <c r="R1202" s="63">
        <v>1</v>
      </c>
      <c r="S1202" s="198">
        <v>17853333</v>
      </c>
      <c r="T1202" s="112" t="s">
        <v>888</v>
      </c>
      <c r="U1202" s="63" t="s">
        <v>445</v>
      </c>
      <c r="V1202" s="81">
        <v>43322</v>
      </c>
      <c r="W1202" s="199">
        <v>4.3333329999999997</v>
      </c>
      <c r="X1202" s="85" t="s">
        <v>3360</v>
      </c>
      <c r="Y1202" s="81"/>
      <c r="Z1202" s="198">
        <v>17853333</v>
      </c>
      <c r="AA1202" s="84"/>
      <c r="AB1202" s="63"/>
      <c r="AC1202" s="81"/>
      <c r="AD1202" s="198"/>
      <c r="AE1202" s="63"/>
      <c r="AF1202" s="63"/>
      <c r="AG1202" s="81"/>
      <c r="AH1202" s="196"/>
      <c r="AI1202" s="84"/>
      <c r="AJ1202" s="63"/>
      <c r="AK1202" s="63"/>
      <c r="AL1202" s="196"/>
      <c r="AM1202" s="196">
        <v>0</v>
      </c>
      <c r="AN1202" s="196"/>
      <c r="AO1202" s="63"/>
      <c r="AP1202" s="63"/>
      <c r="AQ1202" s="63"/>
      <c r="AR1202" s="81"/>
      <c r="AS1202" s="63"/>
      <c r="AT1202" s="81"/>
      <c r="AU1202" s="63"/>
      <c r="AV1202" s="63"/>
      <c r="AW1202" s="63"/>
    </row>
    <row r="1203" spans="1:49" ht="357.75" thickTop="1" thickBot="1" x14ac:dyDescent="0.3">
      <c r="A1203" s="193">
        <v>158</v>
      </c>
      <c r="B1203" s="85" t="s">
        <v>3361</v>
      </c>
      <c r="C1203" s="120" t="s">
        <v>2834</v>
      </c>
      <c r="D1203" s="111" t="s">
        <v>714</v>
      </c>
      <c r="E1203" s="111" t="s">
        <v>2835</v>
      </c>
      <c r="F1203" s="63" t="s">
        <v>52</v>
      </c>
      <c r="G1203" s="63" t="s">
        <v>53</v>
      </c>
      <c r="H1203" s="111" t="s">
        <v>733</v>
      </c>
      <c r="I1203" s="63" t="s">
        <v>710</v>
      </c>
      <c r="J1203" s="106" t="s">
        <v>3183</v>
      </c>
      <c r="K1203" s="63">
        <v>801116</v>
      </c>
      <c r="L1203" s="63" t="s">
        <v>2836</v>
      </c>
      <c r="M1203" s="63" t="s">
        <v>2837</v>
      </c>
      <c r="N1203" s="63" t="s">
        <v>2838</v>
      </c>
      <c r="O1203" s="63" t="s">
        <v>2839</v>
      </c>
      <c r="P1203" s="111" t="s">
        <v>3201</v>
      </c>
      <c r="Q1203" s="198">
        <f t="shared" si="132"/>
        <v>4067223.3128633322</v>
      </c>
      <c r="R1203" s="63">
        <v>1</v>
      </c>
      <c r="S1203" s="198">
        <f>17853332-228699</f>
        <v>17624633</v>
      </c>
      <c r="T1203" s="112" t="s">
        <v>888</v>
      </c>
      <c r="U1203" s="63" t="s">
        <v>445</v>
      </c>
      <c r="V1203" s="81">
        <v>43322</v>
      </c>
      <c r="W1203" s="199">
        <v>4.3333329999999997</v>
      </c>
      <c r="X1203" s="85" t="s">
        <v>3362</v>
      </c>
      <c r="Y1203" s="81">
        <v>43327</v>
      </c>
      <c r="Z1203" s="198">
        <v>17853332</v>
      </c>
      <c r="AA1203" s="84"/>
      <c r="AB1203" s="63">
        <v>1081</v>
      </c>
      <c r="AC1203" s="81">
        <v>43333</v>
      </c>
      <c r="AD1203" s="198">
        <v>17853332</v>
      </c>
      <c r="AE1203" s="115">
        <f>+AD1203-AH1203</f>
        <v>1373332</v>
      </c>
      <c r="AF1203" s="63">
        <v>2831</v>
      </c>
      <c r="AG1203" s="81">
        <v>43353</v>
      </c>
      <c r="AH1203" s="196">
        <v>16480000</v>
      </c>
      <c r="AI1203" s="84" t="s">
        <v>3363</v>
      </c>
      <c r="AJ1203" s="63">
        <v>556</v>
      </c>
      <c r="AK1203" s="63"/>
      <c r="AL1203" s="196"/>
      <c r="AM1203" s="196">
        <v>0</v>
      </c>
      <c r="AN1203" s="196"/>
      <c r="AO1203" s="63"/>
      <c r="AP1203" s="63"/>
      <c r="AQ1203" s="63"/>
      <c r="AR1203" s="81"/>
      <c r="AS1203" s="63"/>
      <c r="AT1203" s="81"/>
      <c r="AU1203" s="63"/>
      <c r="AV1203" s="63"/>
      <c r="AW1203" s="63"/>
    </row>
    <row r="1204" spans="1:49" ht="409.6" thickTop="1" thickBot="1" x14ac:dyDescent="0.3">
      <c r="A1204" s="193">
        <v>159</v>
      </c>
      <c r="B1204" s="85" t="s">
        <v>3364</v>
      </c>
      <c r="C1204" s="120" t="s">
        <v>2834</v>
      </c>
      <c r="D1204" s="111" t="s">
        <v>714</v>
      </c>
      <c r="E1204" s="111" t="s">
        <v>2845</v>
      </c>
      <c r="F1204" s="63" t="s">
        <v>425</v>
      </c>
      <c r="G1204" s="63" t="s">
        <v>3365</v>
      </c>
      <c r="H1204" s="111" t="s">
        <v>933</v>
      </c>
      <c r="I1204" s="63" t="s">
        <v>55</v>
      </c>
      <c r="J1204" s="106" t="s">
        <v>56</v>
      </c>
      <c r="K1204" s="63">
        <v>801116</v>
      </c>
      <c r="L1204" s="63" t="s">
        <v>2836</v>
      </c>
      <c r="M1204" s="63" t="s">
        <v>2837</v>
      </c>
      <c r="N1204" s="63" t="s">
        <v>2838</v>
      </c>
      <c r="O1204" s="63" t="s">
        <v>2839</v>
      </c>
      <c r="P1204" s="111" t="s">
        <v>3366</v>
      </c>
      <c r="Q1204" s="198">
        <f>S1204/W1204</f>
        <v>8571428.5714285709</v>
      </c>
      <c r="R1204" s="63">
        <v>1</v>
      </c>
      <c r="S1204" s="198">
        <v>30000000</v>
      </c>
      <c r="T1204" s="112" t="s">
        <v>888</v>
      </c>
      <c r="U1204" s="63" t="s">
        <v>445</v>
      </c>
      <c r="V1204" s="81">
        <v>43327</v>
      </c>
      <c r="W1204" s="199">
        <v>3.5</v>
      </c>
      <c r="X1204" s="85" t="s">
        <v>3367</v>
      </c>
      <c r="Y1204" s="81"/>
      <c r="Z1204" s="198">
        <v>30000000</v>
      </c>
      <c r="AA1204" s="84"/>
      <c r="AB1204" s="63"/>
      <c r="AC1204" s="81"/>
      <c r="AD1204" s="198"/>
      <c r="AE1204" s="63"/>
      <c r="AF1204" s="63"/>
      <c r="AG1204" s="81"/>
      <c r="AH1204" s="196"/>
      <c r="AI1204" s="84"/>
      <c r="AJ1204" s="63"/>
      <c r="AK1204" s="63"/>
      <c r="AL1204" s="196"/>
      <c r="AM1204" s="196">
        <v>0</v>
      </c>
      <c r="AN1204" s="196"/>
      <c r="AO1204" s="63"/>
      <c r="AP1204" s="63"/>
      <c r="AQ1204" s="63"/>
      <c r="AR1204" s="81"/>
      <c r="AS1204" s="63"/>
      <c r="AT1204" s="81"/>
      <c r="AU1204" s="63"/>
      <c r="AV1204" s="63"/>
      <c r="AW1204" s="63"/>
    </row>
    <row r="1205" spans="1:49" ht="357.75" thickTop="1" thickBot="1" x14ac:dyDescent="0.3">
      <c r="A1205" s="193">
        <v>160</v>
      </c>
      <c r="B1205" s="85" t="s">
        <v>3368</v>
      </c>
      <c r="C1205" s="120" t="s">
        <v>2834</v>
      </c>
      <c r="D1205" s="111" t="s">
        <v>714</v>
      </c>
      <c r="E1205" s="111" t="s">
        <v>2835</v>
      </c>
      <c r="F1205" s="63" t="s">
        <v>52</v>
      </c>
      <c r="G1205" s="63" t="s">
        <v>53</v>
      </c>
      <c r="H1205" s="111" t="s">
        <v>733</v>
      </c>
      <c r="I1205" s="63" t="s">
        <v>710</v>
      </c>
      <c r="J1205" s="106" t="s">
        <v>1046</v>
      </c>
      <c r="K1205" s="63">
        <v>801116</v>
      </c>
      <c r="L1205" s="63" t="s">
        <v>2836</v>
      </c>
      <c r="M1205" s="63" t="s">
        <v>2837</v>
      </c>
      <c r="N1205" s="63" t="s">
        <v>2838</v>
      </c>
      <c r="O1205" s="63" t="s">
        <v>2839</v>
      </c>
      <c r="P1205" s="111" t="s">
        <v>2851</v>
      </c>
      <c r="Q1205" s="198">
        <f t="shared" ref="Q1205:Q1220" si="133">S1205/W1205</f>
        <v>6695000.5919231232</v>
      </c>
      <c r="R1205" s="63">
        <v>1</v>
      </c>
      <c r="S1205" s="198">
        <v>29011667</v>
      </c>
      <c r="T1205" s="112" t="s">
        <v>888</v>
      </c>
      <c r="U1205" s="63" t="s">
        <v>445</v>
      </c>
      <c r="V1205" s="81">
        <v>43327</v>
      </c>
      <c r="W1205" s="199">
        <v>4.3333329999999997</v>
      </c>
      <c r="X1205" s="85" t="s">
        <v>3369</v>
      </c>
      <c r="Y1205" s="81"/>
      <c r="Z1205" s="198">
        <v>29011667</v>
      </c>
      <c r="AA1205" s="84"/>
      <c r="AB1205" s="63"/>
      <c r="AC1205" s="81"/>
      <c r="AD1205" s="198"/>
      <c r="AE1205" s="63"/>
      <c r="AF1205" s="63"/>
      <c r="AG1205" s="81"/>
      <c r="AH1205" s="196"/>
      <c r="AI1205" s="84"/>
      <c r="AJ1205" s="63"/>
      <c r="AK1205" s="63"/>
      <c r="AL1205" s="196"/>
      <c r="AM1205" s="196">
        <v>0</v>
      </c>
      <c r="AN1205" s="196"/>
      <c r="AO1205" s="63"/>
      <c r="AP1205" s="63"/>
      <c r="AQ1205" s="63"/>
      <c r="AR1205" s="81"/>
      <c r="AS1205" s="63"/>
      <c r="AT1205" s="81"/>
      <c r="AU1205" s="63"/>
      <c r="AV1205" s="63"/>
      <c r="AW1205" s="63"/>
    </row>
    <row r="1206" spans="1:49" ht="357.75" thickTop="1" thickBot="1" x14ac:dyDescent="0.3">
      <c r="A1206" s="193">
        <v>161</v>
      </c>
      <c r="B1206" s="85" t="s">
        <v>3370</v>
      </c>
      <c r="C1206" s="120" t="s">
        <v>2834</v>
      </c>
      <c r="D1206" s="111" t="s">
        <v>714</v>
      </c>
      <c r="E1206" s="111" t="s">
        <v>2835</v>
      </c>
      <c r="F1206" s="63" t="s">
        <v>52</v>
      </c>
      <c r="G1206" s="63" t="s">
        <v>53</v>
      </c>
      <c r="H1206" s="111" t="s">
        <v>733</v>
      </c>
      <c r="I1206" s="63" t="s">
        <v>710</v>
      </c>
      <c r="J1206" s="106" t="s">
        <v>1046</v>
      </c>
      <c r="K1206" s="63">
        <v>801116</v>
      </c>
      <c r="L1206" s="63" t="s">
        <v>2836</v>
      </c>
      <c r="M1206" s="63" t="s">
        <v>2837</v>
      </c>
      <c r="N1206" s="63" t="s">
        <v>2838</v>
      </c>
      <c r="O1206" s="63" t="s">
        <v>2839</v>
      </c>
      <c r="P1206" s="111" t="s">
        <v>2851</v>
      </c>
      <c r="Q1206" s="198">
        <f t="shared" si="133"/>
        <v>5036700.3874384919</v>
      </c>
      <c r="R1206" s="63">
        <v>1</v>
      </c>
      <c r="S1206" s="198">
        <v>21825700</v>
      </c>
      <c r="T1206" s="112" t="s">
        <v>888</v>
      </c>
      <c r="U1206" s="63" t="s">
        <v>445</v>
      </c>
      <c r="V1206" s="81">
        <v>43327</v>
      </c>
      <c r="W1206" s="199">
        <v>4.3333329999999997</v>
      </c>
      <c r="X1206" s="85" t="s">
        <v>3371</v>
      </c>
      <c r="Y1206" s="81"/>
      <c r="Z1206" s="198">
        <v>21825700</v>
      </c>
      <c r="AA1206" s="84"/>
      <c r="AB1206" s="63">
        <v>1091</v>
      </c>
      <c r="AC1206" s="81"/>
      <c r="AD1206" s="198"/>
      <c r="AE1206" s="63"/>
      <c r="AF1206" s="63">
        <v>2766</v>
      </c>
      <c r="AG1206" s="81">
        <v>43342</v>
      </c>
      <c r="AH1206" s="196">
        <v>21825700</v>
      </c>
      <c r="AI1206" s="84" t="s">
        <v>2987</v>
      </c>
      <c r="AJ1206" s="63">
        <v>543</v>
      </c>
      <c r="AK1206" s="63"/>
      <c r="AL1206" s="196">
        <v>21825700</v>
      </c>
      <c r="AM1206" s="196">
        <f>+VLOOKUP(AF1206,'[2]CRP a 31 Agosto de 2018'!$J$8:$V$2956,13,0)</f>
        <v>0</v>
      </c>
      <c r="AN1206" s="196">
        <f>AL1206-AM1206</f>
        <v>21825700</v>
      </c>
      <c r="AO1206" s="63"/>
      <c r="AP1206" s="63"/>
      <c r="AQ1206" s="63"/>
      <c r="AR1206" s="81"/>
      <c r="AS1206" s="63"/>
      <c r="AT1206" s="81"/>
      <c r="AU1206" s="63"/>
      <c r="AV1206" s="63"/>
      <c r="AW1206" s="63"/>
    </row>
    <row r="1207" spans="1:49" ht="357.75" thickTop="1" thickBot="1" x14ac:dyDescent="0.3">
      <c r="A1207" s="193">
        <v>162</v>
      </c>
      <c r="B1207" s="85" t="s">
        <v>3372</v>
      </c>
      <c r="C1207" s="120" t="s">
        <v>2834</v>
      </c>
      <c r="D1207" s="111" t="s">
        <v>714</v>
      </c>
      <c r="E1207" s="111" t="s">
        <v>2835</v>
      </c>
      <c r="F1207" s="63" t="s">
        <v>52</v>
      </c>
      <c r="G1207" s="63" t="s">
        <v>53</v>
      </c>
      <c r="H1207" s="111" t="s">
        <v>733</v>
      </c>
      <c r="I1207" s="63" t="s">
        <v>710</v>
      </c>
      <c r="J1207" s="106" t="s">
        <v>1046</v>
      </c>
      <c r="K1207" s="63">
        <v>801116</v>
      </c>
      <c r="L1207" s="63" t="s">
        <v>2836</v>
      </c>
      <c r="M1207" s="63" t="s">
        <v>2837</v>
      </c>
      <c r="N1207" s="63" t="s">
        <v>2838</v>
      </c>
      <c r="O1207" s="63" t="s">
        <v>2839</v>
      </c>
      <c r="P1207" s="111" t="s">
        <v>3373</v>
      </c>
      <c r="Q1207" s="198">
        <f t="shared" si="133"/>
        <v>4120000.2400000188</v>
      </c>
      <c r="R1207" s="63">
        <v>1</v>
      </c>
      <c r="S1207" s="198">
        <v>17853333</v>
      </c>
      <c r="T1207" s="112" t="s">
        <v>888</v>
      </c>
      <c r="U1207" s="63" t="s">
        <v>445</v>
      </c>
      <c r="V1207" s="81">
        <v>43327</v>
      </c>
      <c r="W1207" s="199">
        <v>4.3333329999999997</v>
      </c>
      <c r="X1207" s="85" t="s">
        <v>3374</v>
      </c>
      <c r="Y1207" s="81"/>
      <c r="Z1207" s="198">
        <v>17853333</v>
      </c>
      <c r="AA1207" s="84"/>
      <c r="AB1207" s="63"/>
      <c r="AC1207" s="81"/>
      <c r="AD1207" s="198"/>
      <c r="AE1207" s="63"/>
      <c r="AF1207" s="63"/>
      <c r="AG1207" s="81"/>
      <c r="AH1207" s="196"/>
      <c r="AI1207" s="84"/>
      <c r="AJ1207" s="63"/>
      <c r="AK1207" s="63"/>
      <c r="AL1207" s="196"/>
      <c r="AM1207" s="196">
        <v>0</v>
      </c>
      <c r="AN1207" s="196"/>
      <c r="AO1207" s="63"/>
      <c r="AP1207" s="63"/>
      <c r="AQ1207" s="63"/>
      <c r="AR1207" s="81"/>
      <c r="AS1207" s="63"/>
      <c r="AT1207" s="81"/>
      <c r="AU1207" s="63"/>
      <c r="AV1207" s="63"/>
      <c r="AW1207" s="63"/>
    </row>
    <row r="1208" spans="1:49" ht="357.75" thickTop="1" thickBot="1" x14ac:dyDescent="0.3">
      <c r="A1208" s="193">
        <v>163</v>
      </c>
      <c r="B1208" s="85" t="s">
        <v>3375</v>
      </c>
      <c r="C1208" s="120" t="s">
        <v>2834</v>
      </c>
      <c r="D1208" s="111" t="s">
        <v>714</v>
      </c>
      <c r="E1208" s="111" t="s">
        <v>2835</v>
      </c>
      <c r="F1208" s="63" t="s">
        <v>52</v>
      </c>
      <c r="G1208" s="63" t="s">
        <v>53</v>
      </c>
      <c r="H1208" s="111" t="s">
        <v>733</v>
      </c>
      <c r="I1208" s="63" t="s">
        <v>710</v>
      </c>
      <c r="J1208" s="106" t="s">
        <v>1046</v>
      </c>
      <c r="K1208" s="63">
        <v>801116</v>
      </c>
      <c r="L1208" s="63" t="s">
        <v>2836</v>
      </c>
      <c r="M1208" s="63" t="s">
        <v>2837</v>
      </c>
      <c r="N1208" s="63" t="s">
        <v>2838</v>
      </c>
      <c r="O1208" s="63" t="s">
        <v>2839</v>
      </c>
      <c r="P1208" s="111" t="s">
        <v>2851</v>
      </c>
      <c r="Q1208" s="198">
        <f t="shared" si="133"/>
        <v>4834011.8333855262</v>
      </c>
      <c r="R1208" s="63">
        <v>1</v>
      </c>
      <c r="S1208" s="198">
        <f>22763000-1815617</f>
        <v>20947383</v>
      </c>
      <c r="T1208" s="112" t="s">
        <v>888</v>
      </c>
      <c r="U1208" s="63" t="s">
        <v>445</v>
      </c>
      <c r="V1208" s="81">
        <v>43327</v>
      </c>
      <c r="W1208" s="199">
        <v>4.3333329999999997</v>
      </c>
      <c r="X1208" s="85" t="s">
        <v>3376</v>
      </c>
      <c r="Y1208" s="81"/>
      <c r="Z1208" s="198">
        <v>22763000</v>
      </c>
      <c r="AA1208" s="84"/>
      <c r="AB1208" s="63">
        <v>1085</v>
      </c>
      <c r="AC1208" s="81">
        <v>43329</v>
      </c>
      <c r="AD1208" s="198">
        <v>18385500</v>
      </c>
      <c r="AE1208" s="198">
        <f>Z1208-AD1208</f>
        <v>4377500</v>
      </c>
      <c r="AF1208" s="63">
        <v>2904</v>
      </c>
      <c r="AG1208" s="81">
        <v>43362</v>
      </c>
      <c r="AH1208" s="198">
        <v>18385500</v>
      </c>
      <c r="AI1208" s="84" t="s">
        <v>3377</v>
      </c>
      <c r="AJ1208" s="63">
        <v>581</v>
      </c>
      <c r="AK1208" s="63"/>
      <c r="AL1208" s="196"/>
      <c r="AM1208" s="196">
        <v>0</v>
      </c>
      <c r="AN1208" s="196"/>
      <c r="AO1208" s="63"/>
      <c r="AP1208" s="63"/>
      <c r="AQ1208" s="63"/>
      <c r="AR1208" s="81"/>
      <c r="AS1208" s="63"/>
      <c r="AT1208" s="81"/>
      <c r="AU1208" s="63"/>
      <c r="AV1208" s="63"/>
      <c r="AW1208" s="63"/>
    </row>
    <row r="1209" spans="1:49" ht="357.75" thickTop="1" thickBot="1" x14ac:dyDescent="0.3">
      <c r="A1209" s="193">
        <v>164</v>
      </c>
      <c r="B1209" s="85" t="s">
        <v>3378</v>
      </c>
      <c r="C1209" s="120" t="s">
        <v>2834</v>
      </c>
      <c r="D1209" s="111" t="s">
        <v>714</v>
      </c>
      <c r="E1209" s="111" t="s">
        <v>2835</v>
      </c>
      <c r="F1209" s="63" t="s">
        <v>52</v>
      </c>
      <c r="G1209" s="63" t="s">
        <v>53</v>
      </c>
      <c r="H1209" s="111" t="s">
        <v>733</v>
      </c>
      <c r="I1209" s="63" t="s">
        <v>710</v>
      </c>
      <c r="J1209" s="106" t="s">
        <v>1046</v>
      </c>
      <c r="K1209" s="63">
        <v>801116</v>
      </c>
      <c r="L1209" s="63" t="s">
        <v>2836</v>
      </c>
      <c r="M1209" s="63" t="s">
        <v>2837</v>
      </c>
      <c r="N1209" s="63" t="s">
        <v>2838</v>
      </c>
      <c r="O1209" s="63" t="s">
        <v>2839</v>
      </c>
      <c r="P1209" s="111" t="s">
        <v>3379</v>
      </c>
      <c r="Q1209" s="198">
        <f t="shared" si="133"/>
        <v>3326900.3328384873</v>
      </c>
      <c r="R1209" s="63">
        <v>1</v>
      </c>
      <c r="S1209" s="198">
        <v>14416567</v>
      </c>
      <c r="T1209" s="112" t="s">
        <v>888</v>
      </c>
      <c r="U1209" s="63" t="s">
        <v>445</v>
      </c>
      <c r="V1209" s="81">
        <v>43327</v>
      </c>
      <c r="W1209" s="199">
        <v>4.3333329999999997</v>
      </c>
      <c r="X1209" s="85" t="s">
        <v>3380</v>
      </c>
      <c r="Y1209" s="81"/>
      <c r="Z1209" s="198">
        <v>14416567</v>
      </c>
      <c r="AA1209" s="84"/>
      <c r="AB1209" s="63">
        <v>1086</v>
      </c>
      <c r="AC1209" s="81"/>
      <c r="AD1209" s="198"/>
      <c r="AE1209" s="63"/>
      <c r="AF1209" s="63">
        <v>2767</v>
      </c>
      <c r="AG1209" s="81">
        <v>43343</v>
      </c>
      <c r="AH1209" s="196">
        <v>14416567</v>
      </c>
      <c r="AI1209" s="84" t="s">
        <v>3381</v>
      </c>
      <c r="AJ1209" s="63">
        <v>541</v>
      </c>
      <c r="AK1209" s="63"/>
      <c r="AL1209" s="196">
        <v>14416567</v>
      </c>
      <c r="AM1209" s="196">
        <f>+VLOOKUP(AF1209,'[2]CRP a 31 Agosto de 2018'!$J$8:$V$2956,13,0)</f>
        <v>0</v>
      </c>
      <c r="AN1209" s="196">
        <f>AL1209-AM1209</f>
        <v>14416567</v>
      </c>
      <c r="AO1209" s="63"/>
      <c r="AP1209" s="63"/>
      <c r="AQ1209" s="63"/>
      <c r="AR1209" s="81"/>
      <c r="AS1209" s="63"/>
      <c r="AT1209" s="81"/>
      <c r="AU1209" s="63"/>
      <c r="AV1209" s="63"/>
      <c r="AW1209" s="63"/>
    </row>
    <row r="1210" spans="1:49" ht="357.75" thickTop="1" thickBot="1" x14ac:dyDescent="0.3">
      <c r="A1210" s="193">
        <v>165</v>
      </c>
      <c r="B1210" s="85" t="s">
        <v>3382</v>
      </c>
      <c r="C1210" s="120" t="s">
        <v>2834</v>
      </c>
      <c r="D1210" s="111" t="s">
        <v>714</v>
      </c>
      <c r="E1210" s="111" t="s">
        <v>2835</v>
      </c>
      <c r="F1210" s="63" t="s">
        <v>52</v>
      </c>
      <c r="G1210" s="63" t="s">
        <v>53</v>
      </c>
      <c r="H1210" s="111" t="s">
        <v>733</v>
      </c>
      <c r="I1210" s="63" t="s">
        <v>710</v>
      </c>
      <c r="J1210" s="106" t="s">
        <v>1046</v>
      </c>
      <c r="K1210" s="63">
        <v>801116</v>
      </c>
      <c r="L1210" s="63" t="s">
        <v>2836</v>
      </c>
      <c r="M1210" s="63" t="s">
        <v>2837</v>
      </c>
      <c r="N1210" s="63" t="s">
        <v>2838</v>
      </c>
      <c r="O1210" s="63" t="s">
        <v>2839</v>
      </c>
      <c r="P1210" s="111" t="s">
        <v>3230</v>
      </c>
      <c r="Q1210" s="198">
        <f t="shared" si="133"/>
        <v>0</v>
      </c>
      <c r="R1210" s="63">
        <v>1</v>
      </c>
      <c r="S1210" s="198">
        <f>14729000-14729000</f>
        <v>0</v>
      </c>
      <c r="T1210" s="112" t="s">
        <v>888</v>
      </c>
      <c r="U1210" s="63" t="s">
        <v>445</v>
      </c>
      <c r="V1210" s="81">
        <v>43327</v>
      </c>
      <c r="W1210" s="199">
        <v>4.3333329999999997</v>
      </c>
      <c r="X1210" s="85" t="s">
        <v>3383</v>
      </c>
      <c r="Y1210" s="81"/>
      <c r="Z1210" s="198">
        <v>14729000</v>
      </c>
      <c r="AA1210" s="84"/>
      <c r="AB1210" s="63"/>
      <c r="AC1210" s="81"/>
      <c r="AD1210" s="198"/>
      <c r="AE1210" s="63"/>
      <c r="AF1210" s="63"/>
      <c r="AG1210" s="81"/>
      <c r="AH1210" s="196"/>
      <c r="AI1210" s="84"/>
      <c r="AJ1210" s="63"/>
      <c r="AK1210" s="63"/>
      <c r="AL1210" s="196"/>
      <c r="AM1210" s="196">
        <v>0</v>
      </c>
      <c r="AN1210" s="196"/>
      <c r="AO1210" s="63"/>
      <c r="AP1210" s="63"/>
      <c r="AQ1210" s="63" t="s">
        <v>3384</v>
      </c>
      <c r="AR1210" s="81"/>
      <c r="AS1210" s="63"/>
      <c r="AT1210" s="81"/>
      <c r="AU1210" s="63"/>
      <c r="AV1210" s="63"/>
      <c r="AW1210" s="63"/>
    </row>
    <row r="1211" spans="1:49" ht="357.75" thickTop="1" thickBot="1" x14ac:dyDescent="0.3">
      <c r="A1211" s="193">
        <v>166</v>
      </c>
      <c r="B1211" s="85" t="s">
        <v>3385</v>
      </c>
      <c r="C1211" s="120" t="s">
        <v>2834</v>
      </c>
      <c r="D1211" s="111" t="s">
        <v>714</v>
      </c>
      <c r="E1211" s="111" t="s">
        <v>2835</v>
      </c>
      <c r="F1211" s="63" t="s">
        <v>52</v>
      </c>
      <c r="G1211" s="63" t="s">
        <v>53</v>
      </c>
      <c r="H1211" s="111" t="s">
        <v>733</v>
      </c>
      <c r="I1211" s="63" t="s">
        <v>710</v>
      </c>
      <c r="J1211" s="106" t="s">
        <v>3183</v>
      </c>
      <c r="K1211" s="63">
        <v>801116</v>
      </c>
      <c r="L1211" s="63" t="s">
        <v>2836</v>
      </c>
      <c r="M1211" s="63" t="s">
        <v>2837</v>
      </c>
      <c r="N1211" s="63" t="s">
        <v>2838</v>
      </c>
      <c r="O1211" s="63" t="s">
        <v>2839</v>
      </c>
      <c r="P1211" s="111" t="s">
        <v>3230</v>
      </c>
      <c r="Q1211" s="198">
        <f t="shared" si="133"/>
        <v>4532000</v>
      </c>
      <c r="R1211" s="63">
        <v>1</v>
      </c>
      <c r="S1211" s="198">
        <v>18128000</v>
      </c>
      <c r="T1211" s="112" t="s">
        <v>888</v>
      </c>
      <c r="U1211" s="63" t="s">
        <v>445</v>
      </c>
      <c r="V1211" s="81">
        <v>43334</v>
      </c>
      <c r="W1211" s="199">
        <v>4</v>
      </c>
      <c r="X1211" s="85" t="s">
        <v>3386</v>
      </c>
      <c r="Y1211" s="81"/>
      <c r="Z1211" s="198">
        <v>18128000</v>
      </c>
      <c r="AA1211" s="84"/>
      <c r="AB1211" s="63"/>
      <c r="AC1211" s="81"/>
      <c r="AD1211" s="198"/>
      <c r="AE1211" s="63"/>
      <c r="AF1211" s="63"/>
      <c r="AG1211" s="81"/>
      <c r="AH1211" s="196"/>
      <c r="AI1211" s="84"/>
      <c r="AJ1211" s="63"/>
      <c r="AK1211" s="63"/>
      <c r="AL1211" s="196"/>
      <c r="AM1211" s="196">
        <v>0</v>
      </c>
      <c r="AN1211" s="196"/>
      <c r="AO1211" s="63"/>
      <c r="AP1211" s="63"/>
      <c r="AQ1211" s="63"/>
      <c r="AR1211" s="81"/>
      <c r="AS1211" s="63"/>
      <c r="AT1211" s="81"/>
      <c r="AU1211" s="63"/>
      <c r="AV1211" s="63"/>
      <c r="AW1211" s="63"/>
    </row>
    <row r="1212" spans="1:49" ht="357.75" thickTop="1" thickBot="1" x14ac:dyDescent="0.3">
      <c r="A1212" s="193">
        <v>167</v>
      </c>
      <c r="B1212" s="85" t="s">
        <v>3387</v>
      </c>
      <c r="C1212" s="120" t="s">
        <v>2834</v>
      </c>
      <c r="D1212" s="111" t="s">
        <v>714</v>
      </c>
      <c r="E1212" s="111" t="s">
        <v>2835</v>
      </c>
      <c r="F1212" s="63" t="s">
        <v>52</v>
      </c>
      <c r="G1212" s="63" t="s">
        <v>53</v>
      </c>
      <c r="H1212" s="111" t="s">
        <v>733</v>
      </c>
      <c r="I1212" s="63" t="s">
        <v>55</v>
      </c>
      <c r="J1212" s="106" t="s">
        <v>56</v>
      </c>
      <c r="K1212" s="63">
        <v>801116</v>
      </c>
      <c r="L1212" s="63" t="s">
        <v>2836</v>
      </c>
      <c r="M1212" s="63" t="s">
        <v>2837</v>
      </c>
      <c r="N1212" s="63" t="s">
        <v>2838</v>
      </c>
      <c r="O1212" s="63" t="s">
        <v>2839</v>
      </c>
      <c r="P1212" s="111" t="s">
        <v>3388</v>
      </c>
      <c r="Q1212" s="198">
        <f t="shared" si="133"/>
        <v>1750999.762844848</v>
      </c>
      <c r="R1212" s="63">
        <v>1</v>
      </c>
      <c r="S1212" s="198">
        <v>6770533</v>
      </c>
      <c r="T1212" s="112" t="s">
        <v>888</v>
      </c>
      <c r="U1212" s="63" t="s">
        <v>445</v>
      </c>
      <c r="V1212" s="81">
        <v>43334</v>
      </c>
      <c r="W1212" s="199">
        <v>3.8666670000000001</v>
      </c>
      <c r="X1212" s="85" t="s">
        <v>3389</v>
      </c>
      <c r="Y1212" s="81"/>
      <c r="Z1212" s="198">
        <v>6770533</v>
      </c>
      <c r="AA1212" s="84"/>
      <c r="AB1212" s="63"/>
      <c r="AC1212" s="81"/>
      <c r="AD1212" s="198"/>
      <c r="AE1212" s="63"/>
      <c r="AF1212" s="63"/>
      <c r="AG1212" s="81"/>
      <c r="AH1212" s="196"/>
      <c r="AI1212" s="84"/>
      <c r="AJ1212" s="63"/>
      <c r="AK1212" s="63"/>
      <c r="AL1212" s="196"/>
      <c r="AM1212" s="196">
        <v>0</v>
      </c>
      <c r="AN1212" s="196"/>
      <c r="AO1212" s="63"/>
      <c r="AP1212" s="63"/>
      <c r="AQ1212" s="63"/>
      <c r="AR1212" s="81"/>
      <c r="AS1212" s="63"/>
      <c r="AT1212" s="81"/>
      <c r="AU1212" s="63"/>
      <c r="AV1212" s="63"/>
      <c r="AW1212" s="63"/>
    </row>
    <row r="1213" spans="1:49" ht="300.75" thickTop="1" thickBot="1" x14ac:dyDescent="0.3">
      <c r="A1213" s="193">
        <v>168</v>
      </c>
      <c r="B1213" s="85" t="s">
        <v>3390</v>
      </c>
      <c r="C1213" s="120" t="s">
        <v>2834</v>
      </c>
      <c r="D1213" s="111" t="s">
        <v>714</v>
      </c>
      <c r="E1213" s="111" t="s">
        <v>2843</v>
      </c>
      <c r="F1213" s="63" t="s">
        <v>52</v>
      </c>
      <c r="G1213" s="63" t="s">
        <v>53</v>
      </c>
      <c r="H1213" s="111" t="s">
        <v>733</v>
      </c>
      <c r="I1213" s="63" t="s">
        <v>55</v>
      </c>
      <c r="J1213" s="106" t="s">
        <v>56</v>
      </c>
      <c r="K1213" s="63">
        <v>801116</v>
      </c>
      <c r="L1213" s="63" t="s">
        <v>2836</v>
      </c>
      <c r="M1213" s="63" t="s">
        <v>2837</v>
      </c>
      <c r="N1213" s="63" t="s">
        <v>2838</v>
      </c>
      <c r="O1213" s="63" t="s">
        <v>2839</v>
      </c>
      <c r="P1213" s="111" t="s">
        <v>3391</v>
      </c>
      <c r="Q1213" s="198">
        <f t="shared" si="133"/>
        <v>3399000</v>
      </c>
      <c r="R1213" s="63">
        <v>1</v>
      </c>
      <c r="S1213" s="198">
        <v>13596000</v>
      </c>
      <c r="T1213" s="112" t="s">
        <v>888</v>
      </c>
      <c r="U1213" s="63" t="s">
        <v>445</v>
      </c>
      <c r="V1213" s="81">
        <v>43339</v>
      </c>
      <c r="W1213" s="199">
        <v>4</v>
      </c>
      <c r="X1213" s="85" t="s">
        <v>3392</v>
      </c>
      <c r="Y1213" s="81"/>
      <c r="Z1213" s="198">
        <v>13596000</v>
      </c>
      <c r="AA1213" s="84"/>
      <c r="AB1213" s="63"/>
      <c r="AC1213" s="81"/>
      <c r="AD1213" s="198"/>
      <c r="AE1213" s="63"/>
      <c r="AF1213" s="63"/>
      <c r="AG1213" s="81"/>
      <c r="AH1213" s="196"/>
      <c r="AI1213" s="84"/>
      <c r="AJ1213" s="63"/>
      <c r="AK1213" s="63"/>
      <c r="AL1213" s="196"/>
      <c r="AM1213" s="196">
        <v>0</v>
      </c>
      <c r="AN1213" s="196"/>
      <c r="AO1213" s="63"/>
      <c r="AP1213" s="63"/>
      <c r="AQ1213" s="63"/>
      <c r="AR1213" s="81"/>
      <c r="AS1213" s="63"/>
      <c r="AT1213" s="81"/>
      <c r="AU1213" s="63"/>
      <c r="AV1213" s="63"/>
      <c r="AW1213" s="63"/>
    </row>
    <row r="1214" spans="1:49" ht="357.75" thickTop="1" thickBot="1" x14ac:dyDescent="0.3">
      <c r="A1214" s="193">
        <v>169</v>
      </c>
      <c r="B1214" s="85" t="s">
        <v>3393</v>
      </c>
      <c r="C1214" s="120" t="s">
        <v>2834</v>
      </c>
      <c r="D1214" s="111" t="s">
        <v>714</v>
      </c>
      <c r="E1214" s="111" t="s">
        <v>2835</v>
      </c>
      <c r="F1214" s="63" t="s">
        <v>52</v>
      </c>
      <c r="G1214" s="63" t="s">
        <v>53</v>
      </c>
      <c r="H1214" s="111" t="s">
        <v>733</v>
      </c>
      <c r="I1214" s="63" t="s">
        <v>710</v>
      </c>
      <c r="J1214" s="106" t="s">
        <v>3183</v>
      </c>
      <c r="K1214" s="63">
        <v>801116</v>
      </c>
      <c r="L1214" s="63" t="s">
        <v>2836</v>
      </c>
      <c r="M1214" s="63" t="s">
        <v>2837</v>
      </c>
      <c r="N1214" s="63" t="s">
        <v>2838</v>
      </c>
      <c r="O1214" s="63" t="s">
        <v>2839</v>
      </c>
      <c r="P1214" s="111" t="s">
        <v>3201</v>
      </c>
      <c r="Q1214" s="198">
        <f t="shared" si="133"/>
        <v>4120000</v>
      </c>
      <c r="R1214" s="63">
        <v>1</v>
      </c>
      <c r="S1214" s="198">
        <v>16480000</v>
      </c>
      <c r="T1214" s="112" t="s">
        <v>888</v>
      </c>
      <c r="U1214" s="63" t="s">
        <v>445</v>
      </c>
      <c r="V1214" s="81">
        <v>43339</v>
      </c>
      <c r="W1214" s="199">
        <v>4</v>
      </c>
      <c r="X1214" s="85" t="s">
        <v>3394</v>
      </c>
      <c r="Y1214" s="81"/>
      <c r="Z1214" s="198">
        <v>16480000</v>
      </c>
      <c r="AA1214" s="84"/>
      <c r="AB1214" s="63"/>
      <c r="AC1214" s="81"/>
      <c r="AD1214" s="198"/>
      <c r="AE1214" s="63"/>
      <c r="AF1214" s="63"/>
      <c r="AG1214" s="81"/>
      <c r="AH1214" s="196"/>
      <c r="AI1214" s="84"/>
      <c r="AJ1214" s="63"/>
      <c r="AK1214" s="63"/>
      <c r="AL1214" s="196"/>
      <c r="AM1214" s="196">
        <v>0</v>
      </c>
      <c r="AN1214" s="196"/>
      <c r="AO1214" s="63"/>
      <c r="AP1214" s="63"/>
      <c r="AQ1214" s="63"/>
      <c r="AR1214" s="81"/>
      <c r="AS1214" s="63"/>
      <c r="AT1214" s="81"/>
      <c r="AU1214" s="63"/>
      <c r="AV1214" s="63"/>
      <c r="AW1214" s="63"/>
    </row>
    <row r="1215" spans="1:49" ht="357.75" thickTop="1" thickBot="1" x14ac:dyDescent="0.3">
      <c r="A1215" s="193">
        <v>170</v>
      </c>
      <c r="B1215" s="85" t="s">
        <v>3395</v>
      </c>
      <c r="C1215" s="120" t="s">
        <v>2834</v>
      </c>
      <c r="D1215" s="111" t="s">
        <v>714</v>
      </c>
      <c r="E1215" s="111" t="s">
        <v>2835</v>
      </c>
      <c r="F1215" s="63" t="s">
        <v>52</v>
      </c>
      <c r="G1215" s="63" t="s">
        <v>53</v>
      </c>
      <c r="H1215" s="111" t="s">
        <v>733</v>
      </c>
      <c r="I1215" s="63" t="s">
        <v>710</v>
      </c>
      <c r="J1215" s="106" t="s">
        <v>3183</v>
      </c>
      <c r="K1215" s="63">
        <v>801116</v>
      </c>
      <c r="L1215" s="63" t="s">
        <v>2836</v>
      </c>
      <c r="M1215" s="63" t="s">
        <v>2837</v>
      </c>
      <c r="N1215" s="63" t="s">
        <v>2838</v>
      </c>
      <c r="O1215" s="63" t="s">
        <v>2839</v>
      </c>
      <c r="P1215" s="111" t="s">
        <v>3388</v>
      </c>
      <c r="Q1215" s="198">
        <f t="shared" si="133"/>
        <v>1751000</v>
      </c>
      <c r="R1215" s="63">
        <v>1</v>
      </c>
      <c r="S1215" s="198">
        <v>7004000</v>
      </c>
      <c r="T1215" s="112" t="s">
        <v>888</v>
      </c>
      <c r="U1215" s="63" t="s">
        <v>445</v>
      </c>
      <c r="V1215" s="81">
        <v>43339</v>
      </c>
      <c r="W1215" s="199">
        <v>4</v>
      </c>
      <c r="X1215" s="85" t="s">
        <v>3396</v>
      </c>
      <c r="Y1215" s="81"/>
      <c r="Z1215" s="198">
        <v>7004000</v>
      </c>
      <c r="AA1215" s="84"/>
      <c r="AB1215" s="63"/>
      <c r="AC1215" s="81"/>
      <c r="AD1215" s="198"/>
      <c r="AE1215" s="63"/>
      <c r="AF1215" s="63"/>
      <c r="AG1215" s="81"/>
      <c r="AH1215" s="196"/>
      <c r="AI1215" s="84"/>
      <c r="AJ1215" s="63"/>
      <c r="AK1215" s="63"/>
      <c r="AL1215" s="196"/>
      <c r="AM1215" s="196">
        <v>0</v>
      </c>
      <c r="AN1215" s="196"/>
      <c r="AO1215" s="63"/>
      <c r="AP1215" s="63"/>
      <c r="AQ1215" s="63"/>
      <c r="AR1215" s="81"/>
      <c r="AS1215" s="63"/>
      <c r="AT1215" s="81"/>
      <c r="AU1215" s="63"/>
      <c r="AV1215" s="63"/>
      <c r="AW1215" s="63"/>
    </row>
    <row r="1216" spans="1:49" ht="357.75" thickTop="1" thickBot="1" x14ac:dyDescent="0.3">
      <c r="A1216" s="193">
        <v>171</v>
      </c>
      <c r="B1216" s="85" t="s">
        <v>3397</v>
      </c>
      <c r="C1216" s="120" t="s">
        <v>2834</v>
      </c>
      <c r="D1216" s="111" t="s">
        <v>714</v>
      </c>
      <c r="E1216" s="111" t="s">
        <v>2835</v>
      </c>
      <c r="F1216" s="63" t="s">
        <v>52</v>
      </c>
      <c r="G1216" s="63" t="s">
        <v>53</v>
      </c>
      <c r="H1216" s="111" t="s">
        <v>733</v>
      </c>
      <c r="I1216" s="63" t="s">
        <v>710</v>
      </c>
      <c r="J1216" s="106" t="s">
        <v>1046</v>
      </c>
      <c r="K1216" s="63">
        <v>801116</v>
      </c>
      <c r="L1216" s="63" t="s">
        <v>2836</v>
      </c>
      <c r="M1216" s="63" t="s">
        <v>2837</v>
      </c>
      <c r="N1216" s="63" t="s">
        <v>2838</v>
      </c>
      <c r="O1216" s="63" t="s">
        <v>2839</v>
      </c>
      <c r="P1216" s="111" t="s">
        <v>3398</v>
      </c>
      <c r="Q1216" s="198">
        <f t="shared" si="133"/>
        <v>3326900</v>
      </c>
      <c r="R1216" s="63">
        <v>1</v>
      </c>
      <c r="S1216" s="198">
        <v>13307600</v>
      </c>
      <c r="T1216" s="112" t="s">
        <v>888</v>
      </c>
      <c r="U1216" s="63" t="s">
        <v>445</v>
      </c>
      <c r="V1216" s="81">
        <v>43339</v>
      </c>
      <c r="W1216" s="199">
        <v>4</v>
      </c>
      <c r="X1216" s="85" t="s">
        <v>3399</v>
      </c>
      <c r="Y1216" s="81"/>
      <c r="Z1216" s="198">
        <v>13307600</v>
      </c>
      <c r="AA1216" s="84"/>
      <c r="AB1216" s="63"/>
      <c r="AC1216" s="81"/>
      <c r="AD1216" s="198"/>
      <c r="AE1216" s="63"/>
      <c r="AF1216" s="63"/>
      <c r="AG1216" s="81"/>
      <c r="AH1216" s="196"/>
      <c r="AI1216" s="84"/>
      <c r="AJ1216" s="63"/>
      <c r="AK1216" s="63"/>
      <c r="AL1216" s="196"/>
      <c r="AM1216" s="196">
        <v>0</v>
      </c>
      <c r="AN1216" s="196"/>
      <c r="AO1216" s="63"/>
      <c r="AP1216" s="63"/>
      <c r="AQ1216" s="63"/>
      <c r="AR1216" s="81"/>
      <c r="AS1216" s="63"/>
      <c r="AT1216" s="81"/>
      <c r="AU1216" s="63"/>
      <c r="AV1216" s="63"/>
      <c r="AW1216" s="63"/>
    </row>
    <row r="1217" spans="1:49" ht="357.75" thickTop="1" thickBot="1" x14ac:dyDescent="0.3">
      <c r="A1217" s="193">
        <v>172</v>
      </c>
      <c r="B1217" s="85" t="s">
        <v>3400</v>
      </c>
      <c r="C1217" s="120" t="s">
        <v>2834</v>
      </c>
      <c r="D1217" s="111" t="s">
        <v>714</v>
      </c>
      <c r="E1217" s="111" t="s">
        <v>2835</v>
      </c>
      <c r="F1217" s="63" t="s">
        <v>52</v>
      </c>
      <c r="G1217" s="63" t="s">
        <v>53</v>
      </c>
      <c r="H1217" s="111" t="s">
        <v>733</v>
      </c>
      <c r="I1217" s="63" t="s">
        <v>710</v>
      </c>
      <c r="J1217" s="106" t="s">
        <v>1046</v>
      </c>
      <c r="K1217" s="63">
        <v>801116</v>
      </c>
      <c r="L1217" s="63" t="s">
        <v>2836</v>
      </c>
      <c r="M1217" s="63" t="s">
        <v>2837</v>
      </c>
      <c r="N1217" s="63" t="s">
        <v>2838</v>
      </c>
      <c r="O1217" s="63" t="s">
        <v>2839</v>
      </c>
      <c r="P1217" s="111" t="s">
        <v>3401</v>
      </c>
      <c r="Q1217" s="198">
        <f t="shared" si="133"/>
        <v>4120000</v>
      </c>
      <c r="R1217" s="63">
        <v>1</v>
      </c>
      <c r="S1217" s="198">
        <v>16480000</v>
      </c>
      <c r="T1217" s="112" t="s">
        <v>888</v>
      </c>
      <c r="U1217" s="63" t="s">
        <v>445</v>
      </c>
      <c r="V1217" s="81">
        <v>43339</v>
      </c>
      <c r="W1217" s="199">
        <v>4</v>
      </c>
      <c r="X1217" s="85" t="s">
        <v>3402</v>
      </c>
      <c r="Y1217" s="81"/>
      <c r="Z1217" s="198">
        <v>16480000</v>
      </c>
      <c r="AA1217" s="84"/>
      <c r="AB1217" s="63"/>
      <c r="AC1217" s="81"/>
      <c r="AD1217" s="198"/>
      <c r="AE1217" s="63"/>
      <c r="AF1217" s="63"/>
      <c r="AG1217" s="81"/>
      <c r="AH1217" s="196"/>
      <c r="AI1217" s="84"/>
      <c r="AJ1217" s="63"/>
      <c r="AK1217" s="63"/>
      <c r="AL1217" s="196"/>
      <c r="AM1217" s="196">
        <v>0</v>
      </c>
      <c r="AN1217" s="196"/>
      <c r="AO1217" s="63"/>
      <c r="AP1217" s="63"/>
      <c r="AQ1217" s="63"/>
      <c r="AR1217" s="81"/>
      <c r="AS1217" s="63"/>
      <c r="AT1217" s="81"/>
      <c r="AU1217" s="63"/>
      <c r="AV1217" s="63"/>
      <c r="AW1217" s="63"/>
    </row>
    <row r="1218" spans="1:49" ht="409.6" thickTop="1" thickBot="1" x14ac:dyDescent="0.3">
      <c r="A1218" s="193">
        <v>173</v>
      </c>
      <c r="B1218" s="85" t="s">
        <v>3403</v>
      </c>
      <c r="C1218" s="120" t="s">
        <v>2834</v>
      </c>
      <c r="D1218" s="111" t="s">
        <v>714</v>
      </c>
      <c r="E1218" s="111" t="s">
        <v>2835</v>
      </c>
      <c r="F1218" s="111" t="s">
        <v>52</v>
      </c>
      <c r="G1218" s="111" t="s">
        <v>53</v>
      </c>
      <c r="H1218" s="111" t="s">
        <v>733</v>
      </c>
      <c r="I1218" s="63" t="s">
        <v>55</v>
      </c>
      <c r="J1218" s="63" t="s">
        <v>56</v>
      </c>
      <c r="K1218" s="63">
        <v>801116</v>
      </c>
      <c r="L1218" s="63" t="s">
        <v>2836</v>
      </c>
      <c r="M1218" s="63" t="s">
        <v>2837</v>
      </c>
      <c r="N1218" s="63" t="s">
        <v>2838</v>
      </c>
      <c r="O1218" s="63" t="s">
        <v>2839</v>
      </c>
      <c r="P1218" s="111" t="s">
        <v>3404</v>
      </c>
      <c r="Q1218" s="198">
        <f t="shared" si="133"/>
        <v>5665000</v>
      </c>
      <c r="R1218" s="63">
        <v>1</v>
      </c>
      <c r="S1218" s="208">
        <v>19827500</v>
      </c>
      <c r="T1218" s="111" t="s">
        <v>888</v>
      </c>
      <c r="U1218" s="63" t="s">
        <v>445</v>
      </c>
      <c r="V1218" s="81">
        <v>43339</v>
      </c>
      <c r="W1218" s="206">
        <v>3.5</v>
      </c>
      <c r="X1218" s="85" t="s">
        <v>3405</v>
      </c>
      <c r="Y1218" s="111"/>
      <c r="Z1218" s="208">
        <v>19827500</v>
      </c>
      <c r="AA1218" s="111"/>
      <c r="AB1218" s="63">
        <v>1146</v>
      </c>
      <c r="AC1218" s="81">
        <v>43347</v>
      </c>
      <c r="AD1218" s="198">
        <v>16995000</v>
      </c>
      <c r="AE1218" s="198">
        <f>Z1218-AD1218</f>
        <v>2832500</v>
      </c>
      <c r="AF1218" s="63">
        <v>2926</v>
      </c>
      <c r="AG1218" s="81">
        <v>43367</v>
      </c>
      <c r="AH1218" s="198">
        <v>16995000</v>
      </c>
      <c r="AI1218" s="84" t="s">
        <v>3406</v>
      </c>
      <c r="AJ1218" s="63">
        <v>589</v>
      </c>
      <c r="AK1218" s="111"/>
      <c r="AL1218" s="111"/>
      <c r="AM1218" s="111"/>
      <c r="AN1218" s="111"/>
      <c r="AO1218" s="111"/>
      <c r="AP1218" s="111"/>
      <c r="AQ1218" s="111"/>
      <c r="AR1218" s="111"/>
      <c r="AS1218" s="111"/>
      <c r="AT1218" s="111"/>
      <c r="AU1218" s="111"/>
      <c r="AV1218" s="111"/>
      <c r="AW1218" s="111"/>
    </row>
    <row r="1219" spans="1:49" ht="409.6" thickTop="1" thickBot="1" x14ac:dyDescent="0.3">
      <c r="A1219" s="193">
        <v>174</v>
      </c>
      <c r="B1219" s="85" t="s">
        <v>3407</v>
      </c>
      <c r="C1219" s="120" t="s">
        <v>2834</v>
      </c>
      <c r="D1219" s="111" t="s">
        <v>714</v>
      </c>
      <c r="E1219" s="111" t="s">
        <v>2835</v>
      </c>
      <c r="F1219" s="111" t="s">
        <v>52</v>
      </c>
      <c r="G1219" s="111" t="s">
        <v>53</v>
      </c>
      <c r="H1219" s="111" t="s">
        <v>733</v>
      </c>
      <c r="I1219" s="63" t="s">
        <v>710</v>
      </c>
      <c r="J1219" s="106" t="s">
        <v>1046</v>
      </c>
      <c r="K1219" s="63">
        <v>801116</v>
      </c>
      <c r="L1219" s="63" t="s">
        <v>2836</v>
      </c>
      <c r="M1219" s="63" t="s">
        <v>2837</v>
      </c>
      <c r="N1219" s="63" t="s">
        <v>2838</v>
      </c>
      <c r="O1219" s="63" t="s">
        <v>2839</v>
      </c>
      <c r="P1219" s="111" t="s">
        <v>3408</v>
      </c>
      <c r="Q1219" s="198">
        <f t="shared" si="133"/>
        <v>3399000</v>
      </c>
      <c r="R1219" s="63">
        <v>1</v>
      </c>
      <c r="S1219" s="208">
        <v>10197000</v>
      </c>
      <c r="T1219" s="111" t="s">
        <v>888</v>
      </c>
      <c r="U1219" s="63" t="s">
        <v>445</v>
      </c>
      <c r="V1219" s="81">
        <v>43339</v>
      </c>
      <c r="W1219" s="206">
        <v>3</v>
      </c>
      <c r="X1219" s="85" t="s">
        <v>3409</v>
      </c>
      <c r="Y1219" s="111"/>
      <c r="Z1219" s="208">
        <v>10197000</v>
      </c>
      <c r="AA1219" s="111"/>
      <c r="AB1219" s="111"/>
      <c r="AC1219" s="111"/>
      <c r="AD1219" s="111"/>
      <c r="AE1219" s="111"/>
      <c r="AF1219" s="111"/>
      <c r="AG1219" s="111"/>
      <c r="AH1219" s="111"/>
      <c r="AI1219" s="111"/>
      <c r="AJ1219" s="111"/>
      <c r="AK1219" s="111"/>
      <c r="AL1219" s="111"/>
      <c r="AM1219" s="111"/>
      <c r="AN1219" s="111"/>
      <c r="AO1219" s="111"/>
      <c r="AP1219" s="111"/>
      <c r="AQ1219" s="111"/>
      <c r="AR1219" s="111"/>
      <c r="AS1219" s="111"/>
      <c r="AT1219" s="111"/>
      <c r="AU1219" s="111"/>
      <c r="AV1219" s="111"/>
      <c r="AW1219" s="111"/>
    </row>
    <row r="1220" spans="1:49" ht="409.6" thickTop="1" thickBot="1" x14ac:dyDescent="0.3">
      <c r="A1220" s="193">
        <v>175</v>
      </c>
      <c r="B1220" s="85" t="s">
        <v>3410</v>
      </c>
      <c r="C1220" s="120" t="s">
        <v>2834</v>
      </c>
      <c r="D1220" s="111" t="s">
        <v>714</v>
      </c>
      <c r="E1220" s="111" t="s">
        <v>2835</v>
      </c>
      <c r="F1220" s="111" t="s">
        <v>52</v>
      </c>
      <c r="G1220" s="111" t="s">
        <v>53</v>
      </c>
      <c r="H1220" s="111" t="s">
        <v>733</v>
      </c>
      <c r="I1220" s="63" t="s">
        <v>710</v>
      </c>
      <c r="J1220" s="106" t="s">
        <v>1046</v>
      </c>
      <c r="K1220" s="63">
        <v>801116</v>
      </c>
      <c r="L1220" s="63" t="s">
        <v>2836</v>
      </c>
      <c r="M1220" s="63" t="s">
        <v>2837</v>
      </c>
      <c r="N1220" s="63" t="s">
        <v>2838</v>
      </c>
      <c r="O1220" s="63" t="s">
        <v>2839</v>
      </c>
      <c r="P1220" s="111" t="s">
        <v>3411</v>
      </c>
      <c r="Q1220" s="198">
        <f t="shared" si="133"/>
        <v>3038500</v>
      </c>
      <c r="R1220" s="63">
        <v>1</v>
      </c>
      <c r="S1220" s="208">
        <v>10634750</v>
      </c>
      <c r="T1220" s="111" t="s">
        <v>888</v>
      </c>
      <c r="U1220" s="63" t="s">
        <v>445</v>
      </c>
      <c r="V1220" s="81">
        <v>43339</v>
      </c>
      <c r="W1220" s="206">
        <v>3.5</v>
      </c>
      <c r="X1220" s="85" t="s">
        <v>3412</v>
      </c>
      <c r="Y1220" s="111"/>
      <c r="Z1220" s="208">
        <v>10634750</v>
      </c>
      <c r="AA1220" s="111"/>
      <c r="AB1220" s="111"/>
      <c r="AC1220" s="111"/>
      <c r="AD1220" s="111"/>
      <c r="AE1220" s="111"/>
      <c r="AF1220" s="111"/>
      <c r="AG1220" s="111"/>
      <c r="AH1220" s="111"/>
      <c r="AI1220" s="111"/>
      <c r="AJ1220" s="111"/>
      <c r="AK1220" s="111"/>
      <c r="AL1220" s="111"/>
      <c r="AM1220" s="111"/>
      <c r="AN1220" s="111"/>
      <c r="AO1220" s="111"/>
      <c r="AP1220" s="111"/>
      <c r="AQ1220" s="111"/>
      <c r="AR1220" s="111"/>
      <c r="AS1220" s="111"/>
      <c r="AT1220" s="111"/>
      <c r="AU1220" s="111"/>
      <c r="AV1220" s="111"/>
      <c r="AW1220" s="111"/>
    </row>
    <row r="1221" spans="1:49" ht="409.6" thickTop="1" thickBot="1" x14ac:dyDescent="0.3">
      <c r="A1221" s="209">
        <v>176</v>
      </c>
      <c r="B1221" s="85" t="s">
        <v>3413</v>
      </c>
      <c r="C1221" s="120" t="s">
        <v>2834</v>
      </c>
      <c r="D1221" s="111" t="s">
        <v>714</v>
      </c>
      <c r="E1221" s="111" t="s">
        <v>2845</v>
      </c>
      <c r="F1221" s="111" t="s">
        <v>52</v>
      </c>
      <c r="G1221" s="111" t="s">
        <v>53</v>
      </c>
      <c r="H1221" s="111" t="s">
        <v>733</v>
      </c>
      <c r="I1221" s="63" t="s">
        <v>55</v>
      </c>
      <c r="J1221" s="63" t="s">
        <v>56</v>
      </c>
      <c r="K1221" s="63">
        <v>801116</v>
      </c>
      <c r="L1221" s="63" t="s">
        <v>2836</v>
      </c>
      <c r="M1221" s="63" t="s">
        <v>2837</v>
      </c>
      <c r="N1221" s="63" t="s">
        <v>2838</v>
      </c>
      <c r="O1221" s="63" t="s">
        <v>2839</v>
      </c>
      <c r="P1221" s="111" t="s">
        <v>3016</v>
      </c>
      <c r="Q1221" s="198">
        <v>4120000</v>
      </c>
      <c r="R1221" s="63">
        <v>1</v>
      </c>
      <c r="S1221" s="208">
        <f>+Q1221*R1221*W1221-13733333</f>
        <v>0.33333333395421505</v>
      </c>
      <c r="T1221" s="111" t="s">
        <v>888</v>
      </c>
      <c r="U1221" s="63" t="s">
        <v>445</v>
      </c>
      <c r="V1221" s="81">
        <v>43390</v>
      </c>
      <c r="W1221" s="206">
        <v>3.3333333333333335</v>
      </c>
      <c r="X1221" s="85"/>
      <c r="Y1221" s="111"/>
      <c r="Z1221" s="208"/>
      <c r="AA1221" s="111"/>
      <c r="AB1221" s="111"/>
      <c r="AC1221" s="111"/>
      <c r="AD1221" s="111"/>
      <c r="AE1221" s="111"/>
      <c r="AF1221" s="111"/>
      <c r="AG1221" s="111"/>
      <c r="AH1221" s="111"/>
      <c r="AI1221" s="85"/>
      <c r="AJ1221" s="111"/>
      <c r="AK1221" s="111"/>
      <c r="AL1221" s="111"/>
      <c r="AM1221" s="111"/>
      <c r="AN1221" s="111"/>
      <c r="AO1221" s="111"/>
      <c r="AP1221" s="111"/>
      <c r="AQ1221" s="111"/>
      <c r="AR1221" s="111"/>
      <c r="AS1221" s="111"/>
      <c r="AT1221" s="111"/>
      <c r="AU1221" s="111"/>
      <c r="AV1221" s="111"/>
      <c r="AW1221" s="111"/>
    </row>
    <row r="1222" spans="1:49" ht="409.6" thickTop="1" thickBot="1" x14ac:dyDescent="0.3">
      <c r="A1222" s="193">
        <v>177</v>
      </c>
      <c r="B1222" s="85" t="s">
        <v>3414</v>
      </c>
      <c r="C1222" s="120" t="s">
        <v>2834</v>
      </c>
      <c r="D1222" s="111" t="s">
        <v>714</v>
      </c>
      <c r="E1222" s="111" t="s">
        <v>2845</v>
      </c>
      <c r="F1222" s="111" t="s">
        <v>52</v>
      </c>
      <c r="G1222" s="111" t="s">
        <v>53</v>
      </c>
      <c r="H1222" s="111" t="s">
        <v>733</v>
      </c>
      <c r="I1222" s="63" t="s">
        <v>55</v>
      </c>
      <c r="J1222" s="63" t="s">
        <v>56</v>
      </c>
      <c r="K1222" s="63">
        <v>801116</v>
      </c>
      <c r="L1222" s="63" t="s">
        <v>2836</v>
      </c>
      <c r="M1222" s="63" t="s">
        <v>2837</v>
      </c>
      <c r="N1222" s="63" t="s">
        <v>2838</v>
      </c>
      <c r="O1222" s="63" t="s">
        <v>2839</v>
      </c>
      <c r="P1222" s="111" t="s">
        <v>2895</v>
      </c>
      <c r="Q1222" s="198">
        <v>4120000</v>
      </c>
      <c r="R1222" s="63">
        <v>1</v>
      </c>
      <c r="S1222" s="208">
        <f>+Q1222*R1222*W1222-10711667</f>
        <v>3021666.333333334</v>
      </c>
      <c r="T1222" s="111" t="s">
        <v>888</v>
      </c>
      <c r="U1222" s="63" t="s">
        <v>445</v>
      </c>
      <c r="V1222" s="81">
        <v>43390</v>
      </c>
      <c r="W1222" s="206">
        <v>3.3333333333333335</v>
      </c>
      <c r="X1222" s="85"/>
      <c r="Y1222" s="111"/>
      <c r="Z1222" s="208"/>
      <c r="AA1222" s="111"/>
      <c r="AB1222" s="111"/>
      <c r="AC1222" s="111"/>
      <c r="AD1222" s="111"/>
      <c r="AE1222" s="111"/>
      <c r="AF1222" s="111"/>
      <c r="AG1222" s="111"/>
      <c r="AH1222" s="111"/>
      <c r="AI1222" s="111"/>
      <c r="AJ1222" s="111"/>
      <c r="AK1222" s="111"/>
      <c r="AL1222" s="111"/>
      <c r="AM1222" s="111"/>
      <c r="AN1222" s="111"/>
      <c r="AO1222" s="111"/>
      <c r="AP1222" s="111"/>
      <c r="AQ1222" s="111"/>
      <c r="AR1222" s="111"/>
      <c r="AS1222" s="111"/>
      <c r="AT1222" s="111"/>
      <c r="AU1222" s="111"/>
      <c r="AV1222" s="111"/>
      <c r="AW1222" s="111"/>
    </row>
    <row r="1223" spans="1:49" ht="409.6" thickTop="1" thickBot="1" x14ac:dyDescent="0.3">
      <c r="A1223" s="209">
        <v>178</v>
      </c>
      <c r="B1223" s="85" t="s">
        <v>3415</v>
      </c>
      <c r="C1223" s="120" t="s">
        <v>2834</v>
      </c>
      <c r="D1223" s="111" t="s">
        <v>714</v>
      </c>
      <c r="E1223" s="111" t="s">
        <v>2845</v>
      </c>
      <c r="F1223" s="111" t="s">
        <v>52</v>
      </c>
      <c r="G1223" s="111" t="s">
        <v>53</v>
      </c>
      <c r="H1223" s="111" t="s">
        <v>733</v>
      </c>
      <c r="I1223" s="63" t="s">
        <v>55</v>
      </c>
      <c r="J1223" s="63" t="s">
        <v>56</v>
      </c>
      <c r="K1223" s="63">
        <v>801116</v>
      </c>
      <c r="L1223" s="63" t="s">
        <v>2836</v>
      </c>
      <c r="M1223" s="63" t="s">
        <v>2837</v>
      </c>
      <c r="N1223" s="63" t="s">
        <v>2838</v>
      </c>
      <c r="O1223" s="63" t="s">
        <v>2839</v>
      </c>
      <c r="P1223" s="111" t="s">
        <v>2895</v>
      </c>
      <c r="Q1223" s="198">
        <v>4120000</v>
      </c>
      <c r="R1223" s="63">
        <v>2</v>
      </c>
      <c r="S1223" s="208">
        <f>+Q1223*R1223*W1223-275000-10986667-16205000</f>
        <v>-0.3333333320915699</v>
      </c>
      <c r="T1223" s="111" t="s">
        <v>888</v>
      </c>
      <c r="U1223" s="63" t="s">
        <v>445</v>
      </c>
      <c r="V1223" s="81">
        <v>43390</v>
      </c>
      <c r="W1223" s="206">
        <v>3.3333333333333335</v>
      </c>
      <c r="X1223" s="85"/>
      <c r="Y1223" s="111"/>
      <c r="Z1223" s="208"/>
      <c r="AA1223" s="111"/>
      <c r="AB1223" s="111"/>
      <c r="AC1223" s="111"/>
      <c r="AD1223" s="111"/>
      <c r="AE1223" s="111"/>
      <c r="AF1223" s="111"/>
      <c r="AG1223" s="111"/>
      <c r="AH1223" s="111"/>
      <c r="AI1223" s="111"/>
      <c r="AJ1223" s="111"/>
      <c r="AK1223" s="111"/>
      <c r="AL1223" s="111"/>
      <c r="AM1223" s="111"/>
      <c r="AN1223" s="111"/>
      <c r="AO1223" s="111"/>
      <c r="AP1223" s="111"/>
      <c r="AQ1223" s="111"/>
      <c r="AR1223" s="111"/>
      <c r="AS1223" s="111"/>
      <c r="AT1223" s="111"/>
      <c r="AU1223" s="111"/>
      <c r="AV1223" s="111"/>
      <c r="AW1223" s="111"/>
    </row>
    <row r="1224" spans="1:49" ht="409.6" thickTop="1" thickBot="1" x14ac:dyDescent="0.3">
      <c r="A1224" s="193">
        <v>179</v>
      </c>
      <c r="B1224" s="85" t="s">
        <v>3416</v>
      </c>
      <c r="C1224" s="120" t="s">
        <v>2834</v>
      </c>
      <c r="D1224" s="111" t="s">
        <v>714</v>
      </c>
      <c r="E1224" s="111" t="s">
        <v>2845</v>
      </c>
      <c r="F1224" s="111" t="s">
        <v>52</v>
      </c>
      <c r="G1224" s="111" t="s">
        <v>53</v>
      </c>
      <c r="H1224" s="111" t="s">
        <v>733</v>
      </c>
      <c r="I1224" s="63" t="s">
        <v>55</v>
      </c>
      <c r="J1224" s="63" t="s">
        <v>56</v>
      </c>
      <c r="K1224" s="63">
        <v>801116</v>
      </c>
      <c r="L1224" s="63" t="s">
        <v>2836</v>
      </c>
      <c r="M1224" s="63" t="s">
        <v>2837</v>
      </c>
      <c r="N1224" s="63" t="s">
        <v>2838</v>
      </c>
      <c r="O1224" s="63" t="s">
        <v>2839</v>
      </c>
      <c r="P1224" s="111" t="s">
        <v>2895</v>
      </c>
      <c r="Q1224" s="198">
        <v>2400000</v>
      </c>
      <c r="R1224" s="63">
        <v>1</v>
      </c>
      <c r="S1224" s="208">
        <f>+Q1224*R1224*W1224-6351667-1648333</f>
        <v>0</v>
      </c>
      <c r="T1224" s="111" t="s">
        <v>888</v>
      </c>
      <c r="U1224" s="63" t="s">
        <v>445</v>
      </c>
      <c r="V1224" s="81">
        <v>43390</v>
      </c>
      <c r="W1224" s="206">
        <v>3.3333333333333335</v>
      </c>
      <c r="X1224" s="85"/>
      <c r="Y1224" s="111"/>
      <c r="Z1224" s="208"/>
      <c r="AA1224" s="111"/>
      <c r="AB1224" s="111"/>
      <c r="AC1224" s="111"/>
      <c r="AD1224" s="111"/>
      <c r="AE1224" s="111"/>
      <c r="AF1224" s="111"/>
      <c r="AG1224" s="111"/>
      <c r="AH1224" s="111"/>
      <c r="AI1224" s="111"/>
      <c r="AJ1224" s="111"/>
      <c r="AK1224" s="111"/>
      <c r="AL1224" s="111"/>
      <c r="AM1224" s="111"/>
      <c r="AN1224" s="111"/>
      <c r="AO1224" s="111"/>
      <c r="AP1224" s="111"/>
      <c r="AQ1224" s="111"/>
      <c r="AR1224" s="111"/>
      <c r="AS1224" s="111"/>
      <c r="AT1224" s="111"/>
      <c r="AU1224" s="111"/>
      <c r="AV1224" s="111"/>
      <c r="AW1224" s="111"/>
    </row>
    <row r="1225" spans="1:49" ht="409.6" thickTop="1" thickBot="1" x14ac:dyDescent="0.3">
      <c r="A1225" s="209">
        <v>180</v>
      </c>
      <c r="B1225" s="85" t="s">
        <v>3417</v>
      </c>
      <c r="C1225" s="120" t="s">
        <v>2834</v>
      </c>
      <c r="D1225" s="111" t="s">
        <v>714</v>
      </c>
      <c r="E1225" s="111" t="s">
        <v>2845</v>
      </c>
      <c r="F1225" s="111" t="s">
        <v>52</v>
      </c>
      <c r="G1225" s="111" t="s">
        <v>53</v>
      </c>
      <c r="H1225" s="111" t="s">
        <v>733</v>
      </c>
      <c r="I1225" s="63" t="s">
        <v>55</v>
      </c>
      <c r="J1225" s="63" t="s">
        <v>56</v>
      </c>
      <c r="K1225" s="63">
        <v>801116</v>
      </c>
      <c r="L1225" s="63" t="s">
        <v>2836</v>
      </c>
      <c r="M1225" s="63" t="s">
        <v>2837</v>
      </c>
      <c r="N1225" s="63" t="s">
        <v>2838</v>
      </c>
      <c r="O1225" s="63" t="s">
        <v>2839</v>
      </c>
      <c r="P1225" s="111" t="s">
        <v>3408</v>
      </c>
      <c r="Q1225" s="198">
        <v>4120000</v>
      </c>
      <c r="R1225" s="63">
        <v>2</v>
      </c>
      <c r="S1225" s="208">
        <f t="shared" ref="S1225" si="134">+Q1225*R1225*W1225</f>
        <v>27466666.666666668</v>
      </c>
      <c r="T1225" s="111" t="s">
        <v>888</v>
      </c>
      <c r="U1225" s="63" t="s">
        <v>445</v>
      </c>
      <c r="V1225" s="81">
        <v>43390</v>
      </c>
      <c r="W1225" s="206">
        <v>3.3333333333333335</v>
      </c>
      <c r="X1225" s="85"/>
      <c r="Y1225" s="111"/>
      <c r="Z1225" s="208"/>
      <c r="AA1225" s="111"/>
      <c r="AB1225" s="111"/>
      <c r="AC1225" s="111"/>
      <c r="AD1225" s="111"/>
      <c r="AE1225" s="111"/>
      <c r="AF1225" s="111"/>
      <c r="AG1225" s="111"/>
      <c r="AH1225" s="111"/>
      <c r="AI1225" s="111"/>
      <c r="AJ1225" s="111"/>
      <c r="AK1225" s="111"/>
      <c r="AL1225" s="111"/>
      <c r="AM1225" s="111"/>
      <c r="AN1225" s="111"/>
      <c r="AO1225" s="111"/>
      <c r="AP1225" s="111"/>
      <c r="AQ1225" s="111"/>
      <c r="AR1225" s="111"/>
      <c r="AS1225" s="111"/>
      <c r="AT1225" s="111"/>
      <c r="AU1225" s="111"/>
      <c r="AV1225" s="111"/>
      <c r="AW1225" s="111"/>
    </row>
    <row r="1226" spans="1:49" ht="409.6" thickTop="1" thickBot="1" x14ac:dyDescent="0.3">
      <c r="A1226" s="193">
        <v>181</v>
      </c>
      <c r="B1226" s="85" t="s">
        <v>3418</v>
      </c>
      <c r="C1226" s="120" t="s">
        <v>2834</v>
      </c>
      <c r="D1226" s="111" t="s">
        <v>714</v>
      </c>
      <c r="E1226" s="111" t="s">
        <v>2845</v>
      </c>
      <c r="F1226" s="111" t="s">
        <v>52</v>
      </c>
      <c r="G1226" s="111" t="s">
        <v>53</v>
      </c>
      <c r="H1226" s="111" t="s">
        <v>733</v>
      </c>
      <c r="I1226" s="63" t="s">
        <v>55</v>
      </c>
      <c r="J1226" s="63" t="s">
        <v>56</v>
      </c>
      <c r="K1226" s="63">
        <v>801116</v>
      </c>
      <c r="L1226" s="63" t="s">
        <v>2836</v>
      </c>
      <c r="M1226" s="63" t="s">
        <v>2837</v>
      </c>
      <c r="N1226" s="63" t="s">
        <v>2838</v>
      </c>
      <c r="O1226" s="63" t="s">
        <v>2839</v>
      </c>
      <c r="P1226" s="111" t="s">
        <v>2942</v>
      </c>
      <c r="Q1226" s="198">
        <v>8130000</v>
      </c>
      <c r="R1226" s="63">
        <v>1</v>
      </c>
      <c r="S1226" s="208">
        <v>27100000</v>
      </c>
      <c r="T1226" s="111" t="s">
        <v>888</v>
      </c>
      <c r="U1226" s="63" t="s">
        <v>445</v>
      </c>
      <c r="V1226" s="81">
        <v>43390</v>
      </c>
      <c r="W1226" s="206">
        <v>3.3333333333333335</v>
      </c>
      <c r="X1226" s="85"/>
      <c r="Y1226" s="111"/>
      <c r="Z1226" s="208"/>
      <c r="AA1226" s="111"/>
      <c r="AB1226" s="111"/>
      <c r="AC1226" s="111"/>
      <c r="AD1226" s="111"/>
      <c r="AE1226" s="111"/>
      <c r="AF1226" s="111"/>
      <c r="AG1226" s="111"/>
      <c r="AH1226" s="111"/>
      <c r="AI1226" s="111"/>
      <c r="AJ1226" s="111"/>
      <c r="AK1226" s="111"/>
      <c r="AL1226" s="111"/>
      <c r="AM1226" s="111"/>
      <c r="AN1226" s="111"/>
      <c r="AO1226" s="111"/>
      <c r="AP1226" s="111"/>
      <c r="AQ1226" s="111"/>
      <c r="AR1226" s="111"/>
      <c r="AS1226" s="111"/>
      <c r="AT1226" s="111"/>
      <c r="AU1226" s="111"/>
      <c r="AV1226" s="111"/>
      <c r="AW1226" s="111"/>
    </row>
    <row r="1227" spans="1:49" ht="409.6" thickTop="1" thickBot="1" x14ac:dyDescent="0.3">
      <c r="A1227" s="193">
        <v>182</v>
      </c>
      <c r="B1227" s="85" t="s">
        <v>3419</v>
      </c>
      <c r="C1227" s="120" t="s">
        <v>2834</v>
      </c>
      <c r="D1227" s="111" t="s">
        <v>714</v>
      </c>
      <c r="E1227" s="111" t="s">
        <v>2835</v>
      </c>
      <c r="F1227" s="111" t="s">
        <v>52</v>
      </c>
      <c r="G1227" s="111" t="s">
        <v>53</v>
      </c>
      <c r="H1227" s="111" t="s">
        <v>733</v>
      </c>
      <c r="I1227" s="63" t="s">
        <v>710</v>
      </c>
      <c r="J1227" s="106" t="s">
        <v>1046</v>
      </c>
      <c r="K1227" s="63">
        <v>81101500</v>
      </c>
      <c r="L1227" s="63" t="s">
        <v>2836</v>
      </c>
      <c r="M1227" s="63" t="s">
        <v>2837</v>
      </c>
      <c r="N1227" s="63" t="s">
        <v>2838</v>
      </c>
      <c r="O1227" s="63" t="s">
        <v>2839</v>
      </c>
      <c r="P1227" s="111" t="s">
        <v>3420</v>
      </c>
      <c r="Q1227" s="198">
        <f t="shared" ref="Q1227:Q1229" si="135">S1227/W1227</f>
        <v>0</v>
      </c>
      <c r="R1227" s="63">
        <v>1</v>
      </c>
      <c r="S1227" s="208"/>
      <c r="T1227" s="111" t="s">
        <v>888</v>
      </c>
      <c r="U1227" s="63" t="s">
        <v>445</v>
      </c>
      <c r="V1227" s="81">
        <v>43339</v>
      </c>
      <c r="W1227" s="206">
        <v>3.5</v>
      </c>
      <c r="X1227" s="85" t="s">
        <v>3421</v>
      </c>
      <c r="Y1227" s="111"/>
      <c r="Z1227" s="208">
        <v>17628450</v>
      </c>
      <c r="AA1227" s="111"/>
      <c r="AB1227" s="111"/>
      <c r="AC1227" s="111"/>
      <c r="AD1227" s="111"/>
      <c r="AE1227" s="111"/>
      <c r="AF1227" s="111"/>
      <c r="AG1227" s="111"/>
      <c r="AH1227" s="111"/>
      <c r="AI1227" s="111"/>
      <c r="AJ1227" s="111"/>
      <c r="AK1227" s="111"/>
      <c r="AL1227" s="111"/>
      <c r="AM1227" s="111"/>
      <c r="AN1227" s="111"/>
      <c r="AO1227" s="111"/>
      <c r="AP1227" s="111"/>
      <c r="AQ1227" s="111"/>
      <c r="AR1227" s="111"/>
      <c r="AS1227" s="111"/>
      <c r="AT1227" s="111"/>
      <c r="AU1227" s="111"/>
      <c r="AV1227" s="111"/>
      <c r="AW1227" s="111"/>
    </row>
    <row r="1228" spans="1:49" ht="357.75" thickTop="1" thickBot="1" x14ac:dyDescent="0.3">
      <c r="A1228" s="193">
        <v>183</v>
      </c>
      <c r="B1228" s="85" t="s">
        <v>3422</v>
      </c>
      <c r="C1228" s="120" t="s">
        <v>2834</v>
      </c>
      <c r="D1228" s="111" t="s">
        <v>714</v>
      </c>
      <c r="E1228" s="111" t="s">
        <v>2835</v>
      </c>
      <c r="F1228" s="111" t="s">
        <v>52</v>
      </c>
      <c r="G1228" s="111" t="s">
        <v>53</v>
      </c>
      <c r="H1228" s="111" t="s">
        <v>733</v>
      </c>
      <c r="I1228" s="63" t="s">
        <v>710</v>
      </c>
      <c r="J1228" s="106" t="s">
        <v>1046</v>
      </c>
      <c r="K1228" s="63">
        <v>81101500</v>
      </c>
      <c r="L1228" s="63" t="s">
        <v>2836</v>
      </c>
      <c r="M1228" s="63" t="s">
        <v>2837</v>
      </c>
      <c r="N1228" s="63" t="s">
        <v>2838</v>
      </c>
      <c r="O1228" s="63" t="s">
        <v>2839</v>
      </c>
      <c r="P1228" s="111" t="s">
        <v>3423</v>
      </c>
      <c r="Q1228" s="198">
        <f t="shared" si="135"/>
        <v>5036700.0503670005</v>
      </c>
      <c r="R1228" s="63">
        <v>1</v>
      </c>
      <c r="S1228" s="198">
        <v>16789000</v>
      </c>
      <c r="T1228" s="111" t="s">
        <v>888</v>
      </c>
      <c r="U1228" s="63" t="s">
        <v>445</v>
      </c>
      <c r="V1228" s="81">
        <v>43339</v>
      </c>
      <c r="W1228" s="206">
        <v>3.3333333000000001</v>
      </c>
      <c r="X1228" s="85" t="s">
        <v>3424</v>
      </c>
      <c r="Y1228" s="81">
        <v>43360</v>
      </c>
      <c r="Z1228" s="208">
        <v>16789000</v>
      </c>
      <c r="AA1228" s="111"/>
      <c r="AB1228" s="111"/>
      <c r="AC1228" s="111"/>
      <c r="AD1228" s="111"/>
      <c r="AE1228" s="111"/>
      <c r="AF1228" s="111"/>
      <c r="AG1228" s="111"/>
      <c r="AH1228" s="111"/>
      <c r="AI1228" s="111"/>
      <c r="AJ1228" s="111"/>
      <c r="AK1228" s="111"/>
      <c r="AL1228" s="111"/>
      <c r="AM1228" s="111"/>
      <c r="AN1228" s="111"/>
      <c r="AO1228" s="111"/>
      <c r="AP1228" s="111"/>
      <c r="AQ1228" s="111"/>
      <c r="AR1228" s="111"/>
      <c r="AS1228" s="111"/>
      <c r="AT1228" s="111"/>
      <c r="AU1228" s="111"/>
      <c r="AV1228" s="111"/>
      <c r="AW1228" s="111"/>
    </row>
    <row r="1229" spans="1:49" ht="357.75" thickTop="1" thickBot="1" x14ac:dyDescent="0.3">
      <c r="A1229" s="193">
        <v>184</v>
      </c>
      <c r="B1229" s="85" t="s">
        <v>3425</v>
      </c>
      <c r="C1229" s="120" t="s">
        <v>2834</v>
      </c>
      <c r="D1229" s="111" t="s">
        <v>714</v>
      </c>
      <c r="E1229" s="111" t="s">
        <v>2835</v>
      </c>
      <c r="F1229" s="111" t="s">
        <v>52</v>
      </c>
      <c r="G1229" s="111" t="s">
        <v>53</v>
      </c>
      <c r="H1229" s="111" t="s">
        <v>733</v>
      </c>
      <c r="I1229" s="63" t="s">
        <v>710</v>
      </c>
      <c r="J1229" s="106" t="s">
        <v>3183</v>
      </c>
      <c r="K1229" s="63">
        <v>81101500</v>
      </c>
      <c r="L1229" s="63" t="s">
        <v>2836</v>
      </c>
      <c r="M1229" s="63" t="s">
        <v>2837</v>
      </c>
      <c r="N1229" s="63" t="s">
        <v>2838</v>
      </c>
      <c r="O1229" s="63" t="s">
        <v>2839</v>
      </c>
      <c r="P1229" s="111" t="s">
        <v>3426</v>
      </c>
      <c r="Q1229" s="198">
        <f t="shared" si="135"/>
        <v>3399000.0339900004</v>
      </c>
      <c r="R1229" s="63">
        <v>1</v>
      </c>
      <c r="S1229" s="208">
        <v>11330000</v>
      </c>
      <c r="T1229" s="111" t="s">
        <v>888</v>
      </c>
      <c r="U1229" s="63" t="s">
        <v>445</v>
      </c>
      <c r="V1229" s="81">
        <v>43339</v>
      </c>
      <c r="W1229" s="206">
        <v>3.3333333000000001</v>
      </c>
      <c r="X1229" s="85" t="s">
        <v>3427</v>
      </c>
      <c r="Y1229" s="81">
        <v>43360</v>
      </c>
      <c r="Z1229" s="198">
        <v>11330000</v>
      </c>
      <c r="AA1229" s="111"/>
      <c r="AB1229" s="111"/>
      <c r="AC1229" s="111"/>
      <c r="AD1229" s="111"/>
      <c r="AE1229" s="111"/>
      <c r="AF1229" s="111"/>
      <c r="AG1229" s="111"/>
      <c r="AH1229" s="111"/>
      <c r="AI1229" s="111"/>
      <c r="AJ1229" s="111"/>
      <c r="AK1229" s="111"/>
      <c r="AL1229" s="111"/>
      <c r="AM1229" s="111"/>
      <c r="AN1229" s="111"/>
      <c r="AO1229" s="111"/>
      <c r="AP1229" s="111"/>
      <c r="AQ1229" s="111"/>
      <c r="AR1229" s="111"/>
      <c r="AS1229" s="111"/>
      <c r="AT1229" s="111"/>
      <c r="AU1229" s="111"/>
      <c r="AV1229" s="111"/>
      <c r="AW1229" s="111"/>
    </row>
    <row r="1230" spans="1:49" ht="409.6" thickTop="1" thickBot="1" x14ac:dyDescent="0.3">
      <c r="A1230" s="193">
        <v>185</v>
      </c>
      <c r="B1230" s="85" t="s">
        <v>3428</v>
      </c>
      <c r="C1230" s="120" t="s">
        <v>2834</v>
      </c>
      <c r="D1230" s="111" t="s">
        <v>714</v>
      </c>
      <c r="E1230" s="111" t="s">
        <v>2845</v>
      </c>
      <c r="F1230" s="111" t="s">
        <v>52</v>
      </c>
      <c r="G1230" s="111" t="s">
        <v>53</v>
      </c>
      <c r="H1230" s="111" t="s">
        <v>733</v>
      </c>
      <c r="I1230" s="63" t="s">
        <v>55</v>
      </c>
      <c r="J1230" s="63" t="s">
        <v>56</v>
      </c>
      <c r="K1230" s="63">
        <v>81101500</v>
      </c>
      <c r="L1230" s="63" t="s">
        <v>2836</v>
      </c>
      <c r="M1230" s="63" t="s">
        <v>2837</v>
      </c>
      <c r="N1230" s="63" t="s">
        <v>2838</v>
      </c>
      <c r="O1230" s="63" t="s">
        <v>2839</v>
      </c>
      <c r="P1230" s="111" t="s">
        <v>3429</v>
      </c>
      <c r="Q1230" s="198">
        <f t="shared" ref="Q1230:Q1235" si="136">(S1230/R1230)/W1230</f>
        <v>6695000</v>
      </c>
      <c r="R1230" s="63">
        <v>1</v>
      </c>
      <c r="S1230" s="208">
        <f>13733333+6351667</f>
        <v>20085000</v>
      </c>
      <c r="T1230" s="111" t="s">
        <v>888</v>
      </c>
      <c r="U1230" s="63" t="s">
        <v>445</v>
      </c>
      <c r="V1230" s="81">
        <v>43363</v>
      </c>
      <c r="W1230" s="206">
        <v>3</v>
      </c>
      <c r="X1230" s="85" t="s">
        <v>3430</v>
      </c>
      <c r="Y1230" s="81">
        <v>43363</v>
      </c>
      <c r="Z1230" s="208">
        <f>13733333+6351667</f>
        <v>20085000</v>
      </c>
      <c r="AA1230" s="63" t="s">
        <v>3431</v>
      </c>
      <c r="AB1230" s="111"/>
      <c r="AC1230" s="111"/>
      <c r="AD1230" s="111"/>
      <c r="AE1230" s="111"/>
      <c r="AF1230" s="111"/>
      <c r="AG1230" s="111"/>
      <c r="AH1230" s="111"/>
      <c r="AI1230" s="85"/>
      <c r="AJ1230" s="111"/>
      <c r="AK1230" s="111"/>
      <c r="AL1230" s="111"/>
      <c r="AM1230" s="111"/>
      <c r="AN1230" s="111"/>
      <c r="AO1230" s="111"/>
      <c r="AP1230" s="111"/>
      <c r="AQ1230" s="111"/>
      <c r="AR1230" s="111"/>
      <c r="AS1230" s="111"/>
      <c r="AT1230" s="111"/>
      <c r="AU1230" s="111"/>
      <c r="AV1230" s="111"/>
      <c r="AW1230" s="111"/>
    </row>
    <row r="1231" spans="1:49" ht="357.75" thickTop="1" thickBot="1" x14ac:dyDescent="0.3">
      <c r="A1231" s="193">
        <v>186</v>
      </c>
      <c r="B1231" s="85" t="s">
        <v>3432</v>
      </c>
      <c r="C1231" s="120" t="s">
        <v>2834</v>
      </c>
      <c r="D1231" s="111" t="s">
        <v>714</v>
      </c>
      <c r="E1231" s="111" t="s">
        <v>2835</v>
      </c>
      <c r="F1231" s="111" t="s">
        <v>52</v>
      </c>
      <c r="G1231" s="111" t="s">
        <v>53</v>
      </c>
      <c r="H1231" s="111" t="s">
        <v>733</v>
      </c>
      <c r="I1231" s="63" t="s">
        <v>710</v>
      </c>
      <c r="J1231" s="106" t="s">
        <v>1046</v>
      </c>
      <c r="K1231" s="63">
        <v>93141500</v>
      </c>
      <c r="L1231" s="63" t="s">
        <v>2836</v>
      </c>
      <c r="M1231" s="63" t="s">
        <v>2837</v>
      </c>
      <c r="N1231" s="63" t="s">
        <v>2838</v>
      </c>
      <c r="O1231" s="63" t="s">
        <v>2839</v>
      </c>
      <c r="P1231" s="111" t="s">
        <v>3433</v>
      </c>
      <c r="Q1231" s="198">
        <f t="shared" si="136"/>
        <v>4120000</v>
      </c>
      <c r="R1231" s="63">
        <v>1</v>
      </c>
      <c r="S1231" s="208">
        <v>12360000</v>
      </c>
      <c r="T1231" s="111" t="s">
        <v>888</v>
      </c>
      <c r="U1231" s="63" t="s">
        <v>445</v>
      </c>
      <c r="V1231" s="81">
        <v>43368</v>
      </c>
      <c r="W1231" s="206">
        <v>3</v>
      </c>
      <c r="X1231" s="85" t="s">
        <v>3434</v>
      </c>
      <c r="Y1231" s="81">
        <v>43367</v>
      </c>
      <c r="Z1231" s="208">
        <v>12360000</v>
      </c>
      <c r="AA1231" s="63"/>
      <c r="AB1231" s="111"/>
      <c r="AC1231" s="111"/>
      <c r="AD1231" s="111"/>
      <c r="AE1231" s="111"/>
      <c r="AF1231" s="111"/>
      <c r="AG1231" s="111"/>
      <c r="AH1231" s="111"/>
      <c r="AI1231" s="85"/>
      <c r="AJ1231" s="111"/>
      <c r="AK1231" s="111"/>
      <c r="AL1231" s="111"/>
      <c r="AM1231" s="111"/>
      <c r="AN1231" s="111"/>
      <c r="AO1231" s="111"/>
      <c r="AP1231" s="111"/>
      <c r="AQ1231" s="111"/>
      <c r="AR1231" s="111"/>
      <c r="AS1231" s="111"/>
      <c r="AT1231" s="111"/>
      <c r="AU1231" s="111"/>
      <c r="AV1231" s="111"/>
      <c r="AW1231" s="111"/>
    </row>
    <row r="1232" spans="1:49" ht="409.6" thickTop="1" thickBot="1" x14ac:dyDescent="0.3">
      <c r="A1232" s="193">
        <v>187</v>
      </c>
      <c r="B1232" s="85" t="s">
        <v>3435</v>
      </c>
      <c r="C1232" s="120" t="s">
        <v>2834</v>
      </c>
      <c r="D1232" s="111" t="s">
        <v>714</v>
      </c>
      <c r="E1232" s="111" t="s">
        <v>2845</v>
      </c>
      <c r="F1232" s="111" t="s">
        <v>52</v>
      </c>
      <c r="G1232" s="111" t="s">
        <v>53</v>
      </c>
      <c r="H1232" s="111" t="s">
        <v>733</v>
      </c>
      <c r="I1232" s="63" t="s">
        <v>55</v>
      </c>
      <c r="J1232" s="63" t="s">
        <v>56</v>
      </c>
      <c r="K1232" s="63">
        <v>81101500</v>
      </c>
      <c r="L1232" s="63" t="s">
        <v>2836</v>
      </c>
      <c r="M1232" s="63" t="s">
        <v>2837</v>
      </c>
      <c r="N1232" s="63" t="s">
        <v>2838</v>
      </c>
      <c r="O1232" s="63" t="s">
        <v>2839</v>
      </c>
      <c r="P1232" s="111" t="s">
        <v>3266</v>
      </c>
      <c r="Q1232" s="198">
        <f t="shared" si="136"/>
        <v>4119999.6100000488</v>
      </c>
      <c r="R1232" s="63">
        <v>1</v>
      </c>
      <c r="S1232" s="208">
        <v>10986667</v>
      </c>
      <c r="T1232" s="111" t="s">
        <v>888</v>
      </c>
      <c r="U1232" s="63" t="s">
        <v>445</v>
      </c>
      <c r="V1232" s="81">
        <v>43368</v>
      </c>
      <c r="W1232" s="206">
        <v>2.6666669999999999</v>
      </c>
      <c r="X1232" s="85" t="s">
        <v>3436</v>
      </c>
      <c r="Y1232" s="81">
        <v>43374</v>
      </c>
      <c r="Z1232" s="208">
        <v>10986667</v>
      </c>
      <c r="AA1232" s="63" t="s">
        <v>3437</v>
      </c>
      <c r="AB1232" s="111"/>
      <c r="AC1232" s="111"/>
      <c r="AD1232" s="111"/>
      <c r="AE1232" s="111"/>
      <c r="AF1232" s="111"/>
      <c r="AG1232" s="111"/>
      <c r="AH1232" s="111"/>
      <c r="AI1232" s="85"/>
      <c r="AJ1232" s="111"/>
      <c r="AK1232" s="111"/>
      <c r="AL1232" s="111"/>
      <c r="AM1232" s="111"/>
      <c r="AN1232" s="111"/>
      <c r="AO1232" s="111"/>
      <c r="AP1232" s="111"/>
      <c r="AQ1232" s="111"/>
      <c r="AR1232" s="111"/>
      <c r="AS1232" s="111"/>
      <c r="AT1232" s="111"/>
      <c r="AU1232" s="111"/>
      <c r="AV1232" s="111"/>
      <c r="AW1232" s="111"/>
    </row>
    <row r="1233" spans="1:49" ht="409.6" thickTop="1" thickBot="1" x14ac:dyDescent="0.3">
      <c r="A1233" s="193">
        <v>188</v>
      </c>
      <c r="B1233" s="85" t="s">
        <v>3438</v>
      </c>
      <c r="C1233" s="120" t="s">
        <v>2834</v>
      </c>
      <c r="D1233" s="111" t="s">
        <v>714</v>
      </c>
      <c r="E1233" s="111" t="s">
        <v>2845</v>
      </c>
      <c r="F1233" s="111" t="s">
        <v>52</v>
      </c>
      <c r="G1233" s="111" t="s">
        <v>53</v>
      </c>
      <c r="H1233" s="111" t="s">
        <v>733</v>
      </c>
      <c r="I1233" s="63" t="s">
        <v>55</v>
      </c>
      <c r="J1233" s="63" t="s">
        <v>56</v>
      </c>
      <c r="K1233" s="63">
        <v>81101500</v>
      </c>
      <c r="L1233" s="63" t="s">
        <v>2836</v>
      </c>
      <c r="M1233" s="63" t="s">
        <v>2837</v>
      </c>
      <c r="N1233" s="63" t="s">
        <v>2838</v>
      </c>
      <c r="O1233" s="63" t="s">
        <v>2839</v>
      </c>
      <c r="P1233" s="111" t="s">
        <v>3266</v>
      </c>
      <c r="Q1233" s="198">
        <f t="shared" si="136"/>
        <v>4119999.6100000488</v>
      </c>
      <c r="R1233" s="63">
        <v>1</v>
      </c>
      <c r="S1233" s="208">
        <v>10986667</v>
      </c>
      <c r="T1233" s="111" t="s">
        <v>888</v>
      </c>
      <c r="U1233" s="63" t="s">
        <v>445</v>
      </c>
      <c r="V1233" s="81">
        <v>43368</v>
      </c>
      <c r="W1233" s="206">
        <v>2.6666669999999999</v>
      </c>
      <c r="X1233" s="85" t="s">
        <v>3439</v>
      </c>
      <c r="Y1233" s="81">
        <v>43374</v>
      </c>
      <c r="Z1233" s="208">
        <v>10986667</v>
      </c>
      <c r="AA1233" s="63" t="s">
        <v>3440</v>
      </c>
      <c r="AB1233" s="111"/>
      <c r="AC1233" s="111"/>
      <c r="AD1233" s="111"/>
      <c r="AE1233" s="111"/>
      <c r="AF1233" s="111"/>
      <c r="AG1233" s="111"/>
      <c r="AH1233" s="111"/>
      <c r="AI1233" s="85"/>
      <c r="AJ1233" s="111"/>
      <c r="AK1233" s="111"/>
      <c r="AL1233" s="111"/>
      <c r="AM1233" s="111"/>
      <c r="AN1233" s="111"/>
      <c r="AO1233" s="111"/>
      <c r="AP1233" s="111"/>
      <c r="AQ1233" s="111"/>
      <c r="AR1233" s="111"/>
      <c r="AS1233" s="111"/>
      <c r="AT1233" s="111"/>
      <c r="AU1233" s="111"/>
      <c r="AV1233" s="111"/>
      <c r="AW1233" s="111"/>
    </row>
    <row r="1234" spans="1:49" ht="409.6" thickTop="1" thickBot="1" x14ac:dyDescent="0.3">
      <c r="A1234" s="193">
        <v>189</v>
      </c>
      <c r="B1234" s="85" t="s">
        <v>3441</v>
      </c>
      <c r="C1234" s="120" t="s">
        <v>2834</v>
      </c>
      <c r="D1234" s="111" t="s">
        <v>714</v>
      </c>
      <c r="E1234" s="111" t="s">
        <v>2845</v>
      </c>
      <c r="F1234" s="111" t="s">
        <v>52</v>
      </c>
      <c r="G1234" s="111" t="s">
        <v>53</v>
      </c>
      <c r="H1234" s="111" t="s">
        <v>733</v>
      </c>
      <c r="I1234" s="63" t="s">
        <v>55</v>
      </c>
      <c r="J1234" s="63" t="s">
        <v>56</v>
      </c>
      <c r="K1234" s="63">
        <v>81101500</v>
      </c>
      <c r="L1234" s="63" t="s">
        <v>2836</v>
      </c>
      <c r="M1234" s="63" t="s">
        <v>2837</v>
      </c>
      <c r="N1234" s="63" t="s">
        <v>2838</v>
      </c>
      <c r="O1234" s="63" t="s">
        <v>2839</v>
      </c>
      <c r="P1234" s="111" t="s">
        <v>3442</v>
      </c>
      <c r="Q1234" s="198">
        <f t="shared" si="136"/>
        <v>6694999.0381251201</v>
      </c>
      <c r="R1234" s="63">
        <v>1</v>
      </c>
      <c r="S1234" s="208">
        <v>17853333</v>
      </c>
      <c r="T1234" s="111" t="s">
        <v>888</v>
      </c>
      <c r="U1234" s="63" t="s">
        <v>445</v>
      </c>
      <c r="V1234" s="81">
        <v>43368</v>
      </c>
      <c r="W1234" s="206">
        <v>2.6666669999999999</v>
      </c>
      <c r="X1234" s="85" t="s">
        <v>3443</v>
      </c>
      <c r="Y1234" s="81">
        <v>43374</v>
      </c>
      <c r="Z1234" s="208">
        <v>17853333</v>
      </c>
      <c r="AA1234" s="63" t="s">
        <v>3444</v>
      </c>
      <c r="AB1234" s="111"/>
      <c r="AC1234" s="111"/>
      <c r="AD1234" s="111"/>
      <c r="AE1234" s="111"/>
      <c r="AF1234" s="111"/>
      <c r="AG1234" s="111"/>
      <c r="AH1234" s="111"/>
      <c r="AI1234" s="85"/>
      <c r="AJ1234" s="111"/>
      <c r="AK1234" s="111"/>
      <c r="AL1234" s="111"/>
      <c r="AM1234" s="111"/>
      <c r="AN1234" s="111"/>
      <c r="AO1234" s="111"/>
      <c r="AP1234" s="111"/>
      <c r="AQ1234" s="111"/>
      <c r="AR1234" s="111"/>
      <c r="AS1234" s="111"/>
      <c r="AT1234" s="111"/>
      <c r="AU1234" s="111"/>
      <c r="AV1234" s="111"/>
      <c r="AW1234" s="111"/>
    </row>
    <row r="1235" spans="1:49" ht="357.75" thickTop="1" thickBot="1" x14ac:dyDescent="0.3">
      <c r="A1235" s="193">
        <v>190</v>
      </c>
      <c r="B1235" s="85" t="s">
        <v>3445</v>
      </c>
      <c r="C1235" s="120" t="s">
        <v>2834</v>
      </c>
      <c r="D1235" s="111" t="s">
        <v>714</v>
      </c>
      <c r="E1235" s="111" t="s">
        <v>2835</v>
      </c>
      <c r="F1235" s="111" t="s">
        <v>52</v>
      </c>
      <c r="G1235" s="111" t="s">
        <v>53</v>
      </c>
      <c r="H1235" s="111" t="s">
        <v>733</v>
      </c>
      <c r="I1235" s="63" t="s">
        <v>710</v>
      </c>
      <c r="J1235" s="106" t="s">
        <v>3183</v>
      </c>
      <c r="K1235" s="63">
        <v>81101500</v>
      </c>
      <c r="L1235" s="63" t="s">
        <v>2836</v>
      </c>
      <c r="M1235" s="63" t="s">
        <v>2837</v>
      </c>
      <c r="N1235" s="63" t="s">
        <v>2838</v>
      </c>
      <c r="O1235" s="63" t="s">
        <v>2839</v>
      </c>
      <c r="P1235" s="111" t="s">
        <v>3446</v>
      </c>
      <c r="Q1235" s="198">
        <f t="shared" si="136"/>
        <v>3553500</v>
      </c>
      <c r="R1235" s="63">
        <v>1</v>
      </c>
      <c r="S1235" s="208">
        <v>8883750</v>
      </c>
      <c r="T1235" s="111" t="s">
        <v>888</v>
      </c>
      <c r="U1235" s="63" t="s">
        <v>445</v>
      </c>
      <c r="V1235" s="81">
        <v>43368</v>
      </c>
      <c r="W1235" s="206">
        <v>2.5</v>
      </c>
      <c r="X1235" s="85" t="s">
        <v>3447</v>
      </c>
      <c r="Y1235" s="81">
        <v>43374</v>
      </c>
      <c r="Z1235" s="208">
        <v>8883750</v>
      </c>
      <c r="AA1235" s="63" t="s">
        <v>3448</v>
      </c>
      <c r="AB1235" s="111"/>
      <c r="AC1235" s="111"/>
      <c r="AD1235" s="111"/>
      <c r="AE1235" s="111"/>
      <c r="AF1235" s="111"/>
      <c r="AG1235" s="111"/>
      <c r="AH1235" s="111"/>
      <c r="AI1235" s="85"/>
      <c r="AJ1235" s="111"/>
      <c r="AK1235" s="111"/>
      <c r="AL1235" s="111"/>
      <c r="AM1235" s="111"/>
      <c r="AN1235" s="111"/>
      <c r="AO1235" s="111"/>
      <c r="AP1235" s="111"/>
      <c r="AQ1235" s="111"/>
      <c r="AR1235" s="111"/>
      <c r="AS1235" s="111"/>
      <c r="AT1235" s="111"/>
      <c r="AU1235" s="111"/>
      <c r="AV1235" s="111"/>
      <c r="AW1235" s="111"/>
    </row>
    <row r="1236" spans="1:49" ht="15.75" thickTop="1" x14ac:dyDescent="0.25">
      <c r="A1236" s="59"/>
      <c r="B1236" s="59"/>
      <c r="C1236" s="59"/>
      <c r="D1236" s="59"/>
      <c r="E1236" s="59"/>
      <c r="F1236" s="59"/>
      <c r="G1236" s="59"/>
      <c r="H1236" s="59"/>
      <c r="I1236" s="59"/>
      <c r="J1236" s="59"/>
      <c r="K1236" s="59"/>
      <c r="L1236" s="59"/>
      <c r="M1236" s="59"/>
      <c r="N1236" s="59"/>
      <c r="O1236" s="59"/>
      <c r="P1236" s="59"/>
      <c r="Q1236" s="59"/>
      <c r="R1236" s="59"/>
      <c r="S1236" s="59"/>
      <c r="T1236" s="59"/>
      <c r="U1236" s="59"/>
      <c r="V1236" s="59"/>
      <c r="W1236" s="59"/>
      <c r="X1236" s="59"/>
      <c r="Y1236" s="59"/>
      <c r="Z1236" s="59"/>
      <c r="AA1236" s="59"/>
      <c r="AB1236" s="59"/>
      <c r="AC1236" s="59"/>
      <c r="AD1236" s="59"/>
      <c r="AE1236" s="59"/>
      <c r="AF1236" s="59"/>
      <c r="AG1236" s="59"/>
      <c r="AH1236" s="59"/>
      <c r="AI1236" s="59"/>
      <c r="AJ1236" s="59"/>
      <c r="AK1236" s="59"/>
      <c r="AL1236" s="59"/>
      <c r="AM1236" s="59"/>
      <c r="AN1236" s="59"/>
      <c r="AO1236" s="59"/>
      <c r="AP1236" s="59"/>
      <c r="AQ1236" s="59"/>
      <c r="AR1236" s="59"/>
      <c r="AS1236" s="59"/>
      <c r="AT1236" s="59"/>
      <c r="AU1236" s="59"/>
      <c r="AV1236" s="59"/>
      <c r="AW1236" s="59"/>
    </row>
    <row r="1237" spans="1:49" x14ac:dyDescent="0.25">
      <c r="A1237" s="75">
        <v>1</v>
      </c>
      <c r="B1237" s="75" t="s">
        <v>3449</v>
      </c>
      <c r="C1237" s="56" t="s">
        <v>3450</v>
      </c>
      <c r="D1237" s="56" t="s">
        <v>3451</v>
      </c>
      <c r="E1237" s="121">
        <v>145</v>
      </c>
      <c r="F1237" s="75" t="s">
        <v>3452</v>
      </c>
      <c r="G1237" s="75" t="s">
        <v>3453</v>
      </c>
      <c r="H1237" s="56" t="s">
        <v>3454</v>
      </c>
      <c r="I1237" s="56" t="s">
        <v>55</v>
      </c>
      <c r="J1237" s="56" t="s">
        <v>3455</v>
      </c>
      <c r="K1237" s="57">
        <v>57922050</v>
      </c>
      <c r="L1237" s="57">
        <v>35089010</v>
      </c>
      <c r="M1237" s="57">
        <f t="shared" ref="M1237:M1279" si="137">K1237-L1237</f>
        <v>22833040</v>
      </c>
      <c r="N1237" s="75">
        <v>6</v>
      </c>
      <c r="O1237" s="122">
        <v>43112</v>
      </c>
      <c r="P1237" s="56" t="s">
        <v>3456</v>
      </c>
      <c r="Q1237" s="75">
        <v>145</v>
      </c>
      <c r="R1237" s="75">
        <v>6</v>
      </c>
      <c r="S1237" s="56" t="s">
        <v>3457</v>
      </c>
      <c r="T1237" s="57">
        <v>57922050</v>
      </c>
      <c r="U1237" s="57">
        <v>35089010</v>
      </c>
      <c r="V1237" s="57">
        <v>0</v>
      </c>
      <c r="W1237" s="57">
        <v>22833040</v>
      </c>
      <c r="X1237" s="57">
        <v>22833040</v>
      </c>
      <c r="Y1237" s="57">
        <v>0</v>
      </c>
      <c r="Z1237" s="59"/>
      <c r="AA1237" s="59"/>
      <c r="AB1237" s="59"/>
      <c r="AC1237" s="59"/>
      <c r="AD1237" s="59"/>
      <c r="AE1237" s="59"/>
      <c r="AF1237" s="59"/>
      <c r="AG1237" s="59"/>
      <c r="AH1237" s="59"/>
      <c r="AI1237" s="59"/>
      <c r="AJ1237" s="59"/>
      <c r="AK1237" s="59"/>
      <c r="AL1237" s="59"/>
      <c r="AM1237" s="59"/>
      <c r="AN1237" s="59"/>
      <c r="AO1237" s="59"/>
      <c r="AP1237" s="59"/>
      <c r="AQ1237" s="59"/>
      <c r="AR1237" s="59"/>
      <c r="AS1237" s="59"/>
      <c r="AT1237" s="59"/>
      <c r="AU1237" s="59"/>
      <c r="AV1237" s="59"/>
      <c r="AW1237" s="59"/>
    </row>
    <row r="1238" spans="1:49" x14ac:dyDescent="0.25">
      <c r="A1238" s="75">
        <v>3</v>
      </c>
      <c r="B1238" s="75" t="s">
        <v>3458</v>
      </c>
      <c r="C1238" s="56" t="s">
        <v>3450</v>
      </c>
      <c r="D1238" s="56" t="s">
        <v>3451</v>
      </c>
      <c r="E1238" s="121">
        <v>144</v>
      </c>
      <c r="F1238" s="75" t="s">
        <v>3452</v>
      </c>
      <c r="G1238" s="75" t="s">
        <v>3453</v>
      </c>
      <c r="H1238" s="56" t="s">
        <v>3459</v>
      </c>
      <c r="I1238" s="56" t="s">
        <v>55</v>
      </c>
      <c r="J1238" s="56" t="s">
        <v>3455</v>
      </c>
      <c r="K1238" s="57">
        <v>76992500</v>
      </c>
      <c r="L1238" s="57">
        <v>0</v>
      </c>
      <c r="M1238" s="57">
        <f t="shared" si="137"/>
        <v>76992500</v>
      </c>
      <c r="N1238" s="75">
        <v>105</v>
      </c>
      <c r="O1238" s="122">
        <v>43116</v>
      </c>
      <c r="P1238" s="56" t="s">
        <v>3460</v>
      </c>
      <c r="Q1238" s="75">
        <v>145</v>
      </c>
      <c r="R1238" s="75">
        <v>92</v>
      </c>
      <c r="S1238" s="56" t="s">
        <v>3459</v>
      </c>
      <c r="T1238" s="57">
        <v>76992500</v>
      </c>
      <c r="U1238" s="57">
        <v>0</v>
      </c>
      <c r="V1238" s="57">
        <v>0</v>
      </c>
      <c r="W1238" s="57">
        <v>76992500</v>
      </c>
      <c r="X1238" s="57">
        <v>50212500</v>
      </c>
      <c r="Y1238" s="57">
        <v>26780000</v>
      </c>
      <c r="Z1238" s="59"/>
      <c r="AA1238" s="59"/>
      <c r="AB1238" s="59"/>
      <c r="AC1238" s="59"/>
      <c r="AD1238" s="59"/>
      <c r="AE1238" s="59"/>
      <c r="AF1238" s="59"/>
      <c r="AG1238" s="59"/>
      <c r="AH1238" s="59"/>
      <c r="AI1238" s="59"/>
      <c r="AJ1238" s="59"/>
      <c r="AK1238" s="59"/>
      <c r="AL1238" s="59"/>
      <c r="AM1238" s="59"/>
      <c r="AN1238" s="59"/>
      <c r="AO1238" s="59"/>
      <c r="AP1238" s="59"/>
      <c r="AQ1238" s="59"/>
      <c r="AR1238" s="59"/>
      <c r="AS1238" s="59"/>
      <c r="AT1238" s="59"/>
      <c r="AU1238" s="59"/>
      <c r="AV1238" s="59"/>
      <c r="AW1238" s="59"/>
    </row>
    <row r="1239" spans="1:49" x14ac:dyDescent="0.25">
      <c r="A1239" s="75">
        <v>4</v>
      </c>
      <c r="B1239" s="75" t="s">
        <v>3461</v>
      </c>
      <c r="C1239" s="56" t="s">
        <v>3450</v>
      </c>
      <c r="D1239" s="56" t="s">
        <v>3451</v>
      </c>
      <c r="E1239" s="121">
        <v>143</v>
      </c>
      <c r="F1239" s="75" t="s">
        <v>3452</v>
      </c>
      <c r="G1239" s="75" t="s">
        <v>3453</v>
      </c>
      <c r="H1239" s="56" t="s">
        <v>3462</v>
      </c>
      <c r="I1239" s="56" t="s">
        <v>55</v>
      </c>
      <c r="J1239" s="56" t="s">
        <v>3455</v>
      </c>
      <c r="K1239" s="57">
        <v>110000000</v>
      </c>
      <c r="L1239" s="57">
        <v>0</v>
      </c>
      <c r="M1239" s="57">
        <f t="shared" si="137"/>
        <v>110000000</v>
      </c>
      <c r="N1239" s="75">
        <v>383</v>
      </c>
      <c r="O1239" s="122">
        <v>43124</v>
      </c>
      <c r="P1239" s="56" t="s">
        <v>3463</v>
      </c>
      <c r="Q1239" s="75">
        <v>145</v>
      </c>
      <c r="R1239" s="75">
        <v>360</v>
      </c>
      <c r="S1239" s="56" t="s">
        <v>3462</v>
      </c>
      <c r="T1239" s="57">
        <v>110000000</v>
      </c>
      <c r="U1239" s="57">
        <v>0</v>
      </c>
      <c r="V1239" s="57">
        <v>0</v>
      </c>
      <c r="W1239" s="57">
        <v>110000000</v>
      </c>
      <c r="X1239" s="57">
        <v>71666667</v>
      </c>
      <c r="Y1239" s="57">
        <v>38333333</v>
      </c>
      <c r="Z1239" s="59"/>
      <c r="AA1239" s="59"/>
      <c r="AB1239" s="59"/>
      <c r="AC1239" s="59"/>
      <c r="AD1239" s="59"/>
      <c r="AE1239" s="59"/>
      <c r="AF1239" s="59"/>
      <c r="AG1239" s="59"/>
      <c r="AH1239" s="59"/>
      <c r="AI1239" s="59"/>
      <c r="AJ1239" s="59"/>
      <c r="AK1239" s="59"/>
      <c r="AL1239" s="59"/>
      <c r="AM1239" s="59"/>
      <c r="AN1239" s="59"/>
      <c r="AO1239" s="59"/>
      <c r="AP1239" s="59"/>
      <c r="AQ1239" s="59"/>
      <c r="AR1239" s="59"/>
      <c r="AS1239" s="59"/>
      <c r="AT1239" s="59"/>
      <c r="AU1239" s="59"/>
      <c r="AV1239" s="59"/>
      <c r="AW1239" s="59"/>
    </row>
    <row r="1240" spans="1:49" x14ac:dyDescent="0.25">
      <c r="A1240" s="75">
        <v>5</v>
      </c>
      <c r="B1240" s="75" t="s">
        <v>3464</v>
      </c>
      <c r="C1240" s="56" t="s">
        <v>3450</v>
      </c>
      <c r="D1240" s="56" t="s">
        <v>3451</v>
      </c>
      <c r="E1240" s="121">
        <v>142</v>
      </c>
      <c r="F1240" s="75" t="s">
        <v>3452</v>
      </c>
      <c r="G1240" s="75" t="s">
        <v>3453</v>
      </c>
      <c r="H1240" s="56" t="s">
        <v>3465</v>
      </c>
      <c r="I1240" s="56" t="s">
        <v>55</v>
      </c>
      <c r="J1240" s="56" t="s">
        <v>3455</v>
      </c>
      <c r="K1240" s="57">
        <v>106605000</v>
      </c>
      <c r="L1240" s="57">
        <v>0</v>
      </c>
      <c r="M1240" s="57">
        <f t="shared" si="137"/>
        <v>106605000</v>
      </c>
      <c r="N1240" s="75">
        <v>121</v>
      </c>
      <c r="O1240" s="122">
        <v>43117</v>
      </c>
      <c r="P1240" s="56" t="s">
        <v>3466</v>
      </c>
      <c r="Q1240" s="75">
        <v>145</v>
      </c>
      <c r="R1240" s="75">
        <v>101</v>
      </c>
      <c r="S1240" s="56" t="s">
        <v>3465</v>
      </c>
      <c r="T1240" s="57">
        <v>106605000</v>
      </c>
      <c r="U1240" s="57">
        <v>0</v>
      </c>
      <c r="V1240" s="57">
        <v>0</v>
      </c>
      <c r="W1240" s="57">
        <v>106605000</v>
      </c>
      <c r="X1240" s="57">
        <v>69525000</v>
      </c>
      <c r="Y1240" s="57">
        <v>37080000</v>
      </c>
      <c r="Z1240" s="59"/>
      <c r="AA1240" s="59"/>
      <c r="AB1240" s="59"/>
      <c r="AC1240" s="59"/>
      <c r="AD1240" s="59"/>
      <c r="AE1240" s="59"/>
      <c r="AF1240" s="59"/>
      <c r="AG1240" s="59"/>
      <c r="AH1240" s="59"/>
      <c r="AI1240" s="59"/>
      <c r="AJ1240" s="59"/>
      <c r="AK1240" s="59"/>
      <c r="AL1240" s="59"/>
      <c r="AM1240" s="59"/>
      <c r="AN1240" s="59"/>
      <c r="AO1240" s="59"/>
      <c r="AP1240" s="59"/>
      <c r="AQ1240" s="59"/>
      <c r="AR1240" s="59"/>
      <c r="AS1240" s="59"/>
      <c r="AT1240" s="59"/>
      <c r="AU1240" s="59"/>
      <c r="AV1240" s="59"/>
      <c r="AW1240" s="59"/>
    </row>
    <row r="1241" spans="1:49" x14ac:dyDescent="0.25">
      <c r="A1241" s="75">
        <v>6</v>
      </c>
      <c r="B1241" s="75" t="s">
        <v>3467</v>
      </c>
      <c r="C1241" s="56" t="s">
        <v>3450</v>
      </c>
      <c r="D1241" s="56" t="s">
        <v>3451</v>
      </c>
      <c r="E1241" s="121">
        <v>141</v>
      </c>
      <c r="F1241" s="75" t="s">
        <v>3452</v>
      </c>
      <c r="G1241" s="75" t="s">
        <v>3453</v>
      </c>
      <c r="H1241" s="56" t="s">
        <v>3468</v>
      </c>
      <c r="I1241" s="56" t="s">
        <v>55</v>
      </c>
      <c r="J1241" s="56" t="s">
        <v>3455</v>
      </c>
      <c r="K1241" s="57">
        <v>130900000</v>
      </c>
      <c r="L1241" s="57">
        <v>0</v>
      </c>
      <c r="M1241" s="57">
        <f t="shared" si="137"/>
        <v>130900000</v>
      </c>
      <c r="N1241" s="75">
        <v>214</v>
      </c>
      <c r="O1241" s="122">
        <v>43118</v>
      </c>
      <c r="P1241" s="56" t="s">
        <v>3469</v>
      </c>
      <c r="Q1241" s="75">
        <v>145</v>
      </c>
      <c r="R1241" s="75">
        <v>185</v>
      </c>
      <c r="S1241" s="56" t="s">
        <v>3470</v>
      </c>
      <c r="T1241" s="57">
        <v>130900000</v>
      </c>
      <c r="U1241" s="57">
        <v>0</v>
      </c>
      <c r="V1241" s="57">
        <v>0</v>
      </c>
      <c r="W1241" s="57">
        <v>130900000</v>
      </c>
      <c r="X1241" s="57">
        <v>86870000</v>
      </c>
      <c r="Y1241" s="57">
        <v>44030000</v>
      </c>
      <c r="Z1241" s="59"/>
      <c r="AA1241" s="59"/>
      <c r="AB1241" s="59"/>
      <c r="AC1241" s="59"/>
      <c r="AD1241" s="59"/>
      <c r="AE1241" s="59"/>
      <c r="AF1241" s="59"/>
      <c r="AG1241" s="59"/>
      <c r="AH1241" s="59"/>
      <c r="AI1241" s="59"/>
      <c r="AJ1241" s="59"/>
      <c r="AK1241" s="59"/>
      <c r="AL1241" s="59"/>
      <c r="AM1241" s="59"/>
      <c r="AN1241" s="59"/>
      <c r="AO1241" s="59"/>
      <c r="AP1241" s="59"/>
      <c r="AQ1241" s="59"/>
      <c r="AR1241" s="59"/>
      <c r="AS1241" s="59"/>
      <c r="AT1241" s="59"/>
      <c r="AU1241" s="59"/>
      <c r="AV1241" s="59"/>
      <c r="AW1241" s="59"/>
    </row>
    <row r="1242" spans="1:49" x14ac:dyDescent="0.25">
      <c r="A1242" s="75">
        <v>7</v>
      </c>
      <c r="B1242" s="75" t="s">
        <v>3471</v>
      </c>
      <c r="C1242" s="56" t="s">
        <v>3450</v>
      </c>
      <c r="D1242" s="56" t="s">
        <v>3451</v>
      </c>
      <c r="E1242" s="121">
        <v>140</v>
      </c>
      <c r="F1242" s="75" t="s">
        <v>3452</v>
      </c>
      <c r="G1242" s="75" t="s">
        <v>3453</v>
      </c>
      <c r="H1242" s="56" t="s">
        <v>3472</v>
      </c>
      <c r="I1242" s="56" t="s">
        <v>55</v>
      </c>
      <c r="J1242" s="56" t="s">
        <v>3455</v>
      </c>
      <c r="K1242" s="57">
        <v>106605000</v>
      </c>
      <c r="L1242" s="57">
        <v>57165000</v>
      </c>
      <c r="M1242" s="57">
        <f t="shared" si="137"/>
        <v>49440000</v>
      </c>
      <c r="N1242" s="75">
        <v>482</v>
      </c>
      <c r="O1242" s="122">
        <v>43126</v>
      </c>
      <c r="P1242" s="56" t="s">
        <v>3473</v>
      </c>
      <c r="Q1242" s="75">
        <v>145</v>
      </c>
      <c r="R1242" s="75">
        <v>404</v>
      </c>
      <c r="S1242" s="56" t="s">
        <v>3474</v>
      </c>
      <c r="T1242" s="57">
        <v>49440000</v>
      </c>
      <c r="U1242" s="57">
        <v>0</v>
      </c>
      <c r="V1242" s="57">
        <v>0</v>
      </c>
      <c r="W1242" s="57">
        <v>49440000</v>
      </c>
      <c r="X1242" s="57">
        <v>49440000</v>
      </c>
      <c r="Y1242" s="57">
        <v>0</v>
      </c>
      <c r="Z1242" s="59"/>
      <c r="AA1242" s="59"/>
      <c r="AB1242" s="59"/>
      <c r="AC1242" s="59"/>
      <c r="AD1242" s="59"/>
      <c r="AE1242" s="59"/>
      <c r="AF1242" s="59"/>
      <c r="AG1242" s="59"/>
      <c r="AH1242" s="59"/>
      <c r="AI1242" s="59"/>
      <c r="AJ1242" s="59"/>
      <c r="AK1242" s="59"/>
      <c r="AL1242" s="59"/>
      <c r="AM1242" s="59"/>
      <c r="AN1242" s="59"/>
      <c r="AO1242" s="59"/>
      <c r="AP1242" s="59"/>
      <c r="AQ1242" s="59"/>
      <c r="AR1242" s="59"/>
      <c r="AS1242" s="59"/>
      <c r="AT1242" s="59"/>
      <c r="AU1242" s="59"/>
      <c r="AV1242" s="59"/>
      <c r="AW1242" s="59"/>
    </row>
    <row r="1243" spans="1:49" x14ac:dyDescent="0.25">
      <c r="A1243" s="75">
        <v>8</v>
      </c>
      <c r="B1243" s="75" t="s">
        <v>3475</v>
      </c>
      <c r="C1243" s="56" t="s">
        <v>3450</v>
      </c>
      <c r="D1243" s="56" t="s">
        <v>3451</v>
      </c>
      <c r="E1243" s="121">
        <v>133</v>
      </c>
      <c r="F1243" s="75" t="s">
        <v>3452</v>
      </c>
      <c r="G1243" s="75" t="s">
        <v>3453</v>
      </c>
      <c r="H1243" s="56" t="s">
        <v>3476</v>
      </c>
      <c r="I1243" s="56" t="s">
        <v>55</v>
      </c>
      <c r="J1243" s="56" t="s">
        <v>3455</v>
      </c>
      <c r="K1243" s="57">
        <v>47380000</v>
      </c>
      <c r="L1243" s="57">
        <v>0</v>
      </c>
      <c r="M1243" s="57">
        <f t="shared" si="137"/>
        <v>47380000</v>
      </c>
      <c r="N1243" s="75">
        <v>47</v>
      </c>
      <c r="O1243" s="122">
        <v>43116</v>
      </c>
      <c r="P1243" s="56" t="s">
        <v>3477</v>
      </c>
      <c r="Q1243" s="75">
        <v>145</v>
      </c>
      <c r="R1243" s="75">
        <v>37</v>
      </c>
      <c r="S1243" s="56" t="s">
        <v>3476</v>
      </c>
      <c r="T1243" s="57">
        <v>47380000</v>
      </c>
      <c r="U1243" s="57">
        <v>0</v>
      </c>
      <c r="V1243" s="57">
        <v>0</v>
      </c>
      <c r="W1243" s="57">
        <v>47380000</v>
      </c>
      <c r="X1243" s="57">
        <v>30762667</v>
      </c>
      <c r="Y1243" s="57">
        <v>16617333</v>
      </c>
      <c r="Z1243" s="59"/>
      <c r="AA1243" s="59"/>
      <c r="AB1243" s="59"/>
      <c r="AC1243" s="59"/>
      <c r="AD1243" s="59"/>
      <c r="AE1243" s="59"/>
      <c r="AF1243" s="59"/>
      <c r="AG1243" s="59"/>
      <c r="AH1243" s="59"/>
      <c r="AI1243" s="59"/>
      <c r="AJ1243" s="59"/>
      <c r="AK1243" s="59"/>
      <c r="AL1243" s="59"/>
      <c r="AM1243" s="59"/>
      <c r="AN1243" s="59"/>
      <c r="AO1243" s="59"/>
      <c r="AP1243" s="59"/>
      <c r="AQ1243" s="59"/>
      <c r="AR1243" s="59"/>
      <c r="AS1243" s="59"/>
      <c r="AT1243" s="59"/>
      <c r="AU1243" s="59"/>
      <c r="AV1243" s="59"/>
      <c r="AW1243" s="59"/>
    </row>
    <row r="1244" spans="1:49" x14ac:dyDescent="0.25">
      <c r="A1244" s="75">
        <v>10</v>
      </c>
      <c r="B1244" s="75" t="s">
        <v>3478</v>
      </c>
      <c r="C1244" s="56" t="s">
        <v>3450</v>
      </c>
      <c r="D1244" s="56" t="s">
        <v>3451</v>
      </c>
      <c r="E1244" s="121">
        <v>132</v>
      </c>
      <c r="F1244" s="75" t="s">
        <v>3452</v>
      </c>
      <c r="G1244" s="75" t="s">
        <v>3453</v>
      </c>
      <c r="H1244" s="56" t="s">
        <v>3479</v>
      </c>
      <c r="I1244" s="56" t="s">
        <v>55</v>
      </c>
      <c r="J1244" s="56" t="s">
        <v>3455</v>
      </c>
      <c r="K1244" s="57">
        <v>39088500</v>
      </c>
      <c r="L1244" s="57">
        <v>0</v>
      </c>
      <c r="M1244" s="57">
        <f t="shared" si="137"/>
        <v>39088500</v>
      </c>
      <c r="N1244" s="75">
        <v>110</v>
      </c>
      <c r="O1244" s="122">
        <v>43117</v>
      </c>
      <c r="P1244" s="56" t="s">
        <v>3480</v>
      </c>
      <c r="Q1244" s="75">
        <v>145</v>
      </c>
      <c r="R1244" s="75">
        <v>103</v>
      </c>
      <c r="S1244" s="56" t="s">
        <v>3479</v>
      </c>
      <c r="T1244" s="57">
        <v>39088500</v>
      </c>
      <c r="U1244" s="57">
        <v>0</v>
      </c>
      <c r="V1244" s="57">
        <v>0</v>
      </c>
      <c r="W1244" s="57">
        <v>39088500</v>
      </c>
      <c r="X1244" s="57">
        <v>25379200</v>
      </c>
      <c r="Y1244" s="57">
        <v>13709300</v>
      </c>
      <c r="Z1244" s="59"/>
      <c r="AA1244" s="59"/>
      <c r="AB1244" s="59"/>
      <c r="AC1244" s="59"/>
      <c r="AD1244" s="59"/>
      <c r="AE1244" s="59"/>
      <c r="AF1244" s="59"/>
      <c r="AG1244" s="59"/>
      <c r="AH1244" s="59"/>
      <c r="AI1244" s="59"/>
      <c r="AJ1244" s="59"/>
      <c r="AK1244" s="59"/>
      <c r="AL1244" s="59"/>
      <c r="AM1244" s="59"/>
      <c r="AN1244" s="59"/>
      <c r="AO1244" s="59"/>
      <c r="AP1244" s="59"/>
      <c r="AQ1244" s="59"/>
      <c r="AR1244" s="59"/>
      <c r="AS1244" s="59"/>
      <c r="AT1244" s="59"/>
      <c r="AU1244" s="59"/>
      <c r="AV1244" s="59"/>
      <c r="AW1244" s="59"/>
    </row>
    <row r="1245" spans="1:49" x14ac:dyDescent="0.25">
      <c r="A1245" s="75">
        <v>11</v>
      </c>
      <c r="B1245" s="75" t="s">
        <v>3481</v>
      </c>
      <c r="C1245" s="56" t="s">
        <v>3450</v>
      </c>
      <c r="D1245" s="56" t="s">
        <v>3451</v>
      </c>
      <c r="E1245" s="121">
        <v>131</v>
      </c>
      <c r="F1245" s="75" t="s">
        <v>3452</v>
      </c>
      <c r="G1245" s="75" t="s">
        <v>3453</v>
      </c>
      <c r="H1245" s="56" t="s">
        <v>3482</v>
      </c>
      <c r="I1245" s="56" t="s">
        <v>55</v>
      </c>
      <c r="J1245" s="56" t="s">
        <v>3455</v>
      </c>
      <c r="K1245" s="57">
        <v>65147500</v>
      </c>
      <c r="L1245" s="57">
        <v>0</v>
      </c>
      <c r="M1245" s="57">
        <f t="shared" si="137"/>
        <v>65147500</v>
      </c>
      <c r="N1245" s="75">
        <v>175</v>
      </c>
      <c r="O1245" s="122">
        <v>43118</v>
      </c>
      <c r="P1245" s="56" t="s">
        <v>3483</v>
      </c>
      <c r="Q1245" s="75">
        <v>145</v>
      </c>
      <c r="R1245" s="75">
        <v>107</v>
      </c>
      <c r="S1245" s="56" t="s">
        <v>3482</v>
      </c>
      <c r="T1245" s="57">
        <v>65147500</v>
      </c>
      <c r="U1245" s="57">
        <v>0</v>
      </c>
      <c r="V1245" s="57">
        <v>0</v>
      </c>
      <c r="W1245" s="57">
        <v>65147500</v>
      </c>
      <c r="X1245" s="57">
        <v>42109833</v>
      </c>
      <c r="Y1245" s="57">
        <v>23037667</v>
      </c>
      <c r="Z1245" s="59"/>
      <c r="AA1245" s="59"/>
      <c r="AB1245" s="59"/>
      <c r="AC1245" s="59"/>
      <c r="AD1245" s="59"/>
      <c r="AE1245" s="59"/>
      <c r="AF1245" s="59"/>
      <c r="AG1245" s="59"/>
      <c r="AH1245" s="59"/>
      <c r="AI1245" s="59"/>
      <c r="AJ1245" s="59"/>
      <c r="AK1245" s="59"/>
      <c r="AL1245" s="59"/>
      <c r="AM1245" s="59"/>
      <c r="AN1245" s="59"/>
      <c r="AO1245" s="59"/>
      <c r="AP1245" s="59"/>
      <c r="AQ1245" s="59"/>
      <c r="AR1245" s="59"/>
      <c r="AS1245" s="59"/>
      <c r="AT1245" s="59"/>
      <c r="AU1245" s="59"/>
      <c r="AV1245" s="59"/>
      <c r="AW1245" s="59"/>
    </row>
    <row r="1246" spans="1:49" x14ac:dyDescent="0.25">
      <c r="A1246" s="75">
        <v>12</v>
      </c>
      <c r="B1246" s="75" t="s">
        <v>3484</v>
      </c>
      <c r="C1246" s="56" t="s">
        <v>3450</v>
      </c>
      <c r="D1246" s="56" t="s">
        <v>3451</v>
      </c>
      <c r="E1246" s="121">
        <v>146</v>
      </c>
      <c r="F1246" s="75" t="s">
        <v>3452</v>
      </c>
      <c r="G1246" s="75" t="s">
        <v>3453</v>
      </c>
      <c r="H1246" s="56" t="s">
        <v>3485</v>
      </c>
      <c r="I1246" s="56" t="s">
        <v>55</v>
      </c>
      <c r="J1246" s="56" t="s">
        <v>3455</v>
      </c>
      <c r="K1246" s="57">
        <v>60409500</v>
      </c>
      <c r="L1246" s="57">
        <v>0</v>
      </c>
      <c r="M1246" s="57">
        <f t="shared" si="137"/>
        <v>60409500</v>
      </c>
      <c r="N1246" s="75">
        <v>109</v>
      </c>
      <c r="O1246" s="122">
        <v>43117</v>
      </c>
      <c r="P1246" s="56" t="s">
        <v>3486</v>
      </c>
      <c r="Q1246" s="75">
        <v>145</v>
      </c>
      <c r="R1246" s="75">
        <v>102</v>
      </c>
      <c r="S1246" s="56" t="s">
        <v>3485</v>
      </c>
      <c r="T1246" s="57">
        <v>60409500</v>
      </c>
      <c r="U1246" s="57">
        <v>0</v>
      </c>
      <c r="V1246" s="57">
        <v>0</v>
      </c>
      <c r="W1246" s="57">
        <v>60409500</v>
      </c>
      <c r="X1246" s="57">
        <v>39047300</v>
      </c>
      <c r="Y1246" s="57">
        <v>21362200</v>
      </c>
      <c r="Z1246" s="59"/>
      <c r="AA1246" s="59"/>
      <c r="AB1246" s="59"/>
      <c r="AC1246" s="59"/>
      <c r="AD1246" s="59"/>
      <c r="AE1246" s="59"/>
      <c r="AF1246" s="59"/>
      <c r="AG1246" s="59"/>
      <c r="AH1246" s="59"/>
      <c r="AI1246" s="59"/>
      <c r="AJ1246" s="59"/>
      <c r="AK1246" s="59"/>
      <c r="AL1246" s="59"/>
      <c r="AM1246" s="59"/>
      <c r="AN1246" s="59"/>
      <c r="AO1246" s="59"/>
      <c r="AP1246" s="59"/>
      <c r="AQ1246" s="59"/>
      <c r="AR1246" s="59"/>
      <c r="AS1246" s="59"/>
      <c r="AT1246" s="59"/>
      <c r="AU1246" s="59"/>
      <c r="AV1246" s="59"/>
      <c r="AW1246" s="59"/>
    </row>
    <row r="1247" spans="1:49" x14ac:dyDescent="0.25">
      <c r="A1247" s="75">
        <v>13</v>
      </c>
      <c r="B1247" s="75" t="s">
        <v>3487</v>
      </c>
      <c r="C1247" s="56" t="s">
        <v>3450</v>
      </c>
      <c r="D1247" s="56" t="s">
        <v>3451</v>
      </c>
      <c r="E1247" s="121">
        <v>138</v>
      </c>
      <c r="F1247" s="75" t="s">
        <v>3452</v>
      </c>
      <c r="G1247" s="75" t="s">
        <v>3453</v>
      </c>
      <c r="H1247" s="56" t="s">
        <v>3488</v>
      </c>
      <c r="I1247" s="56" t="s">
        <v>55</v>
      </c>
      <c r="J1247" s="56" t="s">
        <v>3455</v>
      </c>
      <c r="K1247" s="57">
        <v>132000000</v>
      </c>
      <c r="L1247" s="57">
        <v>1100000</v>
      </c>
      <c r="M1247" s="57">
        <f t="shared" si="137"/>
        <v>130900000</v>
      </c>
      <c r="N1247" s="75">
        <v>445</v>
      </c>
      <c r="O1247" s="122">
        <v>43125</v>
      </c>
      <c r="P1247" s="56" t="s">
        <v>3489</v>
      </c>
      <c r="Q1247" s="75">
        <v>145</v>
      </c>
      <c r="R1247" s="75">
        <v>375</v>
      </c>
      <c r="S1247" s="56" t="s">
        <v>3490</v>
      </c>
      <c r="T1247" s="57">
        <v>130900000</v>
      </c>
      <c r="U1247" s="57">
        <v>0</v>
      </c>
      <c r="V1247" s="57">
        <v>0</v>
      </c>
      <c r="W1247" s="57">
        <v>130900000</v>
      </c>
      <c r="X1247" s="57">
        <v>85283333</v>
      </c>
      <c r="Y1247" s="57">
        <v>45616667</v>
      </c>
      <c r="Z1247" s="59"/>
      <c r="AA1247" s="59"/>
      <c r="AB1247" s="59"/>
      <c r="AC1247" s="59"/>
      <c r="AD1247" s="59"/>
      <c r="AE1247" s="59"/>
      <c r="AF1247" s="59"/>
      <c r="AG1247" s="59"/>
      <c r="AH1247" s="59"/>
      <c r="AI1247" s="59"/>
      <c r="AJ1247" s="59"/>
      <c r="AK1247" s="59"/>
      <c r="AL1247" s="59"/>
      <c r="AM1247" s="59"/>
      <c r="AN1247" s="59"/>
      <c r="AO1247" s="59"/>
      <c r="AP1247" s="59"/>
      <c r="AQ1247" s="59"/>
      <c r="AR1247" s="59"/>
      <c r="AS1247" s="59"/>
      <c r="AT1247" s="59"/>
      <c r="AU1247" s="59"/>
      <c r="AV1247" s="59"/>
      <c r="AW1247" s="59"/>
    </row>
    <row r="1248" spans="1:49" x14ac:dyDescent="0.25">
      <c r="A1248" s="75">
        <v>14</v>
      </c>
      <c r="B1248" s="75" t="s">
        <v>3491</v>
      </c>
      <c r="C1248" s="56" t="s">
        <v>3450</v>
      </c>
      <c r="D1248" s="56" t="s">
        <v>3451</v>
      </c>
      <c r="E1248" s="121">
        <v>137</v>
      </c>
      <c r="F1248" s="75" t="s">
        <v>3452</v>
      </c>
      <c r="G1248" s="75" t="s">
        <v>3453</v>
      </c>
      <c r="H1248" s="56" t="s">
        <v>3492</v>
      </c>
      <c r="I1248" s="56" t="s">
        <v>55</v>
      </c>
      <c r="J1248" s="56" t="s">
        <v>3455</v>
      </c>
      <c r="K1248" s="57">
        <v>66000000</v>
      </c>
      <c r="L1248" s="57">
        <v>0</v>
      </c>
      <c r="M1248" s="57">
        <f t="shared" si="137"/>
        <v>66000000</v>
      </c>
      <c r="N1248" s="75">
        <v>439</v>
      </c>
      <c r="O1248" s="122">
        <v>43125</v>
      </c>
      <c r="P1248" s="56" t="s">
        <v>816</v>
      </c>
      <c r="Q1248" s="75">
        <v>145</v>
      </c>
      <c r="R1248" s="75">
        <v>379</v>
      </c>
      <c r="S1248" s="56" t="s">
        <v>3492</v>
      </c>
      <c r="T1248" s="57">
        <v>66000000</v>
      </c>
      <c r="U1248" s="57">
        <v>0</v>
      </c>
      <c r="V1248" s="57">
        <v>0</v>
      </c>
      <c r="W1248" s="57">
        <v>66000000</v>
      </c>
      <c r="X1248" s="57">
        <v>43000000</v>
      </c>
      <c r="Y1248" s="57">
        <v>23000000</v>
      </c>
      <c r="Z1248" s="59"/>
      <c r="AA1248" s="59"/>
      <c r="AB1248" s="59"/>
      <c r="AC1248" s="59"/>
      <c r="AD1248" s="59"/>
      <c r="AE1248" s="59"/>
      <c r="AF1248" s="59"/>
      <c r="AG1248" s="59"/>
      <c r="AH1248" s="59"/>
      <c r="AI1248" s="59"/>
      <c r="AJ1248" s="59"/>
      <c r="AK1248" s="59"/>
      <c r="AL1248" s="59"/>
      <c r="AM1248" s="59"/>
      <c r="AN1248" s="59"/>
      <c r="AO1248" s="59"/>
      <c r="AP1248" s="59"/>
      <c r="AQ1248" s="59"/>
      <c r="AR1248" s="59"/>
      <c r="AS1248" s="59"/>
      <c r="AT1248" s="59"/>
      <c r="AU1248" s="59"/>
      <c r="AV1248" s="59"/>
      <c r="AW1248" s="59"/>
    </row>
    <row r="1249" spans="1:49" x14ac:dyDescent="0.25">
      <c r="A1249" s="75">
        <v>15</v>
      </c>
      <c r="B1249" s="75" t="s">
        <v>3493</v>
      </c>
      <c r="C1249" s="56" t="s">
        <v>3450</v>
      </c>
      <c r="D1249" s="56" t="s">
        <v>3451</v>
      </c>
      <c r="E1249" s="121">
        <v>136</v>
      </c>
      <c r="F1249" s="75" t="s">
        <v>3452</v>
      </c>
      <c r="G1249" s="75" t="s">
        <v>3453</v>
      </c>
      <c r="H1249" s="56" t="s">
        <v>3494</v>
      </c>
      <c r="I1249" s="56" t="s">
        <v>55</v>
      </c>
      <c r="J1249" s="56" t="s">
        <v>3455</v>
      </c>
      <c r="K1249" s="57">
        <v>71070000</v>
      </c>
      <c r="L1249" s="57">
        <v>0</v>
      </c>
      <c r="M1249" s="57">
        <f t="shared" si="137"/>
        <v>71070000</v>
      </c>
      <c r="N1249" s="75">
        <v>48</v>
      </c>
      <c r="O1249" s="122">
        <v>43116</v>
      </c>
      <c r="P1249" s="56" t="s">
        <v>3495</v>
      </c>
      <c r="Q1249" s="75">
        <v>145</v>
      </c>
      <c r="R1249" s="75">
        <v>52</v>
      </c>
      <c r="S1249" s="56" t="s">
        <v>3494</v>
      </c>
      <c r="T1249" s="57">
        <v>71070000</v>
      </c>
      <c r="U1249" s="57">
        <v>0</v>
      </c>
      <c r="V1249" s="57">
        <v>0</v>
      </c>
      <c r="W1249" s="57">
        <v>71070000</v>
      </c>
      <c r="X1249" s="57">
        <v>46144000</v>
      </c>
      <c r="Y1249" s="57">
        <v>24926000</v>
      </c>
      <c r="Z1249" s="59"/>
      <c r="AA1249" s="59"/>
      <c r="AB1249" s="59"/>
      <c r="AC1249" s="59"/>
      <c r="AD1249" s="59"/>
      <c r="AE1249" s="59"/>
      <c r="AF1249" s="59"/>
      <c r="AG1249" s="59"/>
      <c r="AH1249" s="59"/>
      <c r="AI1249" s="59"/>
      <c r="AJ1249" s="59"/>
      <c r="AK1249" s="59"/>
      <c r="AL1249" s="59"/>
      <c r="AM1249" s="59"/>
      <c r="AN1249" s="59"/>
      <c r="AO1249" s="59"/>
      <c r="AP1249" s="59"/>
      <c r="AQ1249" s="59"/>
      <c r="AR1249" s="59"/>
      <c r="AS1249" s="59"/>
      <c r="AT1249" s="59"/>
      <c r="AU1249" s="59"/>
      <c r="AV1249" s="59"/>
      <c r="AW1249" s="59"/>
    </row>
    <row r="1250" spans="1:49" x14ac:dyDescent="0.25">
      <c r="A1250" s="75">
        <v>17</v>
      </c>
      <c r="B1250" s="75" t="s">
        <v>3496</v>
      </c>
      <c r="C1250" s="56" t="s">
        <v>3450</v>
      </c>
      <c r="D1250" s="56" t="s">
        <v>3451</v>
      </c>
      <c r="E1250" s="121">
        <v>125</v>
      </c>
      <c r="F1250" s="75" t="s">
        <v>3497</v>
      </c>
      <c r="G1250" s="75" t="s">
        <v>3453</v>
      </c>
      <c r="H1250" s="56" t="s">
        <v>3498</v>
      </c>
      <c r="I1250" s="56" t="s">
        <v>55</v>
      </c>
      <c r="J1250" s="56" t="s">
        <v>3455</v>
      </c>
      <c r="K1250" s="57">
        <v>47380000</v>
      </c>
      <c r="L1250" s="57">
        <v>0</v>
      </c>
      <c r="M1250" s="57">
        <f t="shared" si="137"/>
        <v>47380000</v>
      </c>
      <c r="N1250" s="75">
        <v>37</v>
      </c>
      <c r="O1250" s="122">
        <v>43116</v>
      </c>
      <c r="P1250" s="56" t="s">
        <v>3499</v>
      </c>
      <c r="Q1250" s="75">
        <v>145</v>
      </c>
      <c r="R1250" s="75">
        <v>47</v>
      </c>
      <c r="S1250" s="56" t="s">
        <v>3498</v>
      </c>
      <c r="T1250" s="57">
        <v>47380000</v>
      </c>
      <c r="U1250" s="57">
        <v>0</v>
      </c>
      <c r="V1250" s="57">
        <v>0</v>
      </c>
      <c r="W1250" s="57">
        <v>47380000</v>
      </c>
      <c r="X1250" s="57">
        <v>30762667</v>
      </c>
      <c r="Y1250" s="57">
        <v>16617333</v>
      </c>
      <c r="Z1250" s="59"/>
      <c r="AA1250" s="59"/>
      <c r="AB1250" s="59"/>
      <c r="AC1250" s="59"/>
      <c r="AD1250" s="59"/>
      <c r="AE1250" s="59"/>
      <c r="AF1250" s="59"/>
      <c r="AG1250" s="59"/>
      <c r="AH1250" s="59"/>
      <c r="AI1250" s="59"/>
      <c r="AJ1250" s="59"/>
      <c r="AK1250" s="59"/>
      <c r="AL1250" s="59"/>
      <c r="AM1250" s="59"/>
      <c r="AN1250" s="59"/>
      <c r="AO1250" s="59"/>
      <c r="AP1250" s="59"/>
      <c r="AQ1250" s="59"/>
      <c r="AR1250" s="59"/>
      <c r="AS1250" s="59"/>
      <c r="AT1250" s="59"/>
      <c r="AU1250" s="59"/>
      <c r="AV1250" s="59"/>
      <c r="AW1250" s="59"/>
    </row>
    <row r="1251" spans="1:49" x14ac:dyDescent="0.25">
      <c r="A1251" s="75">
        <v>18</v>
      </c>
      <c r="B1251" s="75" t="s">
        <v>3500</v>
      </c>
      <c r="C1251" s="56" t="s">
        <v>3450</v>
      </c>
      <c r="D1251" s="56" t="s">
        <v>3451</v>
      </c>
      <c r="E1251" s="121">
        <v>124</v>
      </c>
      <c r="F1251" s="75" t="s">
        <v>3497</v>
      </c>
      <c r="G1251" s="75" t="s">
        <v>3453</v>
      </c>
      <c r="H1251" s="56" t="s">
        <v>3501</v>
      </c>
      <c r="I1251" s="56" t="s">
        <v>55</v>
      </c>
      <c r="J1251" s="56" t="s">
        <v>3455</v>
      </c>
      <c r="K1251" s="57">
        <v>39088500</v>
      </c>
      <c r="L1251" s="57">
        <v>0</v>
      </c>
      <c r="M1251" s="57">
        <f t="shared" si="137"/>
        <v>39088500</v>
      </c>
      <c r="N1251" s="75">
        <v>302</v>
      </c>
      <c r="O1251" s="122">
        <v>43122</v>
      </c>
      <c r="P1251" s="56" t="s">
        <v>3502</v>
      </c>
      <c r="Q1251" s="75">
        <v>145</v>
      </c>
      <c r="R1251" s="75">
        <v>268</v>
      </c>
      <c r="S1251" s="56" t="s">
        <v>3501</v>
      </c>
      <c r="T1251" s="57">
        <v>39088500</v>
      </c>
      <c r="U1251" s="57">
        <v>0</v>
      </c>
      <c r="V1251" s="57">
        <v>0</v>
      </c>
      <c r="W1251" s="57">
        <v>39088500</v>
      </c>
      <c r="X1251" s="57">
        <v>24699400</v>
      </c>
      <c r="Y1251" s="57">
        <v>14389100</v>
      </c>
      <c r="Z1251" s="59"/>
      <c r="AA1251" s="59"/>
      <c r="AB1251" s="59"/>
      <c r="AC1251" s="59"/>
      <c r="AD1251" s="59"/>
      <c r="AE1251" s="59"/>
      <c r="AF1251" s="59"/>
      <c r="AG1251" s="59"/>
      <c r="AH1251" s="59"/>
      <c r="AI1251" s="59"/>
      <c r="AJ1251" s="59"/>
      <c r="AK1251" s="59"/>
      <c r="AL1251" s="59"/>
      <c r="AM1251" s="59"/>
      <c r="AN1251" s="59"/>
      <c r="AO1251" s="59"/>
      <c r="AP1251" s="59"/>
      <c r="AQ1251" s="59"/>
      <c r="AR1251" s="59"/>
      <c r="AS1251" s="59"/>
      <c r="AT1251" s="59"/>
      <c r="AU1251" s="59"/>
      <c r="AV1251" s="59"/>
      <c r="AW1251" s="59"/>
    </row>
    <row r="1252" spans="1:49" x14ac:dyDescent="0.25">
      <c r="A1252" s="75">
        <v>20</v>
      </c>
      <c r="B1252" s="75" t="s">
        <v>3503</v>
      </c>
      <c r="C1252" s="56" t="s">
        <v>3450</v>
      </c>
      <c r="D1252" s="56" t="s">
        <v>3451</v>
      </c>
      <c r="E1252" s="121">
        <v>123</v>
      </c>
      <c r="F1252" s="75" t="s">
        <v>3497</v>
      </c>
      <c r="G1252" s="75" t="s">
        <v>3453</v>
      </c>
      <c r="H1252" s="56" t="s">
        <v>3504</v>
      </c>
      <c r="I1252" s="56" t="s">
        <v>55</v>
      </c>
      <c r="J1252" s="56" t="s">
        <v>3455</v>
      </c>
      <c r="K1252" s="57">
        <v>65147500</v>
      </c>
      <c r="L1252" s="57">
        <v>0</v>
      </c>
      <c r="M1252" s="57">
        <f t="shared" si="137"/>
        <v>65147500</v>
      </c>
      <c r="N1252" s="75">
        <v>76</v>
      </c>
      <c r="O1252" s="122">
        <v>43116</v>
      </c>
      <c r="P1252" s="56" t="s">
        <v>3505</v>
      </c>
      <c r="Q1252" s="75">
        <v>145</v>
      </c>
      <c r="R1252" s="75">
        <v>64</v>
      </c>
      <c r="S1252" s="56" t="s">
        <v>3504</v>
      </c>
      <c r="T1252" s="57">
        <v>65147500</v>
      </c>
      <c r="U1252" s="57">
        <v>0</v>
      </c>
      <c r="V1252" s="57">
        <v>0</v>
      </c>
      <c r="W1252" s="57">
        <v>65147500</v>
      </c>
      <c r="X1252" s="57">
        <v>42298667</v>
      </c>
      <c r="Y1252" s="57">
        <v>22848833</v>
      </c>
      <c r="Z1252" s="59"/>
      <c r="AA1252" s="59"/>
      <c r="AB1252" s="59"/>
      <c r="AC1252" s="59"/>
      <c r="AD1252" s="59"/>
      <c r="AE1252" s="59"/>
      <c r="AF1252" s="59"/>
      <c r="AG1252" s="59"/>
      <c r="AH1252" s="59"/>
      <c r="AI1252" s="59"/>
      <c r="AJ1252" s="59"/>
      <c r="AK1252" s="59"/>
      <c r="AL1252" s="59"/>
      <c r="AM1252" s="59"/>
      <c r="AN1252" s="59"/>
      <c r="AO1252" s="59"/>
      <c r="AP1252" s="59"/>
      <c r="AQ1252" s="59"/>
      <c r="AR1252" s="59"/>
      <c r="AS1252" s="59"/>
      <c r="AT1252" s="59"/>
      <c r="AU1252" s="59"/>
      <c r="AV1252" s="59"/>
      <c r="AW1252" s="59"/>
    </row>
    <row r="1253" spans="1:49" x14ac:dyDescent="0.25">
      <c r="A1253" s="75">
        <v>21</v>
      </c>
      <c r="B1253" s="75" t="s">
        <v>3506</v>
      </c>
      <c r="C1253" s="56" t="s">
        <v>3450</v>
      </c>
      <c r="D1253" s="56" t="s">
        <v>3451</v>
      </c>
      <c r="E1253" s="121">
        <v>122</v>
      </c>
      <c r="F1253" s="75" t="s">
        <v>3497</v>
      </c>
      <c r="G1253" s="75" t="s">
        <v>3453</v>
      </c>
      <c r="H1253" s="56" t="s">
        <v>3507</v>
      </c>
      <c r="I1253" s="56" t="s">
        <v>55</v>
      </c>
      <c r="J1253" s="56" t="s">
        <v>3455</v>
      </c>
      <c r="K1253" s="57">
        <v>60409500</v>
      </c>
      <c r="L1253" s="57">
        <v>0</v>
      </c>
      <c r="M1253" s="57">
        <f t="shared" si="137"/>
        <v>60409500</v>
      </c>
      <c r="N1253" s="75">
        <v>150</v>
      </c>
      <c r="O1253" s="122">
        <v>43117</v>
      </c>
      <c r="P1253" s="56" t="s">
        <v>3508</v>
      </c>
      <c r="Q1253" s="75">
        <v>145</v>
      </c>
      <c r="R1253" s="75">
        <v>157</v>
      </c>
      <c r="S1253" s="56" t="s">
        <v>3507</v>
      </c>
      <c r="T1253" s="57">
        <v>60409500</v>
      </c>
      <c r="U1253" s="57">
        <v>0</v>
      </c>
      <c r="V1253" s="57">
        <v>0</v>
      </c>
      <c r="W1253" s="57">
        <v>60409500</v>
      </c>
      <c r="X1253" s="57">
        <v>39047300</v>
      </c>
      <c r="Y1253" s="57">
        <v>21362200</v>
      </c>
      <c r="Z1253" s="59"/>
      <c r="AA1253" s="59"/>
      <c r="AB1253" s="59"/>
      <c r="AC1253" s="59"/>
      <c r="AD1253" s="59"/>
      <c r="AE1253" s="59"/>
      <c r="AF1253" s="59"/>
      <c r="AG1253" s="59"/>
      <c r="AH1253" s="59"/>
      <c r="AI1253" s="59"/>
      <c r="AJ1253" s="59"/>
      <c r="AK1253" s="59"/>
      <c r="AL1253" s="59"/>
      <c r="AM1253" s="59"/>
      <c r="AN1253" s="59"/>
      <c r="AO1253" s="59"/>
      <c r="AP1253" s="59"/>
      <c r="AQ1253" s="59"/>
      <c r="AR1253" s="59"/>
      <c r="AS1253" s="59"/>
      <c r="AT1253" s="59"/>
      <c r="AU1253" s="59"/>
      <c r="AV1253" s="59"/>
      <c r="AW1253" s="59"/>
    </row>
    <row r="1254" spans="1:49" x14ac:dyDescent="0.25">
      <c r="A1254" s="75">
        <v>22</v>
      </c>
      <c r="B1254" s="75" t="s">
        <v>3509</v>
      </c>
      <c r="C1254" s="56" t="s">
        <v>3450</v>
      </c>
      <c r="D1254" s="56" t="s">
        <v>3451</v>
      </c>
      <c r="E1254" s="121">
        <v>121</v>
      </c>
      <c r="F1254" s="75" t="s">
        <v>3497</v>
      </c>
      <c r="G1254" s="75" t="s">
        <v>3453</v>
      </c>
      <c r="H1254" s="56" t="s">
        <v>3510</v>
      </c>
      <c r="I1254" s="56" t="s">
        <v>55</v>
      </c>
      <c r="J1254" s="56" t="s">
        <v>3455</v>
      </c>
      <c r="K1254" s="57">
        <v>52118000</v>
      </c>
      <c r="L1254" s="57">
        <v>0</v>
      </c>
      <c r="M1254" s="57">
        <f t="shared" si="137"/>
        <v>52118000</v>
      </c>
      <c r="N1254" s="75">
        <v>69</v>
      </c>
      <c r="O1254" s="122">
        <v>43116</v>
      </c>
      <c r="P1254" s="56" t="s">
        <v>3511</v>
      </c>
      <c r="Q1254" s="75">
        <v>145</v>
      </c>
      <c r="R1254" s="75">
        <v>63</v>
      </c>
      <c r="S1254" s="56" t="s">
        <v>3510</v>
      </c>
      <c r="T1254" s="57">
        <v>52118000</v>
      </c>
      <c r="U1254" s="57">
        <v>0</v>
      </c>
      <c r="V1254" s="57">
        <v>0</v>
      </c>
      <c r="W1254" s="57">
        <v>52118000</v>
      </c>
      <c r="X1254" s="57">
        <v>33838933</v>
      </c>
      <c r="Y1254" s="57">
        <v>18279067</v>
      </c>
      <c r="Z1254" s="59"/>
      <c r="AA1254" s="59"/>
      <c r="AB1254" s="59"/>
      <c r="AC1254" s="59"/>
      <c r="AD1254" s="59"/>
      <c r="AE1254" s="59"/>
      <c r="AF1254" s="59"/>
      <c r="AG1254" s="59"/>
      <c r="AH1254" s="59"/>
      <c r="AI1254" s="59"/>
      <c r="AJ1254" s="59"/>
      <c r="AK1254" s="59"/>
      <c r="AL1254" s="59"/>
      <c r="AM1254" s="59"/>
      <c r="AN1254" s="59"/>
      <c r="AO1254" s="59"/>
      <c r="AP1254" s="59"/>
      <c r="AQ1254" s="59"/>
      <c r="AR1254" s="59"/>
      <c r="AS1254" s="59"/>
      <c r="AT1254" s="59"/>
      <c r="AU1254" s="59"/>
      <c r="AV1254" s="59"/>
      <c r="AW1254" s="59"/>
    </row>
    <row r="1255" spans="1:49" x14ac:dyDescent="0.25">
      <c r="A1255" s="75">
        <v>24</v>
      </c>
      <c r="B1255" s="75" t="s">
        <v>3512</v>
      </c>
      <c r="C1255" s="56" t="s">
        <v>3450</v>
      </c>
      <c r="D1255" s="56" t="s">
        <v>3451</v>
      </c>
      <c r="E1255" s="121">
        <v>120</v>
      </c>
      <c r="F1255" s="75" t="s">
        <v>3497</v>
      </c>
      <c r="G1255" s="75" t="s">
        <v>3453</v>
      </c>
      <c r="H1255" s="56" t="s">
        <v>3513</v>
      </c>
      <c r="I1255" s="56" t="s">
        <v>55</v>
      </c>
      <c r="J1255" s="56" t="s">
        <v>3455</v>
      </c>
      <c r="K1255" s="57">
        <v>60409500</v>
      </c>
      <c r="L1255" s="57">
        <v>0</v>
      </c>
      <c r="M1255" s="57">
        <f t="shared" si="137"/>
        <v>60409500</v>
      </c>
      <c r="N1255" s="75">
        <v>225</v>
      </c>
      <c r="O1255" s="122">
        <v>43118</v>
      </c>
      <c r="P1255" s="56" t="s">
        <v>3514</v>
      </c>
      <c r="Q1255" s="75">
        <v>145</v>
      </c>
      <c r="R1255" s="75">
        <v>197</v>
      </c>
      <c r="S1255" s="56" t="s">
        <v>3515</v>
      </c>
      <c r="T1255" s="57">
        <v>60409500</v>
      </c>
      <c r="U1255" s="57">
        <v>0</v>
      </c>
      <c r="V1255" s="57">
        <v>0</v>
      </c>
      <c r="W1255" s="57">
        <v>60409500</v>
      </c>
      <c r="X1255" s="57">
        <v>38872200</v>
      </c>
      <c r="Y1255" s="57">
        <v>21537300</v>
      </c>
      <c r="Z1255" s="59"/>
      <c r="AA1255" s="59"/>
      <c r="AB1255" s="59"/>
      <c r="AC1255" s="59"/>
      <c r="AD1255" s="59"/>
      <c r="AE1255" s="59"/>
      <c r="AF1255" s="59"/>
      <c r="AG1255" s="59"/>
      <c r="AH1255" s="59"/>
      <c r="AI1255" s="59"/>
      <c r="AJ1255" s="59"/>
      <c r="AK1255" s="59"/>
      <c r="AL1255" s="59"/>
      <c r="AM1255" s="59"/>
      <c r="AN1255" s="59"/>
      <c r="AO1255" s="59"/>
      <c r="AP1255" s="59"/>
      <c r="AQ1255" s="59"/>
      <c r="AR1255" s="59"/>
      <c r="AS1255" s="59"/>
      <c r="AT1255" s="59"/>
      <c r="AU1255" s="59"/>
      <c r="AV1255" s="59"/>
      <c r="AW1255" s="59"/>
    </row>
    <row r="1256" spans="1:49" x14ac:dyDescent="0.25">
      <c r="A1256" s="75">
        <v>25</v>
      </c>
      <c r="B1256" s="75" t="s">
        <v>3516</v>
      </c>
      <c r="C1256" s="56" t="s">
        <v>3517</v>
      </c>
      <c r="D1256" s="56" t="s">
        <v>3518</v>
      </c>
      <c r="E1256" s="121">
        <v>119</v>
      </c>
      <c r="F1256" s="75" t="s">
        <v>3497</v>
      </c>
      <c r="G1256" s="75" t="s">
        <v>3453</v>
      </c>
      <c r="H1256" s="56" t="s">
        <v>3519</v>
      </c>
      <c r="I1256" s="56" t="s">
        <v>55</v>
      </c>
      <c r="J1256" s="56" t="s">
        <v>3455</v>
      </c>
      <c r="K1256" s="57">
        <v>38259350</v>
      </c>
      <c r="L1256" s="57">
        <v>0</v>
      </c>
      <c r="M1256" s="57">
        <f t="shared" si="137"/>
        <v>38259350</v>
      </c>
      <c r="N1256" s="75">
        <v>103</v>
      </c>
      <c r="O1256" s="122">
        <v>43116</v>
      </c>
      <c r="P1256" s="56" t="s">
        <v>3520</v>
      </c>
      <c r="Q1256" s="75">
        <v>148</v>
      </c>
      <c r="R1256" s="75">
        <v>91</v>
      </c>
      <c r="S1256" s="56" t="s">
        <v>3519</v>
      </c>
      <c r="T1256" s="57">
        <v>38259350</v>
      </c>
      <c r="U1256" s="57">
        <v>0</v>
      </c>
      <c r="V1256" s="57">
        <v>0</v>
      </c>
      <c r="W1256" s="57">
        <v>38259350</v>
      </c>
      <c r="X1256" s="57">
        <v>24951750</v>
      </c>
      <c r="Y1256" s="57">
        <v>13307600</v>
      </c>
      <c r="Z1256" s="59"/>
      <c r="AA1256" s="59"/>
      <c r="AB1256" s="59"/>
      <c r="AC1256" s="59"/>
      <c r="AD1256" s="59"/>
      <c r="AE1256" s="59"/>
      <c r="AF1256" s="59"/>
      <c r="AG1256" s="59"/>
      <c r="AH1256" s="59"/>
      <c r="AI1256" s="59"/>
      <c r="AJ1256" s="59"/>
      <c r="AK1256" s="59"/>
      <c r="AL1256" s="59"/>
      <c r="AM1256" s="59"/>
      <c r="AN1256" s="59"/>
      <c r="AO1256" s="59"/>
      <c r="AP1256" s="59"/>
      <c r="AQ1256" s="59"/>
      <c r="AR1256" s="59"/>
      <c r="AS1256" s="59"/>
      <c r="AT1256" s="59"/>
      <c r="AU1256" s="59"/>
      <c r="AV1256" s="59"/>
      <c r="AW1256" s="59"/>
    </row>
    <row r="1257" spans="1:49" x14ac:dyDescent="0.25">
      <c r="A1257" s="75">
        <v>26</v>
      </c>
      <c r="B1257" s="75" t="s">
        <v>3521</v>
      </c>
      <c r="C1257" s="56" t="s">
        <v>3517</v>
      </c>
      <c r="D1257" s="56" t="s">
        <v>3518</v>
      </c>
      <c r="E1257" s="121">
        <v>150</v>
      </c>
      <c r="F1257" s="75" t="s">
        <v>3452</v>
      </c>
      <c r="G1257" s="75" t="s">
        <v>3453</v>
      </c>
      <c r="H1257" s="56" t="s">
        <v>3522</v>
      </c>
      <c r="I1257" s="56" t="s">
        <v>55</v>
      </c>
      <c r="J1257" s="56" t="s">
        <v>3455</v>
      </c>
      <c r="K1257" s="57">
        <v>28428000</v>
      </c>
      <c r="L1257" s="57">
        <v>0</v>
      </c>
      <c r="M1257" s="57">
        <f t="shared" si="137"/>
        <v>28428000</v>
      </c>
      <c r="N1257" s="75">
        <v>433</v>
      </c>
      <c r="O1257" s="122">
        <v>43124</v>
      </c>
      <c r="P1257" s="56" t="s">
        <v>3523</v>
      </c>
      <c r="Q1257" s="75">
        <v>148</v>
      </c>
      <c r="R1257" s="75">
        <v>374</v>
      </c>
      <c r="S1257" s="56" t="s">
        <v>3522</v>
      </c>
      <c r="T1257" s="57">
        <v>28428000</v>
      </c>
      <c r="U1257" s="57">
        <v>0</v>
      </c>
      <c r="V1257" s="57">
        <v>0</v>
      </c>
      <c r="W1257" s="57">
        <v>28428000</v>
      </c>
      <c r="X1257" s="57">
        <v>17798400</v>
      </c>
      <c r="Y1257" s="57">
        <v>10629600</v>
      </c>
      <c r="Z1257" s="59"/>
      <c r="AA1257" s="59"/>
      <c r="AB1257" s="59"/>
      <c r="AC1257" s="59"/>
      <c r="AD1257" s="59"/>
      <c r="AE1257" s="59"/>
      <c r="AF1257" s="59"/>
      <c r="AG1257" s="59"/>
      <c r="AH1257" s="59"/>
      <c r="AI1257" s="59"/>
      <c r="AJ1257" s="59"/>
      <c r="AK1257" s="59"/>
      <c r="AL1257" s="59"/>
      <c r="AM1257" s="59"/>
      <c r="AN1257" s="59"/>
      <c r="AO1257" s="59"/>
      <c r="AP1257" s="59"/>
      <c r="AQ1257" s="59"/>
      <c r="AR1257" s="59"/>
      <c r="AS1257" s="59"/>
      <c r="AT1257" s="59"/>
      <c r="AU1257" s="59"/>
      <c r="AV1257" s="59"/>
      <c r="AW1257" s="59"/>
    </row>
    <row r="1258" spans="1:49" x14ac:dyDescent="0.25">
      <c r="A1258" s="75">
        <v>27</v>
      </c>
      <c r="B1258" s="75" t="s">
        <v>3524</v>
      </c>
      <c r="C1258" s="56" t="s">
        <v>3517</v>
      </c>
      <c r="D1258" s="56" t="s">
        <v>3518</v>
      </c>
      <c r="E1258" s="121">
        <v>149</v>
      </c>
      <c r="F1258" s="75" t="s">
        <v>3452</v>
      </c>
      <c r="G1258" s="75" t="s">
        <v>3453</v>
      </c>
      <c r="H1258" s="56" t="s">
        <v>3525</v>
      </c>
      <c r="I1258" s="56" t="s">
        <v>55</v>
      </c>
      <c r="J1258" s="56" t="s">
        <v>3455</v>
      </c>
      <c r="K1258" s="57">
        <v>17767500</v>
      </c>
      <c r="L1258" s="57">
        <v>0</v>
      </c>
      <c r="M1258" s="57">
        <f t="shared" si="137"/>
        <v>17767500</v>
      </c>
      <c r="N1258" s="75">
        <v>432</v>
      </c>
      <c r="O1258" s="122">
        <v>43124</v>
      </c>
      <c r="P1258" s="56" t="s">
        <v>3526</v>
      </c>
      <c r="Q1258" s="75">
        <v>148</v>
      </c>
      <c r="R1258" s="75">
        <v>373</v>
      </c>
      <c r="S1258" s="56" t="s">
        <v>3525</v>
      </c>
      <c r="T1258" s="57">
        <v>17767500</v>
      </c>
      <c r="U1258" s="57">
        <v>0</v>
      </c>
      <c r="V1258" s="57">
        <v>0</v>
      </c>
      <c r="W1258" s="57">
        <v>17767500</v>
      </c>
      <c r="X1258" s="57">
        <v>11124000</v>
      </c>
      <c r="Y1258" s="57">
        <v>6643500</v>
      </c>
      <c r="Z1258" s="59"/>
      <c r="AA1258" s="59"/>
      <c r="AB1258" s="59"/>
      <c r="AC1258" s="59"/>
      <c r="AD1258" s="59"/>
      <c r="AE1258" s="59"/>
      <c r="AF1258" s="59"/>
      <c r="AG1258" s="59"/>
      <c r="AH1258" s="59"/>
      <c r="AI1258" s="59"/>
      <c r="AJ1258" s="59"/>
      <c r="AK1258" s="59"/>
      <c r="AL1258" s="59"/>
      <c r="AM1258" s="59"/>
      <c r="AN1258" s="59"/>
      <c r="AO1258" s="59"/>
      <c r="AP1258" s="59"/>
      <c r="AQ1258" s="59"/>
      <c r="AR1258" s="59"/>
      <c r="AS1258" s="59"/>
      <c r="AT1258" s="59"/>
      <c r="AU1258" s="59"/>
      <c r="AV1258" s="59"/>
      <c r="AW1258" s="59"/>
    </row>
    <row r="1259" spans="1:49" x14ac:dyDescent="0.25">
      <c r="A1259" s="75">
        <v>28</v>
      </c>
      <c r="B1259" s="75" t="s">
        <v>3527</v>
      </c>
      <c r="C1259" s="56" t="s">
        <v>3517</v>
      </c>
      <c r="D1259" s="56" t="s">
        <v>3518</v>
      </c>
      <c r="E1259" s="121">
        <v>148</v>
      </c>
      <c r="F1259" s="75" t="s">
        <v>3452</v>
      </c>
      <c r="G1259" s="75" t="s">
        <v>3453</v>
      </c>
      <c r="H1259" s="56" t="s">
        <v>3528</v>
      </c>
      <c r="I1259" s="56" t="s">
        <v>55</v>
      </c>
      <c r="J1259" s="56" t="s">
        <v>3455</v>
      </c>
      <c r="K1259" s="57">
        <v>28428000</v>
      </c>
      <c r="L1259" s="57">
        <v>0</v>
      </c>
      <c r="M1259" s="57">
        <f t="shared" si="137"/>
        <v>28428000</v>
      </c>
      <c r="N1259" s="75">
        <v>118</v>
      </c>
      <c r="O1259" s="122">
        <v>43117</v>
      </c>
      <c r="P1259" s="56" t="s">
        <v>3529</v>
      </c>
      <c r="Q1259" s="75">
        <v>148</v>
      </c>
      <c r="R1259" s="75">
        <v>97</v>
      </c>
      <c r="S1259" s="56" t="s">
        <v>3528</v>
      </c>
      <c r="T1259" s="57">
        <v>28428000</v>
      </c>
      <c r="U1259" s="57">
        <v>0</v>
      </c>
      <c r="V1259" s="57">
        <v>0</v>
      </c>
      <c r="W1259" s="57">
        <v>28428000</v>
      </c>
      <c r="X1259" s="57">
        <v>18375200</v>
      </c>
      <c r="Y1259" s="57">
        <v>10052800</v>
      </c>
      <c r="Z1259" s="59"/>
      <c r="AA1259" s="59"/>
      <c r="AB1259" s="59"/>
      <c r="AC1259" s="59"/>
      <c r="AD1259" s="59"/>
      <c r="AE1259" s="59"/>
      <c r="AF1259" s="59"/>
      <c r="AG1259" s="59"/>
      <c r="AH1259" s="59"/>
      <c r="AI1259" s="59"/>
      <c r="AJ1259" s="59"/>
      <c r="AK1259" s="59"/>
      <c r="AL1259" s="59"/>
      <c r="AM1259" s="59"/>
      <c r="AN1259" s="59"/>
      <c r="AO1259" s="59"/>
      <c r="AP1259" s="59"/>
      <c r="AQ1259" s="59"/>
      <c r="AR1259" s="59"/>
      <c r="AS1259" s="59"/>
      <c r="AT1259" s="59"/>
      <c r="AU1259" s="59"/>
      <c r="AV1259" s="59"/>
      <c r="AW1259" s="59"/>
    </row>
    <row r="1260" spans="1:49" x14ac:dyDescent="0.25">
      <c r="A1260" s="75">
        <v>29</v>
      </c>
      <c r="B1260" s="75" t="s">
        <v>3530</v>
      </c>
      <c r="C1260" s="56" t="s">
        <v>3517</v>
      </c>
      <c r="D1260" s="56" t="s">
        <v>3518</v>
      </c>
      <c r="E1260" s="121">
        <v>147</v>
      </c>
      <c r="F1260" s="75" t="s">
        <v>3452</v>
      </c>
      <c r="G1260" s="75" t="s">
        <v>3453</v>
      </c>
      <c r="H1260" s="56" t="s">
        <v>3531</v>
      </c>
      <c r="I1260" s="56" t="s">
        <v>55</v>
      </c>
      <c r="J1260" s="56" t="s">
        <v>3455</v>
      </c>
      <c r="K1260" s="57">
        <v>17767500</v>
      </c>
      <c r="L1260" s="57">
        <v>0</v>
      </c>
      <c r="M1260" s="57">
        <f t="shared" si="137"/>
        <v>17767500</v>
      </c>
      <c r="N1260" s="75">
        <v>442</v>
      </c>
      <c r="O1260" s="122">
        <v>43125</v>
      </c>
      <c r="P1260" s="56" t="s">
        <v>3532</v>
      </c>
      <c r="Q1260" s="75">
        <v>148</v>
      </c>
      <c r="R1260" s="75">
        <v>377</v>
      </c>
      <c r="S1260" s="56" t="s">
        <v>3533</v>
      </c>
      <c r="T1260" s="57">
        <v>17767500</v>
      </c>
      <c r="U1260" s="57">
        <v>0</v>
      </c>
      <c r="V1260" s="57">
        <v>0</v>
      </c>
      <c r="W1260" s="57">
        <v>17767500</v>
      </c>
      <c r="X1260" s="57">
        <v>11124000</v>
      </c>
      <c r="Y1260" s="57">
        <v>6643500</v>
      </c>
      <c r="Z1260" s="59"/>
      <c r="AA1260" s="59"/>
      <c r="AB1260" s="59"/>
      <c r="AC1260" s="59"/>
      <c r="AD1260" s="59"/>
      <c r="AE1260" s="59"/>
      <c r="AF1260" s="59"/>
      <c r="AG1260" s="59"/>
      <c r="AH1260" s="59"/>
      <c r="AI1260" s="59"/>
      <c r="AJ1260" s="59"/>
      <c r="AK1260" s="59"/>
      <c r="AL1260" s="59"/>
      <c r="AM1260" s="59"/>
      <c r="AN1260" s="59"/>
      <c r="AO1260" s="59"/>
      <c r="AP1260" s="59"/>
      <c r="AQ1260" s="59"/>
      <c r="AR1260" s="59"/>
      <c r="AS1260" s="59"/>
      <c r="AT1260" s="59"/>
      <c r="AU1260" s="59"/>
      <c r="AV1260" s="59"/>
      <c r="AW1260" s="59"/>
    </row>
    <row r="1261" spans="1:49" x14ac:dyDescent="0.25">
      <c r="A1261" s="75">
        <v>30</v>
      </c>
      <c r="B1261" s="75" t="s">
        <v>3534</v>
      </c>
      <c r="C1261" s="56" t="s">
        <v>3517</v>
      </c>
      <c r="D1261" s="56" t="s">
        <v>3518</v>
      </c>
      <c r="E1261" s="121">
        <v>118</v>
      </c>
      <c r="F1261" s="75" t="s">
        <v>3497</v>
      </c>
      <c r="G1261" s="75" t="s">
        <v>3453</v>
      </c>
      <c r="H1261" s="56" t="s">
        <v>3535</v>
      </c>
      <c r="I1261" s="56" t="s">
        <v>55</v>
      </c>
      <c r="J1261" s="56" t="s">
        <v>3455</v>
      </c>
      <c r="K1261" s="57">
        <v>34942750</v>
      </c>
      <c r="L1261" s="57">
        <v>0</v>
      </c>
      <c r="M1261" s="57">
        <f t="shared" si="137"/>
        <v>34942750</v>
      </c>
      <c r="N1261" s="75">
        <v>73</v>
      </c>
      <c r="O1261" s="122">
        <v>43116</v>
      </c>
      <c r="P1261" s="56" t="s">
        <v>3536</v>
      </c>
      <c r="Q1261" s="75">
        <v>148</v>
      </c>
      <c r="R1261" s="75">
        <v>59</v>
      </c>
      <c r="S1261" s="56" t="s">
        <v>3535</v>
      </c>
      <c r="T1261" s="57">
        <v>34942750</v>
      </c>
      <c r="U1261" s="57">
        <v>0</v>
      </c>
      <c r="V1261" s="57">
        <v>0</v>
      </c>
      <c r="W1261" s="57">
        <v>34942750</v>
      </c>
      <c r="X1261" s="57">
        <v>22687467</v>
      </c>
      <c r="Y1261" s="57">
        <v>12255283</v>
      </c>
      <c r="Z1261" s="59"/>
      <c r="AA1261" s="59"/>
      <c r="AB1261" s="59"/>
      <c r="AC1261" s="59"/>
      <c r="AD1261" s="59"/>
      <c r="AE1261" s="59"/>
      <c r="AF1261" s="59"/>
      <c r="AG1261" s="59"/>
      <c r="AH1261" s="59"/>
      <c r="AI1261" s="59"/>
      <c r="AJ1261" s="59"/>
      <c r="AK1261" s="59"/>
      <c r="AL1261" s="59"/>
      <c r="AM1261" s="59"/>
      <c r="AN1261" s="59"/>
      <c r="AO1261" s="59"/>
      <c r="AP1261" s="59"/>
      <c r="AQ1261" s="59"/>
      <c r="AR1261" s="59"/>
      <c r="AS1261" s="59"/>
      <c r="AT1261" s="59"/>
      <c r="AU1261" s="59"/>
      <c r="AV1261" s="59"/>
      <c r="AW1261" s="59"/>
    </row>
    <row r="1262" spans="1:49" x14ac:dyDescent="0.25">
      <c r="A1262" s="75">
        <v>31</v>
      </c>
      <c r="B1262" s="75" t="s">
        <v>3537</v>
      </c>
      <c r="C1262" s="56" t="s">
        <v>3517</v>
      </c>
      <c r="D1262" s="56" t="s">
        <v>3518</v>
      </c>
      <c r="E1262" s="121">
        <v>117</v>
      </c>
      <c r="F1262" s="75" t="s">
        <v>3497</v>
      </c>
      <c r="G1262" s="75" t="s">
        <v>3453</v>
      </c>
      <c r="H1262" s="56" t="s">
        <v>3535</v>
      </c>
      <c r="I1262" s="56" t="s">
        <v>55</v>
      </c>
      <c r="J1262" s="56" t="s">
        <v>3455</v>
      </c>
      <c r="K1262" s="57">
        <v>38259350</v>
      </c>
      <c r="L1262" s="57">
        <v>18297950</v>
      </c>
      <c r="M1262" s="57">
        <f t="shared" si="137"/>
        <v>19961400</v>
      </c>
      <c r="N1262" s="75">
        <v>203</v>
      </c>
      <c r="O1262" s="122">
        <v>43118</v>
      </c>
      <c r="P1262" s="56" t="s">
        <v>3538</v>
      </c>
      <c r="Q1262" s="75">
        <v>148</v>
      </c>
      <c r="R1262" s="75">
        <v>113</v>
      </c>
      <c r="S1262" s="56" t="s">
        <v>3535</v>
      </c>
      <c r="T1262" s="57">
        <v>19961400</v>
      </c>
      <c r="U1262" s="57">
        <v>0</v>
      </c>
      <c r="V1262" s="57">
        <v>0</v>
      </c>
      <c r="W1262" s="57">
        <v>19961400</v>
      </c>
      <c r="X1262" s="57">
        <v>19961400</v>
      </c>
      <c r="Y1262" s="57">
        <v>0</v>
      </c>
      <c r="Z1262" s="59"/>
      <c r="AA1262" s="59"/>
      <c r="AB1262" s="59"/>
      <c r="AC1262" s="59"/>
      <c r="AD1262" s="59"/>
      <c r="AE1262" s="59"/>
      <c r="AF1262" s="59"/>
      <c r="AG1262" s="59"/>
      <c r="AH1262" s="59"/>
      <c r="AI1262" s="59"/>
      <c r="AJ1262" s="59"/>
      <c r="AK1262" s="59"/>
      <c r="AL1262" s="59"/>
      <c r="AM1262" s="59"/>
      <c r="AN1262" s="59"/>
      <c r="AO1262" s="59"/>
      <c r="AP1262" s="59"/>
      <c r="AQ1262" s="59"/>
      <c r="AR1262" s="59"/>
      <c r="AS1262" s="59"/>
      <c r="AT1262" s="59"/>
      <c r="AU1262" s="59"/>
      <c r="AV1262" s="59"/>
      <c r="AW1262" s="59"/>
    </row>
    <row r="1263" spans="1:49" x14ac:dyDescent="0.25">
      <c r="A1263" s="75">
        <v>33</v>
      </c>
      <c r="B1263" s="75" t="s">
        <v>3539</v>
      </c>
      <c r="C1263" s="56" t="s">
        <v>3517</v>
      </c>
      <c r="D1263" s="56" t="s">
        <v>3518</v>
      </c>
      <c r="E1263" s="121">
        <v>116</v>
      </c>
      <c r="F1263" s="75" t="s">
        <v>3497</v>
      </c>
      <c r="G1263" s="75" t="s">
        <v>3453</v>
      </c>
      <c r="H1263" s="56" t="s">
        <v>3540</v>
      </c>
      <c r="I1263" s="56" t="s">
        <v>55</v>
      </c>
      <c r="J1263" s="56" t="s">
        <v>3455</v>
      </c>
      <c r="K1263" s="57">
        <v>34942750</v>
      </c>
      <c r="L1263" s="57">
        <v>0</v>
      </c>
      <c r="M1263" s="57">
        <f t="shared" si="137"/>
        <v>34942750</v>
      </c>
      <c r="N1263" s="75">
        <v>68</v>
      </c>
      <c r="O1263" s="122">
        <v>43116</v>
      </c>
      <c r="P1263" s="56" t="s">
        <v>3541</v>
      </c>
      <c r="Q1263" s="75">
        <v>148</v>
      </c>
      <c r="R1263" s="75">
        <v>62</v>
      </c>
      <c r="S1263" s="56" t="s">
        <v>3540</v>
      </c>
      <c r="T1263" s="57">
        <v>34942750</v>
      </c>
      <c r="U1263" s="57">
        <v>0</v>
      </c>
      <c r="V1263" s="57">
        <v>0</v>
      </c>
      <c r="W1263" s="57">
        <v>34942750</v>
      </c>
      <c r="X1263" s="57">
        <v>22687467</v>
      </c>
      <c r="Y1263" s="57">
        <v>12255283</v>
      </c>
      <c r="Z1263" s="59"/>
      <c r="AA1263" s="59"/>
      <c r="AB1263" s="59"/>
      <c r="AC1263" s="59"/>
      <c r="AD1263" s="59"/>
      <c r="AE1263" s="59"/>
      <c r="AF1263" s="59"/>
      <c r="AG1263" s="59"/>
      <c r="AH1263" s="59"/>
      <c r="AI1263" s="59"/>
      <c r="AJ1263" s="59"/>
      <c r="AK1263" s="59"/>
      <c r="AL1263" s="59"/>
      <c r="AM1263" s="59"/>
      <c r="AN1263" s="59"/>
      <c r="AO1263" s="59"/>
      <c r="AP1263" s="59"/>
      <c r="AQ1263" s="59"/>
      <c r="AR1263" s="59"/>
      <c r="AS1263" s="59"/>
      <c r="AT1263" s="59"/>
      <c r="AU1263" s="59"/>
      <c r="AV1263" s="59"/>
      <c r="AW1263" s="59"/>
    </row>
    <row r="1264" spans="1:49" x14ac:dyDescent="0.25">
      <c r="A1264" s="75">
        <v>34</v>
      </c>
      <c r="B1264" s="75" t="s">
        <v>3542</v>
      </c>
      <c r="C1264" s="56" t="s">
        <v>3517</v>
      </c>
      <c r="D1264" s="56" t="s">
        <v>3518</v>
      </c>
      <c r="E1264" s="121">
        <v>115</v>
      </c>
      <c r="F1264" s="75" t="s">
        <v>3497</v>
      </c>
      <c r="G1264" s="75" t="s">
        <v>3453</v>
      </c>
      <c r="H1264" s="56" t="s">
        <v>3543</v>
      </c>
      <c r="I1264" s="56" t="s">
        <v>55</v>
      </c>
      <c r="J1264" s="56" t="s">
        <v>3455</v>
      </c>
      <c r="K1264" s="57">
        <v>28428000</v>
      </c>
      <c r="L1264" s="57">
        <v>0</v>
      </c>
      <c r="M1264" s="57">
        <f t="shared" si="137"/>
        <v>28428000</v>
      </c>
      <c r="N1264" s="75">
        <v>75</v>
      </c>
      <c r="O1264" s="122">
        <v>43116</v>
      </c>
      <c r="P1264" s="56" t="s">
        <v>3544</v>
      </c>
      <c r="Q1264" s="75">
        <v>148</v>
      </c>
      <c r="R1264" s="75">
        <v>61</v>
      </c>
      <c r="S1264" s="56" t="s">
        <v>3543</v>
      </c>
      <c r="T1264" s="57">
        <v>28428000</v>
      </c>
      <c r="U1264" s="57">
        <v>0</v>
      </c>
      <c r="V1264" s="57">
        <v>0</v>
      </c>
      <c r="W1264" s="57">
        <v>28428000</v>
      </c>
      <c r="X1264" s="57">
        <v>18457600</v>
      </c>
      <c r="Y1264" s="57">
        <v>9970400</v>
      </c>
      <c r="Z1264" s="59"/>
      <c r="AA1264" s="59"/>
      <c r="AB1264" s="59"/>
      <c r="AC1264" s="59"/>
      <c r="AD1264" s="59"/>
      <c r="AE1264" s="59"/>
      <c r="AF1264" s="59"/>
      <c r="AG1264" s="59"/>
      <c r="AH1264" s="59"/>
      <c r="AI1264" s="59"/>
      <c r="AJ1264" s="59"/>
      <c r="AK1264" s="59"/>
      <c r="AL1264" s="59"/>
      <c r="AM1264" s="59"/>
      <c r="AN1264" s="59"/>
      <c r="AO1264" s="59"/>
      <c r="AP1264" s="59"/>
      <c r="AQ1264" s="59"/>
      <c r="AR1264" s="59"/>
      <c r="AS1264" s="59"/>
      <c r="AT1264" s="59"/>
      <c r="AU1264" s="59"/>
      <c r="AV1264" s="59"/>
      <c r="AW1264" s="59"/>
    </row>
    <row r="1265" spans="1:49" x14ac:dyDescent="0.25">
      <c r="A1265" s="75">
        <v>35</v>
      </c>
      <c r="B1265" s="75" t="s">
        <v>3545</v>
      </c>
      <c r="C1265" s="56" t="s">
        <v>3517</v>
      </c>
      <c r="D1265" s="56" t="s">
        <v>3518</v>
      </c>
      <c r="E1265" s="121">
        <v>114</v>
      </c>
      <c r="F1265" s="75" t="s">
        <v>3497</v>
      </c>
      <c r="G1265" s="75" t="s">
        <v>3453</v>
      </c>
      <c r="H1265" s="56" t="s">
        <v>3546</v>
      </c>
      <c r="I1265" s="56" t="s">
        <v>55</v>
      </c>
      <c r="J1265" s="56" t="s">
        <v>3455</v>
      </c>
      <c r="K1265" s="57">
        <v>38259350</v>
      </c>
      <c r="L1265" s="57">
        <v>0</v>
      </c>
      <c r="M1265" s="57">
        <f t="shared" si="137"/>
        <v>38259350</v>
      </c>
      <c r="N1265" s="75">
        <v>59</v>
      </c>
      <c r="O1265" s="122">
        <v>43116</v>
      </c>
      <c r="P1265" s="56" t="s">
        <v>3547</v>
      </c>
      <c r="Q1265" s="75">
        <v>148</v>
      </c>
      <c r="R1265" s="75">
        <v>42</v>
      </c>
      <c r="S1265" s="56" t="s">
        <v>3548</v>
      </c>
      <c r="T1265" s="57">
        <v>38259350</v>
      </c>
      <c r="U1265" s="57">
        <v>0</v>
      </c>
      <c r="V1265" s="57">
        <v>0</v>
      </c>
      <c r="W1265" s="57">
        <v>38259350</v>
      </c>
      <c r="X1265" s="57">
        <v>24840853</v>
      </c>
      <c r="Y1265" s="57">
        <v>13418497</v>
      </c>
      <c r="Z1265" s="59"/>
      <c r="AA1265" s="59"/>
      <c r="AB1265" s="59"/>
      <c r="AC1265" s="59"/>
      <c r="AD1265" s="59"/>
      <c r="AE1265" s="59"/>
      <c r="AF1265" s="59"/>
      <c r="AG1265" s="59"/>
      <c r="AH1265" s="59"/>
      <c r="AI1265" s="59"/>
      <c r="AJ1265" s="59"/>
      <c r="AK1265" s="59"/>
      <c r="AL1265" s="59"/>
      <c r="AM1265" s="59"/>
      <c r="AN1265" s="59"/>
      <c r="AO1265" s="59"/>
      <c r="AP1265" s="59"/>
      <c r="AQ1265" s="59"/>
      <c r="AR1265" s="59"/>
      <c r="AS1265" s="59"/>
      <c r="AT1265" s="59"/>
      <c r="AU1265" s="59"/>
      <c r="AV1265" s="59"/>
      <c r="AW1265" s="59"/>
    </row>
    <row r="1266" spans="1:49" x14ac:dyDescent="0.25">
      <c r="A1266" s="75">
        <v>36</v>
      </c>
      <c r="B1266" s="75" t="s">
        <v>3549</v>
      </c>
      <c r="C1266" s="56" t="s">
        <v>3517</v>
      </c>
      <c r="D1266" s="56" t="s">
        <v>3518</v>
      </c>
      <c r="E1266" s="121">
        <v>113</v>
      </c>
      <c r="F1266" s="75" t="s">
        <v>3497</v>
      </c>
      <c r="G1266" s="75" t="s">
        <v>3453</v>
      </c>
      <c r="H1266" s="56" t="s">
        <v>927</v>
      </c>
      <c r="I1266" s="56" t="s">
        <v>55</v>
      </c>
      <c r="J1266" s="56" t="s">
        <v>3455</v>
      </c>
      <c r="K1266" s="57">
        <v>34942750</v>
      </c>
      <c r="L1266" s="57">
        <v>0</v>
      </c>
      <c r="M1266" s="57">
        <f t="shared" si="137"/>
        <v>34942750</v>
      </c>
      <c r="N1266" s="75">
        <v>41</v>
      </c>
      <c r="O1266" s="122">
        <v>43116</v>
      </c>
      <c r="P1266" s="56" t="s">
        <v>3550</v>
      </c>
      <c r="Q1266" s="75">
        <v>148</v>
      </c>
      <c r="R1266" s="75">
        <v>49</v>
      </c>
      <c r="S1266" s="56" t="s">
        <v>927</v>
      </c>
      <c r="T1266" s="57">
        <v>34942750</v>
      </c>
      <c r="U1266" s="57">
        <v>0</v>
      </c>
      <c r="V1266" s="57">
        <v>0</v>
      </c>
      <c r="W1266" s="57">
        <v>34942750</v>
      </c>
      <c r="X1266" s="57">
        <v>22687467</v>
      </c>
      <c r="Y1266" s="57">
        <v>12255283</v>
      </c>
      <c r="Z1266" s="59"/>
      <c r="AA1266" s="59"/>
      <c r="AB1266" s="59"/>
      <c r="AC1266" s="59"/>
      <c r="AD1266" s="59"/>
      <c r="AE1266" s="59"/>
      <c r="AF1266" s="59"/>
      <c r="AG1266" s="59"/>
      <c r="AH1266" s="59"/>
      <c r="AI1266" s="59"/>
      <c r="AJ1266" s="59"/>
      <c r="AK1266" s="59"/>
      <c r="AL1266" s="59"/>
      <c r="AM1266" s="59"/>
      <c r="AN1266" s="59"/>
      <c r="AO1266" s="59"/>
      <c r="AP1266" s="59"/>
      <c r="AQ1266" s="59"/>
      <c r="AR1266" s="59"/>
      <c r="AS1266" s="59"/>
      <c r="AT1266" s="59"/>
      <c r="AU1266" s="59"/>
      <c r="AV1266" s="59"/>
      <c r="AW1266" s="59"/>
    </row>
    <row r="1267" spans="1:49" x14ac:dyDescent="0.25">
      <c r="A1267" s="75">
        <v>37</v>
      </c>
      <c r="B1267" s="75" t="s">
        <v>3551</v>
      </c>
      <c r="C1267" s="56" t="s">
        <v>3517</v>
      </c>
      <c r="D1267" s="56" t="s">
        <v>3518</v>
      </c>
      <c r="E1267" s="121">
        <v>112</v>
      </c>
      <c r="F1267" s="75" t="s">
        <v>3497</v>
      </c>
      <c r="G1267" s="75" t="s">
        <v>3453</v>
      </c>
      <c r="H1267" s="56" t="s">
        <v>3552</v>
      </c>
      <c r="I1267" s="56" t="s">
        <v>55</v>
      </c>
      <c r="J1267" s="56" t="s">
        <v>3455</v>
      </c>
      <c r="K1267" s="57">
        <v>38259350</v>
      </c>
      <c r="L1267" s="57">
        <v>0</v>
      </c>
      <c r="M1267" s="57">
        <f t="shared" si="137"/>
        <v>38259350</v>
      </c>
      <c r="N1267" s="75">
        <v>71</v>
      </c>
      <c r="O1267" s="122">
        <v>43116</v>
      </c>
      <c r="P1267" s="56" t="s">
        <v>3553</v>
      </c>
      <c r="Q1267" s="75">
        <v>148</v>
      </c>
      <c r="R1267" s="75">
        <v>57</v>
      </c>
      <c r="S1267" s="56" t="s">
        <v>3552</v>
      </c>
      <c r="T1267" s="57">
        <v>38259350</v>
      </c>
      <c r="U1267" s="57">
        <v>0</v>
      </c>
      <c r="V1267" s="57">
        <v>0</v>
      </c>
      <c r="W1267" s="57">
        <v>38259350</v>
      </c>
      <c r="X1267" s="57">
        <v>24840853</v>
      </c>
      <c r="Y1267" s="57">
        <v>13418497</v>
      </c>
      <c r="Z1267" s="59"/>
      <c r="AA1267" s="59"/>
      <c r="AB1267" s="59"/>
      <c r="AC1267" s="59"/>
      <c r="AD1267" s="59"/>
      <c r="AE1267" s="59"/>
      <c r="AF1267" s="59"/>
      <c r="AG1267" s="59"/>
      <c r="AH1267" s="59"/>
      <c r="AI1267" s="59"/>
      <c r="AJ1267" s="59"/>
      <c r="AK1267" s="59"/>
      <c r="AL1267" s="59"/>
      <c r="AM1267" s="59"/>
      <c r="AN1267" s="59"/>
      <c r="AO1267" s="59"/>
      <c r="AP1267" s="59"/>
      <c r="AQ1267" s="59"/>
      <c r="AR1267" s="59"/>
      <c r="AS1267" s="59"/>
      <c r="AT1267" s="59"/>
      <c r="AU1267" s="59"/>
      <c r="AV1267" s="59"/>
      <c r="AW1267" s="59"/>
    </row>
    <row r="1268" spans="1:49" x14ac:dyDescent="0.25">
      <c r="A1268" s="75">
        <v>38</v>
      </c>
      <c r="B1268" s="75" t="s">
        <v>3554</v>
      </c>
      <c r="C1268" s="56" t="s">
        <v>3517</v>
      </c>
      <c r="D1268" s="56" t="s">
        <v>3518</v>
      </c>
      <c r="E1268" s="121">
        <v>111</v>
      </c>
      <c r="F1268" s="75" t="s">
        <v>3497</v>
      </c>
      <c r="G1268" s="75" t="s">
        <v>3453</v>
      </c>
      <c r="H1268" s="56" t="s">
        <v>3555</v>
      </c>
      <c r="I1268" s="56" t="s">
        <v>55</v>
      </c>
      <c r="J1268" s="56" t="s">
        <v>3455</v>
      </c>
      <c r="K1268" s="57">
        <v>34942750</v>
      </c>
      <c r="L1268" s="57">
        <v>0</v>
      </c>
      <c r="M1268" s="57">
        <f t="shared" si="137"/>
        <v>34942750</v>
      </c>
      <c r="N1268" s="75">
        <v>106</v>
      </c>
      <c r="O1268" s="122">
        <v>43116</v>
      </c>
      <c r="P1268" s="56" t="s">
        <v>3556</v>
      </c>
      <c r="Q1268" s="75">
        <v>148</v>
      </c>
      <c r="R1268" s="75">
        <v>84</v>
      </c>
      <c r="S1268" s="56" t="s">
        <v>3555</v>
      </c>
      <c r="T1268" s="57">
        <v>34942750</v>
      </c>
      <c r="U1268" s="57">
        <v>0</v>
      </c>
      <c r="V1268" s="57">
        <v>0</v>
      </c>
      <c r="W1268" s="57">
        <v>34942750</v>
      </c>
      <c r="X1268" s="57">
        <v>22687467</v>
      </c>
      <c r="Y1268" s="57">
        <v>12255283</v>
      </c>
      <c r="Z1268" s="59"/>
      <c r="AA1268" s="59"/>
      <c r="AB1268" s="59"/>
      <c r="AC1268" s="59"/>
      <c r="AD1268" s="59"/>
      <c r="AE1268" s="59"/>
      <c r="AF1268" s="59"/>
      <c r="AG1268" s="59"/>
      <c r="AH1268" s="59"/>
      <c r="AI1268" s="59"/>
      <c r="AJ1268" s="59"/>
      <c r="AK1268" s="59"/>
      <c r="AL1268" s="59"/>
      <c r="AM1268" s="59"/>
      <c r="AN1268" s="59"/>
      <c r="AO1268" s="59"/>
      <c r="AP1268" s="59"/>
      <c r="AQ1268" s="59"/>
      <c r="AR1268" s="59"/>
      <c r="AS1268" s="59"/>
      <c r="AT1268" s="59"/>
      <c r="AU1268" s="59"/>
      <c r="AV1268" s="59"/>
      <c r="AW1268" s="59"/>
    </row>
    <row r="1269" spans="1:49" x14ac:dyDescent="0.25">
      <c r="A1269" s="75">
        <v>39</v>
      </c>
      <c r="B1269" s="75" t="s">
        <v>3557</v>
      </c>
      <c r="C1269" s="56" t="s">
        <v>3517</v>
      </c>
      <c r="D1269" s="56" t="s">
        <v>3518</v>
      </c>
      <c r="E1269" s="121">
        <v>110</v>
      </c>
      <c r="F1269" s="75" t="s">
        <v>3497</v>
      </c>
      <c r="G1269" s="75" t="s">
        <v>3453</v>
      </c>
      <c r="H1269" s="56" t="s">
        <v>927</v>
      </c>
      <c r="I1269" s="56" t="s">
        <v>55</v>
      </c>
      <c r="J1269" s="56" t="s">
        <v>3455</v>
      </c>
      <c r="K1269" s="57">
        <v>17767500</v>
      </c>
      <c r="L1269" s="57">
        <v>0</v>
      </c>
      <c r="M1269" s="57">
        <f t="shared" si="137"/>
        <v>17767500</v>
      </c>
      <c r="N1269" s="75">
        <v>43</v>
      </c>
      <c r="O1269" s="122">
        <v>43116</v>
      </c>
      <c r="P1269" s="56" t="s">
        <v>3558</v>
      </c>
      <c r="Q1269" s="75">
        <v>148</v>
      </c>
      <c r="R1269" s="75">
        <v>50</v>
      </c>
      <c r="S1269" s="56" t="s">
        <v>927</v>
      </c>
      <c r="T1269" s="57">
        <v>17767500</v>
      </c>
      <c r="U1269" s="57">
        <v>0</v>
      </c>
      <c r="V1269" s="57">
        <v>0</v>
      </c>
      <c r="W1269" s="57">
        <v>17767500</v>
      </c>
      <c r="X1269" s="57">
        <v>11536000</v>
      </c>
      <c r="Y1269" s="57">
        <v>6231500</v>
      </c>
      <c r="Z1269" s="59"/>
      <c r="AA1269" s="59"/>
      <c r="AB1269" s="59"/>
      <c r="AC1269" s="59"/>
      <c r="AD1269" s="59"/>
      <c r="AE1269" s="59"/>
      <c r="AF1269" s="59"/>
      <c r="AG1269" s="59"/>
      <c r="AH1269" s="59"/>
      <c r="AI1269" s="59"/>
      <c r="AJ1269" s="59"/>
      <c r="AK1269" s="59"/>
      <c r="AL1269" s="59"/>
      <c r="AM1269" s="59"/>
      <c r="AN1269" s="59"/>
      <c r="AO1269" s="59"/>
      <c r="AP1269" s="59"/>
      <c r="AQ1269" s="59"/>
      <c r="AR1269" s="59"/>
      <c r="AS1269" s="59"/>
      <c r="AT1269" s="59"/>
      <c r="AU1269" s="59"/>
      <c r="AV1269" s="59"/>
      <c r="AW1269" s="59"/>
    </row>
    <row r="1270" spans="1:49" x14ac:dyDescent="0.25">
      <c r="A1270" s="75">
        <v>40</v>
      </c>
      <c r="B1270" s="75" t="s">
        <v>3559</v>
      </c>
      <c r="C1270" s="56" t="s">
        <v>3517</v>
      </c>
      <c r="D1270" s="56" t="s">
        <v>3518</v>
      </c>
      <c r="E1270" s="121">
        <v>109</v>
      </c>
      <c r="F1270" s="75" t="s">
        <v>3497</v>
      </c>
      <c r="G1270" s="75" t="s">
        <v>3453</v>
      </c>
      <c r="H1270" s="56" t="s">
        <v>927</v>
      </c>
      <c r="I1270" s="56" t="s">
        <v>55</v>
      </c>
      <c r="J1270" s="56" t="s">
        <v>3455</v>
      </c>
      <c r="K1270" s="57">
        <v>17767500</v>
      </c>
      <c r="L1270" s="57">
        <v>0</v>
      </c>
      <c r="M1270" s="57">
        <f t="shared" si="137"/>
        <v>17767500</v>
      </c>
      <c r="N1270" s="75">
        <v>36</v>
      </c>
      <c r="O1270" s="122">
        <v>43116</v>
      </c>
      <c r="P1270" s="56" t="s">
        <v>3560</v>
      </c>
      <c r="Q1270" s="75">
        <v>148</v>
      </c>
      <c r="R1270" s="75">
        <v>46</v>
      </c>
      <c r="S1270" s="56" t="s">
        <v>927</v>
      </c>
      <c r="T1270" s="57">
        <v>17767500</v>
      </c>
      <c r="U1270" s="57">
        <v>0</v>
      </c>
      <c r="V1270" s="57">
        <v>0</v>
      </c>
      <c r="W1270" s="57">
        <v>17767500</v>
      </c>
      <c r="X1270" s="57">
        <v>11536000</v>
      </c>
      <c r="Y1270" s="57">
        <v>6231500</v>
      </c>
      <c r="Z1270" s="59"/>
      <c r="AA1270" s="59"/>
      <c r="AB1270" s="59"/>
      <c r="AC1270" s="59"/>
      <c r="AD1270" s="59"/>
      <c r="AE1270" s="59"/>
      <c r="AF1270" s="59"/>
      <c r="AG1270" s="59"/>
      <c r="AH1270" s="59"/>
      <c r="AI1270" s="59"/>
      <c r="AJ1270" s="59"/>
      <c r="AK1270" s="59"/>
      <c r="AL1270" s="59"/>
      <c r="AM1270" s="59"/>
      <c r="AN1270" s="59"/>
      <c r="AO1270" s="59"/>
      <c r="AP1270" s="59"/>
      <c r="AQ1270" s="59"/>
      <c r="AR1270" s="59"/>
      <c r="AS1270" s="59"/>
      <c r="AT1270" s="59"/>
      <c r="AU1270" s="59"/>
      <c r="AV1270" s="59"/>
      <c r="AW1270" s="59"/>
    </row>
    <row r="1271" spans="1:49" x14ac:dyDescent="0.25">
      <c r="A1271" s="75">
        <v>41</v>
      </c>
      <c r="B1271" s="75" t="s">
        <v>3561</v>
      </c>
      <c r="C1271" s="56" t="s">
        <v>3517</v>
      </c>
      <c r="D1271" s="56" t="s">
        <v>3518</v>
      </c>
      <c r="E1271" s="121">
        <v>108</v>
      </c>
      <c r="F1271" s="75" t="s">
        <v>3497</v>
      </c>
      <c r="G1271" s="75" t="s">
        <v>3453</v>
      </c>
      <c r="H1271" s="56" t="s">
        <v>3540</v>
      </c>
      <c r="I1271" s="56" t="s">
        <v>55</v>
      </c>
      <c r="J1271" s="56" t="s">
        <v>3455</v>
      </c>
      <c r="K1271" s="57">
        <v>28428000</v>
      </c>
      <c r="L1271" s="57">
        <v>0</v>
      </c>
      <c r="M1271" s="57">
        <f t="shared" si="137"/>
        <v>28428000</v>
      </c>
      <c r="N1271" s="75">
        <v>226</v>
      </c>
      <c r="O1271" s="122">
        <v>43118</v>
      </c>
      <c r="P1271" s="56" t="s">
        <v>3562</v>
      </c>
      <c r="Q1271" s="75">
        <v>148</v>
      </c>
      <c r="R1271" s="75">
        <v>196</v>
      </c>
      <c r="S1271" s="56" t="s">
        <v>3540</v>
      </c>
      <c r="T1271" s="57">
        <v>28428000</v>
      </c>
      <c r="U1271" s="57">
        <v>0</v>
      </c>
      <c r="V1271" s="57">
        <v>0</v>
      </c>
      <c r="W1271" s="57">
        <v>28428000</v>
      </c>
      <c r="X1271" s="57">
        <v>18292800</v>
      </c>
      <c r="Y1271" s="57">
        <v>10135200</v>
      </c>
      <c r="Z1271" s="59"/>
      <c r="AA1271" s="59"/>
      <c r="AB1271" s="59"/>
      <c r="AC1271" s="59"/>
      <c r="AD1271" s="59"/>
      <c r="AE1271" s="59"/>
      <c r="AF1271" s="59"/>
      <c r="AG1271" s="59"/>
      <c r="AH1271" s="59"/>
      <c r="AI1271" s="59"/>
      <c r="AJ1271" s="59"/>
      <c r="AK1271" s="59"/>
      <c r="AL1271" s="59"/>
      <c r="AM1271" s="59"/>
      <c r="AN1271" s="59"/>
      <c r="AO1271" s="59"/>
      <c r="AP1271" s="59"/>
      <c r="AQ1271" s="59"/>
      <c r="AR1271" s="59"/>
      <c r="AS1271" s="59"/>
      <c r="AT1271" s="59"/>
      <c r="AU1271" s="59"/>
      <c r="AV1271" s="59"/>
      <c r="AW1271" s="59"/>
    </row>
    <row r="1272" spans="1:49" x14ac:dyDescent="0.25">
      <c r="A1272" s="75">
        <v>42</v>
      </c>
      <c r="B1272" s="75" t="s">
        <v>3563</v>
      </c>
      <c r="C1272" s="56" t="s">
        <v>3517</v>
      </c>
      <c r="D1272" s="56" t="s">
        <v>3518</v>
      </c>
      <c r="E1272" s="121">
        <v>107</v>
      </c>
      <c r="F1272" s="75" t="s">
        <v>3497</v>
      </c>
      <c r="G1272" s="75" t="s">
        <v>3453</v>
      </c>
      <c r="H1272" s="56" t="s">
        <v>3564</v>
      </c>
      <c r="I1272" s="56" t="s">
        <v>55</v>
      </c>
      <c r="J1272" s="56" t="s">
        <v>3455</v>
      </c>
      <c r="K1272" s="57">
        <v>20136500</v>
      </c>
      <c r="L1272" s="57">
        <v>0</v>
      </c>
      <c r="M1272" s="57">
        <f t="shared" si="137"/>
        <v>20136500</v>
      </c>
      <c r="N1272" s="75">
        <v>49</v>
      </c>
      <c r="O1272" s="122">
        <v>43116</v>
      </c>
      <c r="P1272" s="56" t="s">
        <v>3565</v>
      </c>
      <c r="Q1272" s="75">
        <v>148</v>
      </c>
      <c r="R1272" s="75">
        <v>53</v>
      </c>
      <c r="S1272" s="56" t="s">
        <v>3564</v>
      </c>
      <c r="T1272" s="57">
        <v>20136500</v>
      </c>
      <c r="U1272" s="57">
        <v>0</v>
      </c>
      <c r="V1272" s="57">
        <v>0</v>
      </c>
      <c r="W1272" s="57">
        <v>20136500</v>
      </c>
      <c r="X1272" s="57">
        <v>13074133</v>
      </c>
      <c r="Y1272" s="57">
        <v>7062367</v>
      </c>
      <c r="Z1272" s="59"/>
      <c r="AA1272" s="59"/>
      <c r="AB1272" s="59"/>
      <c r="AC1272" s="59"/>
      <c r="AD1272" s="59"/>
      <c r="AE1272" s="59"/>
      <c r="AF1272" s="59"/>
      <c r="AG1272" s="59"/>
      <c r="AH1272" s="59"/>
      <c r="AI1272" s="59"/>
      <c r="AJ1272" s="59"/>
      <c r="AK1272" s="59"/>
      <c r="AL1272" s="59"/>
      <c r="AM1272" s="59"/>
      <c r="AN1272" s="59"/>
      <c r="AO1272" s="59"/>
      <c r="AP1272" s="59"/>
      <c r="AQ1272" s="59"/>
      <c r="AR1272" s="59"/>
      <c r="AS1272" s="59"/>
      <c r="AT1272" s="59"/>
      <c r="AU1272" s="59"/>
      <c r="AV1272" s="59"/>
      <c r="AW1272" s="59"/>
    </row>
    <row r="1273" spans="1:49" x14ac:dyDescent="0.25">
      <c r="A1273" s="75">
        <v>44</v>
      </c>
      <c r="B1273" s="75" t="s">
        <v>3566</v>
      </c>
      <c r="C1273" s="56" t="s">
        <v>3517</v>
      </c>
      <c r="D1273" s="56" t="s">
        <v>3518</v>
      </c>
      <c r="E1273" s="121">
        <v>105</v>
      </c>
      <c r="F1273" s="75" t="s">
        <v>3497</v>
      </c>
      <c r="G1273" s="75" t="s">
        <v>3453</v>
      </c>
      <c r="H1273" s="56" t="s">
        <v>3567</v>
      </c>
      <c r="I1273" s="56" t="s">
        <v>55</v>
      </c>
      <c r="J1273" s="56" t="s">
        <v>3455</v>
      </c>
      <c r="K1273" s="57">
        <v>20136500</v>
      </c>
      <c r="L1273" s="57">
        <v>0</v>
      </c>
      <c r="M1273" s="57">
        <f t="shared" si="137"/>
        <v>20136500</v>
      </c>
      <c r="N1273" s="75">
        <v>70</v>
      </c>
      <c r="O1273" s="122">
        <v>43116</v>
      </c>
      <c r="P1273" s="56" t="s">
        <v>3568</v>
      </c>
      <c r="Q1273" s="75">
        <v>148</v>
      </c>
      <c r="R1273" s="75">
        <v>56</v>
      </c>
      <c r="S1273" s="56" t="s">
        <v>3567</v>
      </c>
      <c r="T1273" s="57">
        <v>20136500</v>
      </c>
      <c r="U1273" s="57">
        <v>0</v>
      </c>
      <c r="V1273" s="57">
        <v>0</v>
      </c>
      <c r="W1273" s="57">
        <v>20136500</v>
      </c>
      <c r="X1273" s="57">
        <v>13074133</v>
      </c>
      <c r="Y1273" s="57">
        <v>7062367</v>
      </c>
      <c r="Z1273" s="59"/>
      <c r="AA1273" s="59"/>
      <c r="AB1273" s="59"/>
      <c r="AC1273" s="59"/>
      <c r="AD1273" s="59"/>
      <c r="AE1273" s="59"/>
      <c r="AF1273" s="59"/>
      <c r="AG1273" s="59"/>
      <c r="AH1273" s="59"/>
      <c r="AI1273" s="59"/>
      <c r="AJ1273" s="59"/>
      <c r="AK1273" s="59"/>
      <c r="AL1273" s="59"/>
      <c r="AM1273" s="59"/>
      <c r="AN1273" s="59"/>
      <c r="AO1273" s="59"/>
      <c r="AP1273" s="59"/>
      <c r="AQ1273" s="59"/>
      <c r="AR1273" s="59"/>
      <c r="AS1273" s="59"/>
      <c r="AT1273" s="59"/>
      <c r="AU1273" s="59"/>
      <c r="AV1273" s="59"/>
      <c r="AW1273" s="59"/>
    </row>
    <row r="1274" spans="1:49" x14ac:dyDescent="0.25">
      <c r="A1274" s="75">
        <v>2</v>
      </c>
      <c r="B1274" s="75" t="s">
        <v>3569</v>
      </c>
      <c r="C1274" s="56" t="s">
        <v>3450</v>
      </c>
      <c r="D1274" s="56" t="s">
        <v>3451</v>
      </c>
      <c r="E1274" s="121">
        <v>315</v>
      </c>
      <c r="F1274" s="75" t="s">
        <v>3570</v>
      </c>
      <c r="G1274" s="75" t="s">
        <v>3453</v>
      </c>
      <c r="H1274" s="56" t="s">
        <v>3571</v>
      </c>
      <c r="I1274" s="56" t="s">
        <v>55</v>
      </c>
      <c r="J1274" s="56" t="s">
        <v>3455</v>
      </c>
      <c r="K1274" s="57">
        <v>40865250</v>
      </c>
      <c r="L1274" s="57">
        <v>0</v>
      </c>
      <c r="M1274" s="57">
        <f t="shared" si="137"/>
        <v>40865250</v>
      </c>
      <c r="N1274" s="75">
        <v>164</v>
      </c>
      <c r="O1274" s="122">
        <v>43118</v>
      </c>
      <c r="P1274" s="56" t="s">
        <v>3572</v>
      </c>
      <c r="Q1274" s="75">
        <v>145</v>
      </c>
      <c r="R1274" s="75">
        <v>122</v>
      </c>
      <c r="S1274" s="56" t="s">
        <v>3571</v>
      </c>
      <c r="T1274" s="57">
        <v>40865250</v>
      </c>
      <c r="U1274" s="57">
        <v>0</v>
      </c>
      <c r="V1274" s="57">
        <v>0</v>
      </c>
      <c r="W1274" s="57">
        <v>40865250</v>
      </c>
      <c r="X1274" s="57">
        <v>26414350</v>
      </c>
      <c r="Y1274" s="57">
        <v>14450900</v>
      </c>
      <c r="Z1274" s="59"/>
      <c r="AA1274" s="59"/>
      <c r="AB1274" s="59"/>
      <c r="AC1274" s="59"/>
      <c r="AD1274" s="59"/>
      <c r="AE1274" s="59"/>
      <c r="AF1274" s="59"/>
      <c r="AG1274" s="59"/>
      <c r="AH1274" s="59"/>
      <c r="AI1274" s="59"/>
      <c r="AJ1274" s="59"/>
      <c r="AK1274" s="59"/>
      <c r="AL1274" s="59"/>
      <c r="AM1274" s="59"/>
      <c r="AN1274" s="59"/>
      <c r="AO1274" s="59"/>
      <c r="AP1274" s="59"/>
      <c r="AQ1274" s="59"/>
      <c r="AR1274" s="59"/>
      <c r="AS1274" s="59"/>
      <c r="AT1274" s="59"/>
      <c r="AU1274" s="59"/>
      <c r="AV1274" s="59"/>
      <c r="AW1274" s="59"/>
    </row>
    <row r="1275" spans="1:49" x14ac:dyDescent="0.25">
      <c r="A1275" s="75">
        <v>9</v>
      </c>
      <c r="B1275" s="75" t="s">
        <v>3573</v>
      </c>
      <c r="C1275" s="56" t="s">
        <v>3450</v>
      </c>
      <c r="D1275" s="56" t="s">
        <v>3451</v>
      </c>
      <c r="E1275" s="121">
        <v>484</v>
      </c>
      <c r="F1275" s="75" t="s">
        <v>3574</v>
      </c>
      <c r="G1275" s="75" t="s">
        <v>3453</v>
      </c>
      <c r="H1275" s="56" t="s">
        <v>3575</v>
      </c>
      <c r="I1275" s="56" t="s">
        <v>55</v>
      </c>
      <c r="J1275" s="56" t="s">
        <v>3455</v>
      </c>
      <c r="K1275" s="57">
        <v>40865250</v>
      </c>
      <c r="L1275" s="57">
        <v>0</v>
      </c>
      <c r="M1275" s="57">
        <f t="shared" si="137"/>
        <v>40865250</v>
      </c>
      <c r="N1275" s="75">
        <v>112</v>
      </c>
      <c r="O1275" s="122">
        <v>43117</v>
      </c>
      <c r="P1275" s="56" t="s">
        <v>3576</v>
      </c>
      <c r="Q1275" s="75">
        <v>145</v>
      </c>
      <c r="R1275" s="75">
        <v>105</v>
      </c>
      <c r="S1275" s="56" t="s">
        <v>3575</v>
      </c>
      <c r="T1275" s="57">
        <v>40865250</v>
      </c>
      <c r="U1275" s="57">
        <v>0</v>
      </c>
      <c r="V1275" s="57">
        <v>0</v>
      </c>
      <c r="W1275" s="57">
        <v>40865250</v>
      </c>
      <c r="X1275" s="57">
        <v>26532800</v>
      </c>
      <c r="Y1275" s="57">
        <v>14332450</v>
      </c>
      <c r="Z1275" s="59"/>
      <c r="AA1275" s="59"/>
      <c r="AB1275" s="59"/>
      <c r="AC1275" s="59"/>
      <c r="AD1275" s="59"/>
      <c r="AE1275" s="59"/>
      <c r="AF1275" s="59"/>
      <c r="AG1275" s="59"/>
      <c r="AH1275" s="59"/>
      <c r="AI1275" s="59"/>
      <c r="AJ1275" s="59"/>
      <c r="AK1275" s="59"/>
      <c r="AL1275" s="59"/>
      <c r="AM1275" s="59"/>
      <c r="AN1275" s="59"/>
      <c r="AO1275" s="59"/>
      <c r="AP1275" s="59"/>
      <c r="AQ1275" s="59"/>
      <c r="AR1275" s="59"/>
      <c r="AS1275" s="59"/>
      <c r="AT1275" s="59"/>
      <c r="AU1275" s="59"/>
      <c r="AV1275" s="59"/>
      <c r="AW1275" s="59"/>
    </row>
    <row r="1276" spans="1:49" x14ac:dyDescent="0.25">
      <c r="A1276" s="22">
        <v>43</v>
      </c>
      <c r="B1276" s="18" t="s">
        <v>3577</v>
      </c>
      <c r="C1276" s="15" t="s">
        <v>3517</v>
      </c>
      <c r="D1276" s="15" t="s">
        <v>3518</v>
      </c>
      <c r="E1276" s="19">
        <v>436</v>
      </c>
      <c r="F1276" s="18" t="s">
        <v>3578</v>
      </c>
      <c r="G1276" s="18" t="s">
        <v>3453</v>
      </c>
      <c r="H1276" s="15" t="s">
        <v>3579</v>
      </c>
      <c r="I1276" s="15" t="s">
        <v>55</v>
      </c>
      <c r="J1276" s="15" t="s">
        <v>3455</v>
      </c>
      <c r="K1276" s="14">
        <v>28428000</v>
      </c>
      <c r="L1276" s="14">
        <v>0</v>
      </c>
      <c r="M1276" s="14">
        <f t="shared" si="137"/>
        <v>28428000</v>
      </c>
      <c r="N1276" s="18">
        <v>55</v>
      </c>
      <c r="O1276" s="20">
        <v>43116</v>
      </c>
      <c r="P1276" s="15" t="s">
        <v>3580</v>
      </c>
      <c r="Q1276" s="18">
        <v>148</v>
      </c>
      <c r="R1276" s="18">
        <v>40</v>
      </c>
      <c r="S1276" s="15" t="s">
        <v>3579</v>
      </c>
      <c r="T1276" s="14">
        <v>28428000</v>
      </c>
      <c r="U1276" s="14">
        <v>0</v>
      </c>
      <c r="V1276" s="14">
        <v>0</v>
      </c>
      <c r="W1276" s="14">
        <v>28428000</v>
      </c>
      <c r="X1276" s="14">
        <v>18457600</v>
      </c>
      <c r="Y1276" s="14">
        <v>9970400</v>
      </c>
    </row>
    <row r="1277" spans="1:49" x14ac:dyDescent="0.25">
      <c r="A1277" s="22">
        <v>16</v>
      </c>
      <c r="B1277" s="18" t="s">
        <v>3581</v>
      </c>
      <c r="C1277" s="15" t="s">
        <v>3450</v>
      </c>
      <c r="D1277" s="15" t="s">
        <v>3451</v>
      </c>
      <c r="E1277" s="19">
        <v>524</v>
      </c>
      <c r="F1277" s="18" t="s">
        <v>3582</v>
      </c>
      <c r="G1277" s="18" t="s">
        <v>3453</v>
      </c>
      <c r="H1277" s="15" t="s">
        <v>3583</v>
      </c>
      <c r="I1277" s="15" t="s">
        <v>55</v>
      </c>
      <c r="J1277" s="15" t="s">
        <v>3455</v>
      </c>
      <c r="K1277" s="14">
        <v>68425000</v>
      </c>
      <c r="L1277" s="14">
        <v>0</v>
      </c>
      <c r="M1277" s="14">
        <f t="shared" si="137"/>
        <v>68425000</v>
      </c>
      <c r="N1277" s="18">
        <v>308</v>
      </c>
      <c r="O1277" s="20">
        <v>43122</v>
      </c>
      <c r="P1277" s="15" t="s">
        <v>1340</v>
      </c>
      <c r="Q1277" s="18">
        <v>145</v>
      </c>
      <c r="R1277" s="18">
        <v>280</v>
      </c>
      <c r="S1277" s="15" t="s">
        <v>3583</v>
      </c>
      <c r="T1277" s="14">
        <v>68425000</v>
      </c>
      <c r="U1277" s="14">
        <v>0</v>
      </c>
      <c r="V1277" s="14">
        <v>0</v>
      </c>
      <c r="W1277" s="14">
        <v>68425000</v>
      </c>
      <c r="X1277" s="14">
        <v>40063333</v>
      </c>
      <c r="Y1277" s="14">
        <v>28361667</v>
      </c>
    </row>
    <row r="1278" spans="1:49" x14ac:dyDescent="0.25">
      <c r="A1278" s="18">
        <v>83</v>
      </c>
      <c r="B1278" s="18" t="s">
        <v>3584</v>
      </c>
      <c r="C1278" s="15" t="s">
        <v>3585</v>
      </c>
      <c r="D1278" s="15" t="s">
        <v>3586</v>
      </c>
      <c r="E1278" s="19">
        <v>522</v>
      </c>
      <c r="F1278" s="18" t="s">
        <v>3582</v>
      </c>
      <c r="G1278" s="18" t="s">
        <v>3453</v>
      </c>
      <c r="H1278" s="15" t="s">
        <v>3587</v>
      </c>
      <c r="I1278" s="15" t="s">
        <v>55</v>
      </c>
      <c r="J1278" s="15" t="s">
        <v>3455</v>
      </c>
      <c r="K1278" s="14">
        <v>747183</v>
      </c>
      <c r="L1278" s="14">
        <v>0</v>
      </c>
      <c r="M1278" s="14">
        <f t="shared" si="137"/>
        <v>747183</v>
      </c>
      <c r="N1278" s="18">
        <v>307</v>
      </c>
      <c r="O1278" s="20">
        <v>43122</v>
      </c>
      <c r="P1278" s="15" t="s">
        <v>3588</v>
      </c>
      <c r="Q1278" s="18">
        <v>28</v>
      </c>
      <c r="R1278" s="18">
        <v>565515</v>
      </c>
      <c r="S1278" s="15" t="s">
        <v>3589</v>
      </c>
      <c r="T1278" s="14">
        <v>747183</v>
      </c>
      <c r="U1278" s="14">
        <v>0</v>
      </c>
      <c r="V1278" s="14">
        <v>0</v>
      </c>
      <c r="W1278" s="14">
        <v>747183</v>
      </c>
      <c r="X1278" s="14">
        <v>747183</v>
      </c>
      <c r="Y1278" s="14">
        <v>0</v>
      </c>
    </row>
    <row r="1279" spans="1:49" x14ac:dyDescent="0.25">
      <c r="A1279" s="22">
        <v>64</v>
      </c>
      <c r="B1279" s="18" t="s">
        <v>3590</v>
      </c>
      <c r="C1279" s="15" t="s">
        <v>3585</v>
      </c>
      <c r="D1279" s="15" t="s">
        <v>3586</v>
      </c>
      <c r="E1279" s="19">
        <v>521</v>
      </c>
      <c r="F1279" s="18" t="s">
        <v>3582</v>
      </c>
      <c r="G1279" s="18" t="s">
        <v>3453</v>
      </c>
      <c r="H1279" s="15" t="s">
        <v>3591</v>
      </c>
      <c r="I1279" s="15" t="s">
        <v>55</v>
      </c>
      <c r="J1279" s="15" t="s">
        <v>3455</v>
      </c>
      <c r="K1279" s="14">
        <v>11865600</v>
      </c>
      <c r="L1279" s="14">
        <v>0</v>
      </c>
      <c r="M1279" s="14">
        <f t="shared" si="137"/>
        <v>11865600</v>
      </c>
      <c r="N1279" s="18">
        <v>488</v>
      </c>
      <c r="O1279" s="20">
        <v>43126</v>
      </c>
      <c r="P1279" s="15" t="s">
        <v>3592</v>
      </c>
      <c r="Q1279" s="18">
        <v>28</v>
      </c>
      <c r="R1279" s="18">
        <v>43506</v>
      </c>
      <c r="S1279" s="15" t="s">
        <v>3593</v>
      </c>
      <c r="T1279" s="14">
        <v>654012</v>
      </c>
      <c r="U1279" s="14">
        <v>0</v>
      </c>
      <c r="V1279" s="14">
        <v>0</v>
      </c>
      <c r="W1279" s="14">
        <v>654012</v>
      </c>
      <c r="X1279" s="14">
        <v>654012</v>
      </c>
      <c r="Y1279" s="14">
        <v>0</v>
      </c>
    </row>
    <row r="1280" spans="1:49" x14ac:dyDescent="0.25">
      <c r="A1280" s="22">
        <v>64</v>
      </c>
      <c r="B1280" s="18"/>
      <c r="C1280" s="15"/>
      <c r="D1280" s="15"/>
      <c r="E1280" s="19"/>
      <c r="F1280" s="18"/>
      <c r="G1280" s="18"/>
      <c r="H1280" s="15"/>
      <c r="I1280" s="15"/>
      <c r="J1280" s="15"/>
      <c r="K1280" s="14"/>
      <c r="L1280" s="14"/>
      <c r="M1280" s="14"/>
      <c r="N1280" s="18">
        <v>1467</v>
      </c>
      <c r="O1280" s="20">
        <v>43154</v>
      </c>
      <c r="P1280" s="15" t="s">
        <v>3592</v>
      </c>
      <c r="Q1280" s="18">
        <v>28</v>
      </c>
      <c r="R1280" s="18">
        <v>16154</v>
      </c>
      <c r="S1280" s="15" t="s">
        <v>3594</v>
      </c>
      <c r="T1280" s="14">
        <v>655108</v>
      </c>
      <c r="U1280" s="14">
        <v>0</v>
      </c>
      <c r="V1280" s="14">
        <v>0</v>
      </c>
      <c r="W1280" s="14">
        <v>655108</v>
      </c>
      <c r="X1280" s="14">
        <v>655108</v>
      </c>
      <c r="Y1280" s="14">
        <v>0</v>
      </c>
    </row>
    <row r="1281" spans="1:25" x14ac:dyDescent="0.25">
      <c r="A1281" s="22">
        <v>64</v>
      </c>
      <c r="B1281" s="18"/>
      <c r="C1281" s="15"/>
      <c r="D1281" s="15"/>
      <c r="E1281" s="19"/>
      <c r="F1281" s="18"/>
      <c r="G1281" s="18"/>
      <c r="H1281" s="15"/>
      <c r="I1281" s="15"/>
      <c r="J1281" s="15"/>
      <c r="K1281" s="14"/>
      <c r="L1281" s="14"/>
      <c r="M1281" s="14"/>
      <c r="N1281" s="18">
        <v>1659</v>
      </c>
      <c r="O1281" s="20">
        <v>43185</v>
      </c>
      <c r="P1281" s="15" t="s">
        <v>3592</v>
      </c>
      <c r="Q1281" s="18">
        <v>28</v>
      </c>
      <c r="R1281" s="18">
        <v>11910</v>
      </c>
      <c r="S1281" s="15" t="s">
        <v>3595</v>
      </c>
      <c r="T1281" s="14">
        <v>654012</v>
      </c>
      <c r="U1281" s="14">
        <v>0</v>
      </c>
      <c r="V1281" s="14">
        <v>0</v>
      </c>
      <c r="W1281" s="14">
        <v>654012</v>
      </c>
      <c r="X1281" s="14">
        <v>654012</v>
      </c>
      <c r="Y1281" s="14">
        <v>0</v>
      </c>
    </row>
    <row r="1282" spans="1:25" x14ac:dyDescent="0.25">
      <c r="A1282" s="22">
        <v>64</v>
      </c>
      <c r="B1282" s="18"/>
      <c r="C1282" s="15"/>
      <c r="D1282" s="15"/>
      <c r="E1282" s="19"/>
      <c r="F1282" s="18"/>
      <c r="G1282" s="18"/>
      <c r="H1282" s="15"/>
      <c r="I1282" s="15"/>
      <c r="J1282" s="15"/>
      <c r="K1282" s="14"/>
      <c r="L1282" s="14"/>
      <c r="M1282" s="14"/>
      <c r="N1282" s="18">
        <v>1847</v>
      </c>
      <c r="O1282" s="20">
        <v>43217</v>
      </c>
      <c r="P1282" s="15" t="s">
        <v>3592</v>
      </c>
      <c r="Q1282" s="18">
        <v>28</v>
      </c>
      <c r="R1282" s="18">
        <v>493615</v>
      </c>
      <c r="S1282" s="15" t="s">
        <v>3596</v>
      </c>
      <c r="T1282" s="14">
        <v>654012</v>
      </c>
      <c r="U1282" s="14">
        <v>0</v>
      </c>
      <c r="V1282" s="14">
        <v>0</v>
      </c>
      <c r="W1282" s="14">
        <v>654012</v>
      </c>
      <c r="X1282" s="14">
        <v>654012</v>
      </c>
      <c r="Y1282" s="14">
        <v>0</v>
      </c>
    </row>
    <row r="1283" spans="1:25" x14ac:dyDescent="0.25">
      <c r="A1283" s="22">
        <v>64</v>
      </c>
      <c r="B1283" s="18"/>
      <c r="C1283" s="15"/>
      <c r="D1283" s="15"/>
      <c r="E1283" s="19"/>
      <c r="F1283" s="18"/>
      <c r="G1283" s="18"/>
      <c r="H1283" s="15"/>
      <c r="I1283" s="15"/>
      <c r="J1283" s="15"/>
      <c r="K1283" s="14"/>
      <c r="L1283" s="14"/>
      <c r="M1283" s="14"/>
      <c r="N1283" s="18">
        <v>1958</v>
      </c>
      <c r="O1283" s="20">
        <v>43249</v>
      </c>
      <c r="P1283" s="15" t="s">
        <v>3592</v>
      </c>
      <c r="Q1283" s="18">
        <v>28</v>
      </c>
      <c r="R1283" s="18">
        <v>287285</v>
      </c>
      <c r="S1283" s="15" t="s">
        <v>3597</v>
      </c>
      <c r="T1283" s="14">
        <v>654012</v>
      </c>
      <c r="U1283" s="14">
        <v>0</v>
      </c>
      <c r="V1283" s="14">
        <v>0</v>
      </c>
      <c r="W1283" s="14">
        <v>654012</v>
      </c>
      <c r="X1283" s="14">
        <v>654012</v>
      </c>
      <c r="Y1283" s="14">
        <v>0</v>
      </c>
    </row>
    <row r="1284" spans="1:25" x14ac:dyDescent="0.25">
      <c r="A1284" s="22">
        <v>64</v>
      </c>
      <c r="B1284" s="18"/>
      <c r="C1284" s="15"/>
      <c r="D1284" s="15"/>
      <c r="E1284" s="19"/>
      <c r="F1284" s="18"/>
      <c r="G1284" s="18"/>
      <c r="H1284" s="15"/>
      <c r="I1284" s="15"/>
      <c r="J1284" s="15"/>
      <c r="K1284" s="14"/>
      <c r="L1284" s="14"/>
      <c r="M1284" s="14"/>
      <c r="N1284" s="18">
        <v>2146</v>
      </c>
      <c r="O1284" s="20">
        <v>43277</v>
      </c>
      <c r="P1284" s="15" t="s">
        <v>3592</v>
      </c>
      <c r="Q1284" s="18">
        <v>28</v>
      </c>
      <c r="R1284" s="18">
        <v>8061701</v>
      </c>
      <c r="S1284" s="15" t="s">
        <v>3598</v>
      </c>
      <c r="T1284" s="14">
        <v>654012</v>
      </c>
      <c r="U1284" s="14">
        <v>0</v>
      </c>
      <c r="V1284" s="14">
        <v>0</v>
      </c>
      <c r="W1284" s="14">
        <v>654012</v>
      </c>
      <c r="X1284" s="14">
        <v>654012</v>
      </c>
      <c r="Y1284" s="14">
        <v>0</v>
      </c>
    </row>
    <row r="1285" spans="1:25" x14ac:dyDescent="0.25">
      <c r="A1285" s="22">
        <v>64</v>
      </c>
      <c r="B1285" s="18"/>
      <c r="C1285" s="15"/>
      <c r="D1285" s="15"/>
      <c r="E1285" s="19"/>
      <c r="F1285" s="18"/>
      <c r="G1285" s="18"/>
      <c r="H1285" s="15"/>
      <c r="I1285" s="15"/>
      <c r="J1285" s="15"/>
      <c r="K1285" s="14"/>
      <c r="L1285" s="14"/>
      <c r="M1285" s="14"/>
      <c r="N1285" s="18">
        <v>2532</v>
      </c>
      <c r="O1285" s="20">
        <v>43305</v>
      </c>
      <c r="P1285" s="15" t="s">
        <v>3592</v>
      </c>
      <c r="Q1285" s="18">
        <v>28</v>
      </c>
      <c r="R1285" s="18">
        <v>841394</v>
      </c>
      <c r="S1285" s="15" t="s">
        <v>3599</v>
      </c>
      <c r="T1285" s="14">
        <v>692722</v>
      </c>
      <c r="U1285" s="14">
        <v>0</v>
      </c>
      <c r="V1285" s="14">
        <v>0</v>
      </c>
      <c r="W1285" s="14">
        <v>692722</v>
      </c>
      <c r="X1285" s="14">
        <v>692722</v>
      </c>
      <c r="Y1285" s="14">
        <v>0</v>
      </c>
    </row>
    <row r="1286" spans="1:25" x14ac:dyDescent="0.25">
      <c r="A1286" s="22">
        <v>64</v>
      </c>
      <c r="B1286" s="18"/>
      <c r="C1286" s="15"/>
      <c r="D1286" s="15"/>
      <c r="E1286" s="19"/>
      <c r="F1286" s="18"/>
      <c r="G1286" s="18"/>
      <c r="H1286" s="15"/>
      <c r="I1286" s="15"/>
      <c r="J1286" s="15"/>
      <c r="K1286" s="14"/>
      <c r="L1286" s="14"/>
      <c r="M1286" s="14"/>
      <c r="N1286" s="18">
        <v>2750</v>
      </c>
      <c r="O1286" s="20">
        <v>43336</v>
      </c>
      <c r="P1286" s="15" t="s">
        <v>3592</v>
      </c>
      <c r="Q1286" s="18">
        <v>28</v>
      </c>
      <c r="R1286" s="18">
        <v>652520</v>
      </c>
      <c r="S1286" s="15" t="s">
        <v>3600</v>
      </c>
      <c r="T1286" s="14">
        <v>692357</v>
      </c>
      <c r="U1286" s="14">
        <v>692357</v>
      </c>
      <c r="V1286" s="14">
        <v>0</v>
      </c>
      <c r="W1286" s="14">
        <v>0</v>
      </c>
      <c r="X1286" s="14">
        <v>0</v>
      </c>
      <c r="Y1286" s="14">
        <v>0</v>
      </c>
    </row>
    <row r="1287" spans="1:25" x14ac:dyDescent="0.25">
      <c r="A1287" s="22">
        <v>64</v>
      </c>
      <c r="B1287" s="18"/>
      <c r="C1287" s="15"/>
      <c r="D1287" s="15"/>
      <c r="E1287" s="19"/>
      <c r="F1287" s="18"/>
      <c r="G1287" s="18"/>
      <c r="H1287" s="15"/>
      <c r="I1287" s="15"/>
      <c r="J1287" s="15"/>
      <c r="K1287" s="14"/>
      <c r="L1287" s="14"/>
      <c r="M1287" s="14"/>
      <c r="N1287" s="18">
        <v>2751</v>
      </c>
      <c r="O1287" s="20">
        <v>43336</v>
      </c>
      <c r="P1287" s="15" t="s">
        <v>3592</v>
      </c>
      <c r="Q1287" s="18">
        <v>28</v>
      </c>
      <c r="R1287" s="18">
        <v>652520</v>
      </c>
      <c r="S1287" s="15" t="s">
        <v>3600</v>
      </c>
      <c r="T1287" s="14">
        <v>692357</v>
      </c>
      <c r="U1287" s="14">
        <v>692357</v>
      </c>
      <c r="V1287" s="14">
        <v>0</v>
      </c>
      <c r="W1287" s="14">
        <v>0</v>
      </c>
      <c r="X1287" s="14">
        <v>0</v>
      </c>
      <c r="Y1287" s="14">
        <v>0</v>
      </c>
    </row>
    <row r="1288" spans="1:25" x14ac:dyDescent="0.25">
      <c r="A1288" s="22">
        <v>64</v>
      </c>
      <c r="B1288" s="18"/>
      <c r="C1288" s="15"/>
      <c r="D1288" s="15"/>
      <c r="E1288" s="19"/>
      <c r="F1288" s="18"/>
      <c r="G1288" s="18"/>
      <c r="H1288" s="15"/>
      <c r="I1288" s="15"/>
      <c r="J1288" s="15"/>
      <c r="K1288" s="14"/>
      <c r="L1288" s="14"/>
      <c r="M1288" s="14"/>
      <c r="N1288" s="18">
        <v>2753</v>
      </c>
      <c r="O1288" s="20">
        <v>43339</v>
      </c>
      <c r="P1288" s="15" t="s">
        <v>3592</v>
      </c>
      <c r="Q1288" s="18">
        <v>28</v>
      </c>
      <c r="R1288" s="18">
        <v>652520</v>
      </c>
      <c r="S1288" s="15" t="s">
        <v>3600</v>
      </c>
      <c r="T1288" s="14">
        <v>692357</v>
      </c>
      <c r="U1288" s="14">
        <v>0</v>
      </c>
      <c r="V1288" s="14">
        <v>0</v>
      </c>
      <c r="W1288" s="14">
        <v>692357</v>
      </c>
      <c r="X1288" s="14">
        <v>692357</v>
      </c>
      <c r="Y1288" s="14">
        <v>0</v>
      </c>
    </row>
    <row r="1289" spans="1:25" x14ac:dyDescent="0.25">
      <c r="A1289" s="22">
        <v>64</v>
      </c>
      <c r="B1289" s="18"/>
      <c r="C1289" s="15"/>
      <c r="D1289" s="15"/>
      <c r="E1289" s="19"/>
      <c r="F1289" s="18"/>
      <c r="G1289" s="18"/>
      <c r="H1289" s="15"/>
      <c r="I1289" s="15"/>
      <c r="J1289" s="15"/>
      <c r="K1289" s="14"/>
      <c r="L1289" s="14"/>
      <c r="M1289" s="14"/>
      <c r="N1289" s="18">
        <v>2929</v>
      </c>
      <c r="O1289" s="20">
        <v>43369</v>
      </c>
      <c r="P1289" s="15" t="s">
        <v>3592</v>
      </c>
      <c r="Q1289" s="18">
        <v>28</v>
      </c>
      <c r="R1289" s="18">
        <v>263340</v>
      </c>
      <c r="S1289" s="15" t="s">
        <v>3601</v>
      </c>
      <c r="T1289" s="14">
        <v>287453</v>
      </c>
      <c r="U1289" s="14">
        <v>0</v>
      </c>
      <c r="V1289" s="14">
        <v>0</v>
      </c>
      <c r="W1289" s="14">
        <v>287453</v>
      </c>
      <c r="X1289" s="14">
        <v>0</v>
      </c>
      <c r="Y1289" s="14">
        <v>287453</v>
      </c>
    </row>
    <row r="1290" spans="1:25" x14ac:dyDescent="0.25">
      <c r="A1290" s="22">
        <v>60</v>
      </c>
      <c r="B1290" s="18" t="s">
        <v>3602</v>
      </c>
      <c r="C1290" s="15" t="s">
        <v>3603</v>
      </c>
      <c r="D1290" s="15" t="s">
        <v>3604</v>
      </c>
      <c r="E1290" s="19">
        <v>548</v>
      </c>
      <c r="F1290" s="18" t="s">
        <v>3605</v>
      </c>
      <c r="G1290" s="18" t="s">
        <v>3453</v>
      </c>
      <c r="H1290" s="15" t="s">
        <v>3606</v>
      </c>
      <c r="I1290" s="15" t="s">
        <v>55</v>
      </c>
      <c r="J1290" s="15" t="s">
        <v>3455</v>
      </c>
      <c r="K1290" s="23">
        <v>8000000</v>
      </c>
      <c r="L1290" s="23">
        <v>0</v>
      </c>
      <c r="M1290" s="23">
        <f>K1290-L1290</f>
        <v>8000000</v>
      </c>
      <c r="N1290" s="18">
        <v>1585</v>
      </c>
      <c r="O1290" s="20">
        <v>43174</v>
      </c>
      <c r="P1290" s="15" t="s">
        <v>737</v>
      </c>
      <c r="Q1290" s="18">
        <v>27</v>
      </c>
      <c r="R1290" s="18">
        <v>2</v>
      </c>
      <c r="S1290" s="15" t="s">
        <v>3607</v>
      </c>
      <c r="T1290" s="14">
        <v>114900</v>
      </c>
      <c r="U1290" s="14">
        <v>0</v>
      </c>
      <c r="V1290" s="14">
        <v>0</v>
      </c>
      <c r="W1290" s="14">
        <v>114900</v>
      </c>
      <c r="X1290" s="14">
        <v>114900</v>
      </c>
      <c r="Y1290" s="14">
        <v>0</v>
      </c>
    </row>
    <row r="1291" spans="1:25" x14ac:dyDescent="0.25">
      <c r="A1291" s="22">
        <v>60</v>
      </c>
      <c r="B1291" s="18"/>
      <c r="C1291" s="15"/>
      <c r="D1291" s="15"/>
      <c r="E1291" s="19"/>
      <c r="F1291" s="18"/>
      <c r="G1291" s="18"/>
      <c r="H1291" s="15"/>
      <c r="I1291" s="15"/>
      <c r="J1291" s="15"/>
      <c r="K1291" s="23"/>
      <c r="L1291" s="23"/>
      <c r="M1291" s="23"/>
      <c r="N1291" s="18">
        <v>1820</v>
      </c>
      <c r="O1291" s="20">
        <v>43209</v>
      </c>
      <c r="P1291" s="15" t="s">
        <v>737</v>
      </c>
      <c r="Q1291" s="18">
        <v>27</v>
      </c>
      <c r="R1291" s="18">
        <v>3</v>
      </c>
      <c r="S1291" s="15" t="s">
        <v>3608</v>
      </c>
      <c r="T1291" s="14">
        <v>106000</v>
      </c>
      <c r="U1291" s="14">
        <v>0</v>
      </c>
      <c r="V1291" s="14">
        <v>0</v>
      </c>
      <c r="W1291" s="14">
        <v>106000</v>
      </c>
      <c r="X1291" s="14">
        <v>106000</v>
      </c>
      <c r="Y1291" s="14">
        <v>0</v>
      </c>
    </row>
    <row r="1292" spans="1:25" x14ac:dyDescent="0.25">
      <c r="A1292" s="22">
        <v>60</v>
      </c>
      <c r="B1292" s="18"/>
      <c r="C1292" s="15"/>
      <c r="D1292" s="15"/>
      <c r="E1292" s="19"/>
      <c r="F1292" s="18"/>
      <c r="G1292" s="18"/>
      <c r="H1292" s="15"/>
      <c r="I1292" s="15"/>
      <c r="J1292" s="15"/>
      <c r="K1292" s="23"/>
      <c r="L1292" s="23"/>
      <c r="M1292" s="23"/>
      <c r="N1292" s="18">
        <v>1897</v>
      </c>
      <c r="O1292" s="20">
        <v>43231</v>
      </c>
      <c r="P1292" s="15" t="s">
        <v>737</v>
      </c>
      <c r="Q1292" s="18">
        <v>27</v>
      </c>
      <c r="R1292" s="18">
        <v>4</v>
      </c>
      <c r="S1292" s="15" t="s">
        <v>3609</v>
      </c>
      <c r="T1292" s="14">
        <v>13200</v>
      </c>
      <c r="U1292" s="14">
        <v>0</v>
      </c>
      <c r="V1292" s="14">
        <v>0</v>
      </c>
      <c r="W1292" s="14">
        <v>13200</v>
      </c>
      <c r="X1292" s="14">
        <v>13200</v>
      </c>
      <c r="Y1292" s="14">
        <v>0</v>
      </c>
    </row>
    <row r="1293" spans="1:25" x14ac:dyDescent="0.25">
      <c r="A1293" s="22">
        <v>60</v>
      </c>
      <c r="B1293" s="18"/>
      <c r="C1293" s="15"/>
      <c r="D1293" s="15"/>
      <c r="E1293" s="19"/>
      <c r="F1293" s="18"/>
      <c r="G1293" s="18"/>
      <c r="H1293" s="15"/>
      <c r="I1293" s="15"/>
      <c r="J1293" s="15"/>
      <c r="K1293" s="23"/>
      <c r="L1293" s="23"/>
      <c r="M1293" s="23"/>
      <c r="N1293" s="18">
        <v>2042</v>
      </c>
      <c r="O1293" s="20">
        <v>43271</v>
      </c>
      <c r="P1293" s="15" t="s">
        <v>737</v>
      </c>
      <c r="Q1293" s="18">
        <v>27</v>
      </c>
      <c r="R1293" s="18">
        <v>5</v>
      </c>
      <c r="S1293" s="15" t="s">
        <v>3610</v>
      </c>
      <c r="T1293" s="14">
        <v>60000</v>
      </c>
      <c r="U1293" s="14">
        <v>0</v>
      </c>
      <c r="V1293" s="14">
        <v>0</v>
      </c>
      <c r="W1293" s="14">
        <v>60000</v>
      </c>
      <c r="X1293" s="14">
        <v>60000</v>
      </c>
      <c r="Y1293" s="14">
        <v>0</v>
      </c>
    </row>
    <row r="1294" spans="1:25" x14ac:dyDescent="0.25">
      <c r="A1294" s="22">
        <v>60</v>
      </c>
      <c r="B1294" s="18"/>
      <c r="C1294" s="15"/>
      <c r="D1294" s="15"/>
      <c r="E1294" s="19"/>
      <c r="F1294" s="18"/>
      <c r="G1294" s="18"/>
      <c r="H1294" s="15"/>
      <c r="I1294" s="15"/>
      <c r="J1294" s="15"/>
      <c r="K1294" s="23"/>
      <c r="L1294" s="23"/>
      <c r="M1294" s="23"/>
      <c r="N1294" s="18">
        <v>2513</v>
      </c>
      <c r="O1294" s="20">
        <v>43300</v>
      </c>
      <c r="P1294" s="15" t="s">
        <v>737</v>
      </c>
      <c r="Q1294" s="18">
        <v>27</v>
      </c>
      <c r="R1294" s="18">
        <v>6</v>
      </c>
      <c r="S1294" s="15" t="s">
        <v>3611</v>
      </c>
      <c r="T1294" s="14">
        <v>22000</v>
      </c>
      <c r="U1294" s="14">
        <v>0</v>
      </c>
      <c r="V1294" s="14">
        <v>0</v>
      </c>
      <c r="W1294" s="14">
        <v>22000</v>
      </c>
      <c r="X1294" s="14">
        <v>22000</v>
      </c>
      <c r="Y1294" s="14">
        <v>0</v>
      </c>
    </row>
    <row r="1295" spans="1:25" x14ac:dyDescent="0.25">
      <c r="A1295" s="22">
        <v>60</v>
      </c>
      <c r="B1295" s="18"/>
      <c r="C1295" s="15"/>
      <c r="D1295" s="15"/>
      <c r="E1295" s="19"/>
      <c r="F1295" s="18"/>
      <c r="G1295" s="18"/>
      <c r="H1295" s="15"/>
      <c r="I1295" s="15"/>
      <c r="J1295" s="15"/>
      <c r="K1295" s="23"/>
      <c r="L1295" s="23"/>
      <c r="M1295" s="23"/>
      <c r="N1295" s="18">
        <v>2717</v>
      </c>
      <c r="O1295" s="20">
        <v>43335</v>
      </c>
      <c r="P1295" s="15" t="s">
        <v>737</v>
      </c>
      <c r="Q1295" s="18">
        <v>27</v>
      </c>
      <c r="R1295" s="18">
        <v>7</v>
      </c>
      <c r="S1295" s="15" t="s">
        <v>3612</v>
      </c>
      <c r="T1295" s="14">
        <v>70686</v>
      </c>
      <c r="U1295" s="14">
        <v>0</v>
      </c>
      <c r="V1295" s="14">
        <v>0</v>
      </c>
      <c r="W1295" s="14">
        <v>70686</v>
      </c>
      <c r="X1295" s="14">
        <v>70686</v>
      </c>
      <c r="Y1295" s="14">
        <v>0</v>
      </c>
    </row>
    <row r="1296" spans="1:25" x14ac:dyDescent="0.25">
      <c r="A1296" s="22">
        <v>65</v>
      </c>
      <c r="B1296" s="18" t="s">
        <v>3613</v>
      </c>
      <c r="C1296" s="15" t="s">
        <v>3585</v>
      </c>
      <c r="D1296" s="15" t="s">
        <v>3586</v>
      </c>
      <c r="E1296" s="19">
        <v>549</v>
      </c>
      <c r="F1296" s="18" t="s">
        <v>3605</v>
      </c>
      <c r="G1296" s="18" t="s">
        <v>3453</v>
      </c>
      <c r="H1296" s="15" t="s">
        <v>3606</v>
      </c>
      <c r="I1296" s="15" t="s">
        <v>55</v>
      </c>
      <c r="J1296" s="15" t="s">
        <v>3455</v>
      </c>
      <c r="K1296" s="14">
        <v>4500000</v>
      </c>
      <c r="L1296" s="14">
        <v>4454800</v>
      </c>
      <c r="M1296" s="14">
        <f>K1296-L1296</f>
        <v>45200</v>
      </c>
      <c r="N1296" s="18">
        <v>1359</v>
      </c>
      <c r="O1296" s="20">
        <v>43146</v>
      </c>
      <c r="P1296" s="15" t="s">
        <v>737</v>
      </c>
      <c r="Q1296" s="18">
        <v>27</v>
      </c>
      <c r="R1296" s="18">
        <v>1</v>
      </c>
      <c r="S1296" s="15" t="s">
        <v>3614</v>
      </c>
      <c r="T1296" s="14">
        <v>45200</v>
      </c>
      <c r="U1296" s="14">
        <v>0</v>
      </c>
      <c r="V1296" s="14">
        <v>0</v>
      </c>
      <c r="W1296" s="14">
        <v>45200</v>
      </c>
      <c r="X1296" s="14">
        <v>45200</v>
      </c>
      <c r="Y1296" s="14">
        <v>0</v>
      </c>
    </row>
    <row r="1297" spans="1:25" x14ac:dyDescent="0.25">
      <c r="A1297" s="18">
        <v>69</v>
      </c>
      <c r="B1297" s="18" t="s">
        <v>3615</v>
      </c>
      <c r="C1297" s="15" t="s">
        <v>3616</v>
      </c>
      <c r="D1297" s="15" t="s">
        <v>3617</v>
      </c>
      <c r="E1297" s="19">
        <v>550</v>
      </c>
      <c r="F1297" s="18" t="s">
        <v>3618</v>
      </c>
      <c r="G1297" s="18" t="s">
        <v>3453</v>
      </c>
      <c r="H1297" s="15" t="s">
        <v>3619</v>
      </c>
      <c r="I1297" s="15" t="s">
        <v>55</v>
      </c>
      <c r="J1297" s="15" t="s">
        <v>3455</v>
      </c>
      <c r="K1297" s="14">
        <v>8000000</v>
      </c>
      <c r="L1297" s="14">
        <v>3612912</v>
      </c>
      <c r="M1297" s="14">
        <f>K1297-L1297</f>
        <v>4387088</v>
      </c>
      <c r="N1297" s="18">
        <v>1586</v>
      </c>
      <c r="O1297" s="20">
        <v>43174</v>
      </c>
      <c r="P1297" s="15" t="s">
        <v>737</v>
      </c>
      <c r="Q1297" s="18">
        <v>27</v>
      </c>
      <c r="R1297" s="18">
        <v>2</v>
      </c>
      <c r="S1297" s="15" t="s">
        <v>3607</v>
      </c>
      <c r="T1297" s="14">
        <v>120000</v>
      </c>
      <c r="U1297" s="14">
        <v>0</v>
      </c>
      <c r="V1297" s="14">
        <v>0</v>
      </c>
      <c r="W1297" s="14">
        <v>120000</v>
      </c>
      <c r="X1297" s="14">
        <v>120000</v>
      </c>
      <c r="Y1297" s="14">
        <v>0</v>
      </c>
    </row>
    <row r="1298" spans="1:25" x14ac:dyDescent="0.25">
      <c r="A1298" s="18">
        <v>69</v>
      </c>
      <c r="B1298" s="18"/>
      <c r="C1298" s="15"/>
      <c r="D1298" s="15"/>
      <c r="E1298" s="19"/>
      <c r="F1298" s="18"/>
      <c r="G1298" s="18"/>
      <c r="H1298" s="15"/>
      <c r="I1298" s="15"/>
      <c r="J1298" s="15"/>
      <c r="K1298" s="14"/>
      <c r="L1298" s="14"/>
      <c r="M1298" s="14"/>
      <c r="N1298" s="18">
        <v>1899</v>
      </c>
      <c r="O1298" s="20">
        <v>43231</v>
      </c>
      <c r="P1298" s="15" t="s">
        <v>737</v>
      </c>
      <c r="Q1298" s="18">
        <v>27</v>
      </c>
      <c r="R1298" s="18">
        <v>4</v>
      </c>
      <c r="S1298" s="15" t="s">
        <v>3609</v>
      </c>
      <c r="T1298" s="14">
        <v>38556</v>
      </c>
      <c r="U1298" s="14">
        <v>0</v>
      </c>
      <c r="V1298" s="14">
        <v>0</v>
      </c>
      <c r="W1298" s="14">
        <v>38556</v>
      </c>
      <c r="X1298" s="14">
        <v>38556</v>
      </c>
      <c r="Y1298" s="14">
        <v>0</v>
      </c>
    </row>
    <row r="1299" spans="1:25" x14ac:dyDescent="0.25">
      <c r="A1299" s="18">
        <v>69</v>
      </c>
      <c r="B1299" s="18"/>
      <c r="C1299" s="15"/>
      <c r="D1299" s="15"/>
      <c r="E1299" s="19"/>
      <c r="F1299" s="18"/>
      <c r="G1299" s="18"/>
      <c r="H1299" s="15"/>
      <c r="I1299" s="15"/>
      <c r="J1299" s="15"/>
      <c r="K1299" s="14"/>
      <c r="L1299" s="14"/>
      <c r="M1299" s="14"/>
      <c r="N1299" s="18">
        <v>2044</v>
      </c>
      <c r="O1299" s="20">
        <v>43271</v>
      </c>
      <c r="P1299" s="15" t="s">
        <v>737</v>
      </c>
      <c r="Q1299" s="18">
        <v>27</v>
      </c>
      <c r="R1299" s="18">
        <v>5</v>
      </c>
      <c r="S1299" s="15" t="s">
        <v>3610</v>
      </c>
      <c r="T1299" s="14">
        <v>33900</v>
      </c>
      <c r="U1299" s="14">
        <v>0</v>
      </c>
      <c r="V1299" s="14">
        <v>0</v>
      </c>
      <c r="W1299" s="14">
        <v>33900</v>
      </c>
      <c r="X1299" s="14">
        <v>33900</v>
      </c>
      <c r="Y1299" s="14">
        <v>0</v>
      </c>
    </row>
    <row r="1300" spans="1:25" x14ac:dyDescent="0.25">
      <c r="A1300" s="18">
        <v>69</v>
      </c>
      <c r="B1300" s="18"/>
      <c r="C1300" s="15"/>
      <c r="D1300" s="15"/>
      <c r="E1300" s="19"/>
      <c r="F1300" s="18"/>
      <c r="G1300" s="18"/>
      <c r="H1300" s="15"/>
      <c r="I1300" s="15"/>
      <c r="J1300" s="15"/>
      <c r="K1300" s="14"/>
      <c r="L1300" s="14"/>
      <c r="M1300" s="14"/>
      <c r="N1300" s="18">
        <v>2515</v>
      </c>
      <c r="O1300" s="20">
        <v>43300</v>
      </c>
      <c r="P1300" s="15" t="s">
        <v>737</v>
      </c>
      <c r="Q1300" s="18">
        <v>27</v>
      </c>
      <c r="R1300" s="18">
        <v>6</v>
      </c>
      <c r="S1300" s="15" t="s">
        <v>3611</v>
      </c>
      <c r="T1300" s="14">
        <v>56700</v>
      </c>
      <c r="U1300" s="14">
        <v>0</v>
      </c>
      <c r="V1300" s="14">
        <v>0</v>
      </c>
      <c r="W1300" s="14">
        <v>56700</v>
      </c>
      <c r="X1300" s="14">
        <v>56700</v>
      </c>
      <c r="Y1300" s="14">
        <v>0</v>
      </c>
    </row>
    <row r="1301" spans="1:25" x14ac:dyDescent="0.25">
      <c r="A1301" s="18">
        <v>69</v>
      </c>
      <c r="B1301" s="18"/>
      <c r="C1301" s="15"/>
      <c r="D1301" s="15"/>
      <c r="E1301" s="19"/>
      <c r="F1301" s="18"/>
      <c r="G1301" s="18"/>
      <c r="H1301" s="15"/>
      <c r="I1301" s="15"/>
      <c r="J1301" s="15"/>
      <c r="K1301" s="14"/>
      <c r="L1301" s="14"/>
      <c r="M1301" s="14"/>
      <c r="N1301" s="18">
        <v>2719</v>
      </c>
      <c r="O1301" s="20">
        <v>43335</v>
      </c>
      <c r="P1301" s="15" t="s">
        <v>737</v>
      </c>
      <c r="Q1301" s="18">
        <v>27</v>
      </c>
      <c r="R1301" s="18">
        <v>7</v>
      </c>
      <c r="S1301" s="15" t="s">
        <v>3612</v>
      </c>
      <c r="T1301" s="14">
        <v>29170</v>
      </c>
      <c r="U1301" s="14">
        <v>0</v>
      </c>
      <c r="V1301" s="14">
        <v>0</v>
      </c>
      <c r="W1301" s="14">
        <v>29170</v>
      </c>
      <c r="X1301" s="14">
        <v>29170</v>
      </c>
      <c r="Y1301" s="14">
        <v>0</v>
      </c>
    </row>
    <row r="1302" spans="1:25" x14ac:dyDescent="0.25">
      <c r="A1302" s="18">
        <v>80</v>
      </c>
      <c r="B1302" s="18" t="s">
        <v>3620</v>
      </c>
      <c r="C1302" s="15" t="s">
        <v>3621</v>
      </c>
      <c r="D1302" s="15" t="s">
        <v>3622</v>
      </c>
      <c r="E1302" s="19">
        <v>542</v>
      </c>
      <c r="F1302" s="18" t="s">
        <v>3605</v>
      </c>
      <c r="G1302" s="18" t="s">
        <v>3453</v>
      </c>
      <c r="H1302" s="15" t="s">
        <v>3623</v>
      </c>
      <c r="I1302" s="15" t="s">
        <v>55</v>
      </c>
      <c r="J1302" s="15" t="s">
        <v>3455</v>
      </c>
      <c r="K1302" s="14">
        <v>8000000</v>
      </c>
      <c r="L1302" s="14">
        <v>3511868</v>
      </c>
      <c r="M1302" s="14">
        <f>K1302-L1302</f>
        <v>4488132</v>
      </c>
      <c r="N1302" s="18">
        <v>1822</v>
      </c>
      <c r="O1302" s="20">
        <v>43209</v>
      </c>
      <c r="P1302" s="15" t="s">
        <v>737</v>
      </c>
      <c r="Q1302" s="18">
        <v>27</v>
      </c>
      <c r="R1302" s="18">
        <v>3</v>
      </c>
      <c r="S1302" s="15" t="s">
        <v>3624</v>
      </c>
      <c r="T1302" s="14">
        <v>128300</v>
      </c>
      <c r="U1302" s="14">
        <v>0</v>
      </c>
      <c r="V1302" s="14">
        <v>0</v>
      </c>
      <c r="W1302" s="14">
        <v>128300</v>
      </c>
      <c r="X1302" s="14">
        <v>128300</v>
      </c>
      <c r="Y1302" s="14">
        <v>0</v>
      </c>
    </row>
    <row r="1303" spans="1:25" x14ac:dyDescent="0.25">
      <c r="A1303" s="18">
        <v>80</v>
      </c>
      <c r="B1303" s="18"/>
      <c r="C1303" s="15"/>
      <c r="D1303" s="15"/>
      <c r="E1303" s="19"/>
      <c r="F1303" s="18"/>
      <c r="G1303" s="18"/>
      <c r="H1303" s="15"/>
      <c r="I1303" s="15"/>
      <c r="J1303" s="15"/>
      <c r="K1303" s="14"/>
      <c r="L1303" s="14"/>
      <c r="M1303" s="14"/>
      <c r="N1303" s="18">
        <v>2045</v>
      </c>
      <c r="O1303" s="20">
        <v>43271</v>
      </c>
      <c r="P1303" s="15" t="s">
        <v>737</v>
      </c>
      <c r="Q1303" s="18">
        <v>27</v>
      </c>
      <c r="R1303" s="18">
        <v>5</v>
      </c>
      <c r="S1303" s="15" t="s">
        <v>3610</v>
      </c>
      <c r="T1303" s="14">
        <v>100000</v>
      </c>
      <c r="U1303" s="14">
        <v>0</v>
      </c>
      <c r="V1303" s="14">
        <v>0</v>
      </c>
      <c r="W1303" s="14">
        <v>100000</v>
      </c>
      <c r="X1303" s="14">
        <v>100000</v>
      </c>
      <c r="Y1303" s="14">
        <v>0</v>
      </c>
    </row>
    <row r="1304" spans="1:25" x14ac:dyDescent="0.25">
      <c r="A1304" s="18">
        <v>80</v>
      </c>
      <c r="B1304" s="18"/>
      <c r="C1304" s="15"/>
      <c r="D1304" s="15"/>
      <c r="E1304" s="19"/>
      <c r="F1304" s="18"/>
      <c r="G1304" s="18"/>
      <c r="H1304" s="15"/>
      <c r="I1304" s="15"/>
      <c r="J1304" s="15"/>
      <c r="K1304" s="14"/>
      <c r="L1304" s="14"/>
      <c r="M1304" s="14"/>
      <c r="N1304" s="18">
        <v>2516</v>
      </c>
      <c r="O1304" s="20">
        <v>43300</v>
      </c>
      <c r="P1304" s="15" t="s">
        <v>737</v>
      </c>
      <c r="Q1304" s="18">
        <v>27</v>
      </c>
      <c r="R1304" s="18">
        <v>6</v>
      </c>
      <c r="S1304" s="15" t="s">
        <v>3611</v>
      </c>
      <c r="T1304" s="14">
        <v>121900</v>
      </c>
      <c r="U1304" s="14">
        <v>0</v>
      </c>
      <c r="V1304" s="14">
        <v>0</v>
      </c>
      <c r="W1304" s="14">
        <v>121900</v>
      </c>
      <c r="X1304" s="14">
        <v>121900</v>
      </c>
      <c r="Y1304" s="14">
        <v>0</v>
      </c>
    </row>
    <row r="1305" spans="1:25" x14ac:dyDescent="0.25">
      <c r="A1305" s="18">
        <v>80</v>
      </c>
      <c r="B1305" s="18"/>
      <c r="C1305" s="15"/>
      <c r="D1305" s="15"/>
      <c r="E1305" s="19"/>
      <c r="F1305" s="18"/>
      <c r="G1305" s="18"/>
      <c r="H1305" s="15"/>
      <c r="I1305" s="15"/>
      <c r="J1305" s="15"/>
      <c r="K1305" s="14"/>
      <c r="L1305" s="14"/>
      <c r="M1305" s="14"/>
      <c r="N1305" s="18">
        <v>2916</v>
      </c>
      <c r="O1305" s="20">
        <v>43364</v>
      </c>
      <c r="P1305" s="15" t="s">
        <v>737</v>
      </c>
      <c r="Q1305" s="18">
        <v>27</v>
      </c>
      <c r="R1305" s="18">
        <v>8</v>
      </c>
      <c r="S1305" s="15" t="s">
        <v>3625</v>
      </c>
      <c r="T1305" s="14">
        <v>359380</v>
      </c>
      <c r="U1305" s="14">
        <v>0</v>
      </c>
      <c r="V1305" s="14">
        <v>0</v>
      </c>
      <c r="W1305" s="14">
        <v>359380</v>
      </c>
      <c r="X1305" s="14">
        <v>359380</v>
      </c>
      <c r="Y1305" s="14">
        <v>0</v>
      </c>
    </row>
    <row r="1306" spans="1:25" x14ac:dyDescent="0.25">
      <c r="A1306" s="18">
        <v>81</v>
      </c>
      <c r="B1306" s="18" t="s">
        <v>3626</v>
      </c>
      <c r="C1306" s="15" t="s">
        <v>3627</v>
      </c>
      <c r="D1306" s="15" t="s">
        <v>3628</v>
      </c>
      <c r="E1306" s="19">
        <v>547</v>
      </c>
      <c r="F1306" s="18" t="s">
        <v>3605</v>
      </c>
      <c r="G1306" s="18" t="s">
        <v>3453</v>
      </c>
      <c r="H1306" s="15" t="s">
        <v>3623</v>
      </c>
      <c r="I1306" s="15" t="s">
        <v>55</v>
      </c>
      <c r="J1306" s="15" t="s">
        <v>3455</v>
      </c>
      <c r="K1306" s="14">
        <v>3000000</v>
      </c>
      <c r="L1306" s="14">
        <v>0</v>
      </c>
      <c r="M1306" s="14">
        <f>K1306-L1306</f>
        <v>3000000</v>
      </c>
      <c r="N1306" s="18">
        <v>1587</v>
      </c>
      <c r="O1306" s="20">
        <v>43174</v>
      </c>
      <c r="P1306" s="15" t="s">
        <v>737</v>
      </c>
      <c r="Q1306" s="18">
        <v>27</v>
      </c>
      <c r="R1306" s="18">
        <v>2</v>
      </c>
      <c r="S1306" s="15" t="s">
        <v>3607</v>
      </c>
      <c r="T1306" s="14">
        <v>124288</v>
      </c>
      <c r="U1306" s="14">
        <v>0</v>
      </c>
      <c r="V1306" s="14">
        <v>0</v>
      </c>
      <c r="W1306" s="14">
        <v>124288</v>
      </c>
      <c r="X1306" s="14">
        <v>124288</v>
      </c>
      <c r="Y1306" s="14">
        <v>0</v>
      </c>
    </row>
    <row r="1307" spans="1:25" x14ac:dyDescent="0.25">
      <c r="A1307" s="18">
        <v>81</v>
      </c>
      <c r="B1307" s="18" t="s">
        <v>3626</v>
      </c>
      <c r="C1307" s="15"/>
      <c r="D1307" s="15"/>
      <c r="E1307" s="19"/>
      <c r="F1307" s="18"/>
      <c r="G1307" s="18"/>
      <c r="H1307" s="15"/>
      <c r="I1307" s="15"/>
      <c r="J1307" s="15"/>
      <c r="K1307" s="14"/>
      <c r="L1307" s="14"/>
      <c r="M1307" s="14"/>
      <c r="N1307" s="18">
        <v>1823</v>
      </c>
      <c r="O1307" s="20">
        <v>43209</v>
      </c>
      <c r="P1307" s="15" t="s">
        <v>737</v>
      </c>
      <c r="Q1307" s="18">
        <v>27</v>
      </c>
      <c r="R1307" s="18">
        <v>3</v>
      </c>
      <c r="S1307" s="15" t="s">
        <v>3624</v>
      </c>
      <c r="T1307" s="14">
        <v>45972</v>
      </c>
      <c r="U1307" s="14">
        <v>0</v>
      </c>
      <c r="V1307" s="14">
        <v>0</v>
      </c>
      <c r="W1307" s="14">
        <v>45972</v>
      </c>
      <c r="X1307" s="14">
        <v>45972</v>
      </c>
      <c r="Y1307" s="14">
        <v>0</v>
      </c>
    </row>
    <row r="1308" spans="1:25" x14ac:dyDescent="0.25">
      <c r="A1308" s="18">
        <v>81</v>
      </c>
      <c r="B1308" s="18" t="s">
        <v>3626</v>
      </c>
      <c r="C1308" s="15"/>
      <c r="D1308" s="15"/>
      <c r="E1308" s="19"/>
      <c r="F1308" s="18"/>
      <c r="G1308" s="18"/>
      <c r="H1308" s="15"/>
      <c r="I1308" s="15"/>
      <c r="J1308" s="15"/>
      <c r="K1308" s="14"/>
      <c r="L1308" s="14"/>
      <c r="M1308" s="14"/>
      <c r="N1308" s="18">
        <v>1900</v>
      </c>
      <c r="O1308" s="20">
        <v>43231</v>
      </c>
      <c r="P1308" s="15" t="s">
        <v>737</v>
      </c>
      <c r="Q1308" s="18">
        <v>27</v>
      </c>
      <c r="R1308" s="18">
        <v>4</v>
      </c>
      <c r="S1308" s="15" t="s">
        <v>3609</v>
      </c>
      <c r="T1308" s="14">
        <v>42545</v>
      </c>
      <c r="U1308" s="14">
        <v>0</v>
      </c>
      <c r="V1308" s="14">
        <v>0</v>
      </c>
      <c r="W1308" s="14">
        <v>42545</v>
      </c>
      <c r="X1308" s="14">
        <v>42545</v>
      </c>
      <c r="Y1308" s="14">
        <v>0</v>
      </c>
    </row>
    <row r="1309" spans="1:25" x14ac:dyDescent="0.25">
      <c r="A1309" s="18">
        <v>81</v>
      </c>
      <c r="B1309" s="18" t="s">
        <v>3626</v>
      </c>
      <c r="C1309" s="15"/>
      <c r="D1309" s="15"/>
      <c r="E1309" s="19"/>
      <c r="F1309" s="18"/>
      <c r="G1309" s="18"/>
      <c r="H1309" s="15"/>
      <c r="I1309" s="15"/>
      <c r="J1309" s="15"/>
      <c r="K1309" s="14"/>
      <c r="L1309" s="14"/>
      <c r="M1309" s="14"/>
      <c r="N1309" s="18">
        <v>2046</v>
      </c>
      <c r="O1309" s="20">
        <v>43271</v>
      </c>
      <c r="P1309" s="15" t="s">
        <v>737</v>
      </c>
      <c r="Q1309" s="18">
        <v>27</v>
      </c>
      <c r="R1309" s="18">
        <v>5</v>
      </c>
      <c r="S1309" s="15" t="s">
        <v>3610</v>
      </c>
      <c r="T1309" s="14">
        <v>122094</v>
      </c>
      <c r="U1309" s="14">
        <v>0</v>
      </c>
      <c r="V1309" s="14">
        <v>0</v>
      </c>
      <c r="W1309" s="14">
        <v>122094</v>
      </c>
      <c r="X1309" s="14">
        <v>122094</v>
      </c>
      <c r="Y1309" s="14">
        <v>0</v>
      </c>
    </row>
    <row r="1310" spans="1:25" x14ac:dyDescent="0.25">
      <c r="A1310" s="18">
        <v>81</v>
      </c>
      <c r="B1310" s="18" t="s">
        <v>3626</v>
      </c>
      <c r="C1310" s="15"/>
      <c r="D1310" s="15"/>
      <c r="E1310" s="19"/>
      <c r="F1310" s="18"/>
      <c r="G1310" s="18"/>
      <c r="H1310" s="15"/>
      <c r="I1310" s="15"/>
      <c r="J1310" s="15"/>
      <c r="K1310" s="14"/>
      <c r="L1310" s="14"/>
      <c r="M1310" s="14"/>
      <c r="N1310" s="18">
        <v>2517</v>
      </c>
      <c r="O1310" s="20">
        <v>43300</v>
      </c>
      <c r="P1310" s="15" t="s">
        <v>737</v>
      </c>
      <c r="Q1310" s="18">
        <v>27</v>
      </c>
      <c r="R1310" s="18">
        <v>6</v>
      </c>
      <c r="S1310" s="15" t="s">
        <v>3611</v>
      </c>
      <c r="T1310" s="14">
        <v>126187</v>
      </c>
      <c r="U1310" s="14">
        <v>0</v>
      </c>
      <c r="V1310" s="14">
        <v>0</v>
      </c>
      <c r="W1310" s="14">
        <v>126187</v>
      </c>
      <c r="X1310" s="14">
        <v>126187</v>
      </c>
      <c r="Y1310" s="14">
        <v>0</v>
      </c>
    </row>
    <row r="1311" spans="1:25" x14ac:dyDescent="0.25">
      <c r="A1311" s="18">
        <v>81</v>
      </c>
      <c r="B1311" s="18" t="s">
        <v>3626</v>
      </c>
      <c r="C1311" s="15"/>
      <c r="D1311" s="15"/>
      <c r="E1311" s="19"/>
      <c r="F1311" s="18"/>
      <c r="G1311" s="18"/>
      <c r="H1311" s="15"/>
      <c r="I1311" s="15"/>
      <c r="J1311" s="15"/>
      <c r="K1311" s="14"/>
      <c r="L1311" s="14"/>
      <c r="M1311" s="14"/>
      <c r="N1311" s="18">
        <v>2918</v>
      </c>
      <c r="O1311" s="20">
        <v>43364</v>
      </c>
      <c r="P1311" s="15" t="s">
        <v>737</v>
      </c>
      <c r="Q1311" s="18">
        <v>27</v>
      </c>
      <c r="R1311" s="18">
        <v>8</v>
      </c>
      <c r="S1311" s="15" t="s">
        <v>3625</v>
      </c>
      <c r="T1311" s="14">
        <v>47124</v>
      </c>
      <c r="U1311" s="14">
        <v>0</v>
      </c>
      <c r="V1311" s="14">
        <v>0</v>
      </c>
      <c r="W1311" s="14">
        <v>47124</v>
      </c>
      <c r="X1311" s="14">
        <v>47124</v>
      </c>
      <c r="Y1311" s="14">
        <v>0</v>
      </c>
    </row>
    <row r="1312" spans="1:25" x14ac:dyDescent="0.25">
      <c r="A1312" s="18">
        <v>84</v>
      </c>
      <c r="B1312" s="18" t="s">
        <v>3629</v>
      </c>
      <c r="C1312" s="15" t="s">
        <v>3585</v>
      </c>
      <c r="D1312" s="15" t="s">
        <v>3586</v>
      </c>
      <c r="E1312" s="19">
        <v>545</v>
      </c>
      <c r="F1312" s="18" t="s">
        <v>3605</v>
      </c>
      <c r="G1312" s="18" t="s">
        <v>3453</v>
      </c>
      <c r="H1312" s="15" t="s">
        <v>3587</v>
      </c>
      <c r="I1312" s="15" t="s">
        <v>55</v>
      </c>
      <c r="J1312" s="15" t="s">
        <v>3455</v>
      </c>
      <c r="K1312" s="14">
        <v>191533</v>
      </c>
      <c r="L1312" s="14">
        <v>0</v>
      </c>
      <c r="M1312" s="14">
        <f>K1312-L1312</f>
        <v>191533</v>
      </c>
      <c r="N1312" s="18">
        <v>319</v>
      </c>
      <c r="O1312" s="20">
        <v>43122</v>
      </c>
      <c r="P1312" s="15" t="s">
        <v>3588</v>
      </c>
      <c r="Q1312" s="18">
        <v>28</v>
      </c>
      <c r="R1312" s="18">
        <v>565515</v>
      </c>
      <c r="S1312" s="15" t="s">
        <v>3630</v>
      </c>
      <c r="T1312" s="14">
        <v>191533</v>
      </c>
      <c r="U1312" s="14">
        <v>0</v>
      </c>
      <c r="V1312" s="14">
        <v>0</v>
      </c>
      <c r="W1312" s="14">
        <v>191533</v>
      </c>
      <c r="X1312" s="14">
        <v>191533</v>
      </c>
      <c r="Y1312" s="14">
        <v>0</v>
      </c>
    </row>
    <row r="1313" spans="1:25" x14ac:dyDescent="0.25">
      <c r="A1313" s="18">
        <v>76</v>
      </c>
      <c r="B1313" s="18" t="s">
        <v>3631</v>
      </c>
      <c r="C1313" s="15" t="s">
        <v>3621</v>
      </c>
      <c r="D1313" s="15" t="s">
        <v>3622</v>
      </c>
      <c r="E1313" s="19">
        <v>627</v>
      </c>
      <c r="F1313" s="24">
        <v>43133</v>
      </c>
      <c r="G1313" s="18" t="s">
        <v>3453</v>
      </c>
      <c r="H1313" s="15" t="s">
        <v>3632</v>
      </c>
      <c r="I1313" s="15" t="s">
        <v>55</v>
      </c>
      <c r="J1313" s="15" t="s">
        <v>3455</v>
      </c>
      <c r="K1313" s="14">
        <v>16480000</v>
      </c>
      <c r="L1313" s="14">
        <v>850</v>
      </c>
      <c r="M1313" s="14">
        <f>K1313-L1313</f>
        <v>16479150</v>
      </c>
      <c r="N1313" s="18">
        <v>1724</v>
      </c>
      <c r="O1313" s="20">
        <v>43195</v>
      </c>
      <c r="P1313" s="15" t="s">
        <v>3633</v>
      </c>
      <c r="Q1313" s="18">
        <v>19</v>
      </c>
      <c r="R1313" s="18">
        <v>432</v>
      </c>
      <c r="S1313" s="15" t="s">
        <v>3632</v>
      </c>
      <c r="T1313" s="14">
        <v>16479150</v>
      </c>
      <c r="U1313" s="14">
        <v>0</v>
      </c>
      <c r="V1313" s="14">
        <v>0</v>
      </c>
      <c r="W1313" s="14">
        <v>16479150</v>
      </c>
      <c r="X1313" s="14">
        <v>2393983</v>
      </c>
      <c r="Y1313" s="14">
        <v>14085167</v>
      </c>
    </row>
    <row r="1314" spans="1:25" x14ac:dyDescent="0.25">
      <c r="A1314" s="22">
        <v>51</v>
      </c>
      <c r="B1314" s="18" t="s">
        <v>3634</v>
      </c>
      <c r="C1314" s="15" t="s">
        <v>3635</v>
      </c>
      <c r="D1314" s="15" t="s">
        <v>3636</v>
      </c>
      <c r="E1314" s="19">
        <v>628</v>
      </c>
      <c r="F1314" s="24">
        <v>43136</v>
      </c>
      <c r="G1314" s="18" t="s">
        <v>3453</v>
      </c>
      <c r="H1314" s="15" t="s">
        <v>3637</v>
      </c>
      <c r="I1314" s="15" t="s">
        <v>55</v>
      </c>
      <c r="J1314" s="15" t="s">
        <v>3455</v>
      </c>
      <c r="K1314" s="14">
        <v>7000000</v>
      </c>
      <c r="L1314" s="14">
        <v>0</v>
      </c>
      <c r="M1314" s="14">
        <f>K1314-L1314</f>
        <v>7000000</v>
      </c>
      <c r="N1314" s="18">
        <v>1525</v>
      </c>
      <c r="O1314" s="20">
        <v>43164</v>
      </c>
      <c r="P1314" s="15" t="s">
        <v>737</v>
      </c>
      <c r="Q1314" s="18">
        <v>31</v>
      </c>
      <c r="R1314" s="18">
        <v>1459</v>
      </c>
      <c r="S1314" s="15" t="s">
        <v>3637</v>
      </c>
      <c r="T1314" s="14">
        <v>3879630</v>
      </c>
      <c r="U1314" s="14">
        <v>0</v>
      </c>
      <c r="V1314" s="14">
        <v>0</v>
      </c>
      <c r="W1314" s="14">
        <v>3879630</v>
      </c>
      <c r="X1314" s="14">
        <v>3879630</v>
      </c>
      <c r="Y1314" s="14">
        <v>0</v>
      </c>
    </row>
    <row r="1315" spans="1:25" x14ac:dyDescent="0.25">
      <c r="A1315" s="22">
        <v>51</v>
      </c>
      <c r="B1315" s="18" t="s">
        <v>3634</v>
      </c>
      <c r="C1315" s="15"/>
      <c r="D1315" s="15"/>
      <c r="E1315" s="19"/>
      <c r="F1315" s="24"/>
      <c r="G1315" s="18"/>
      <c r="H1315" s="15"/>
      <c r="I1315" s="15"/>
      <c r="J1315" s="15"/>
      <c r="K1315" s="14"/>
      <c r="L1315" s="14"/>
      <c r="M1315" s="14"/>
      <c r="N1315" s="18">
        <v>1810</v>
      </c>
      <c r="O1315" s="20">
        <v>43209</v>
      </c>
      <c r="P1315" s="15" t="s">
        <v>3638</v>
      </c>
      <c r="Q1315" s="18">
        <v>31</v>
      </c>
      <c r="R1315" s="18">
        <v>1861</v>
      </c>
      <c r="S1315" s="15" t="s">
        <v>3637</v>
      </c>
      <c r="T1315" s="14">
        <v>505641</v>
      </c>
      <c r="U1315" s="14">
        <v>0</v>
      </c>
      <c r="V1315" s="14">
        <v>0</v>
      </c>
      <c r="W1315" s="14">
        <v>505641</v>
      </c>
      <c r="X1315" s="14">
        <v>505641</v>
      </c>
      <c r="Y1315" s="14">
        <v>0</v>
      </c>
    </row>
    <row r="1316" spans="1:25" x14ac:dyDescent="0.25">
      <c r="A1316" s="18">
        <v>73</v>
      </c>
      <c r="B1316" s="18" t="s">
        <v>3639</v>
      </c>
      <c r="C1316" s="15" t="s">
        <v>3621</v>
      </c>
      <c r="D1316" s="15" t="s">
        <v>3622</v>
      </c>
      <c r="E1316" s="19">
        <v>648</v>
      </c>
      <c r="F1316" s="24">
        <v>43150</v>
      </c>
      <c r="G1316" s="18" t="s">
        <v>3453</v>
      </c>
      <c r="H1316" s="15" t="s">
        <v>3640</v>
      </c>
      <c r="I1316" s="15" t="s">
        <v>55</v>
      </c>
      <c r="J1316" s="15" t="s">
        <v>3455</v>
      </c>
      <c r="K1316" s="14">
        <v>172262398</v>
      </c>
      <c r="L1316" s="14">
        <v>14725118</v>
      </c>
      <c r="M1316" s="14">
        <f t="shared" ref="M1316:M1321" si="138">K1316-L1316</f>
        <v>157537280</v>
      </c>
      <c r="N1316" s="18">
        <v>1484</v>
      </c>
      <c r="O1316" s="20">
        <v>43160</v>
      </c>
      <c r="P1316" s="15" t="s">
        <v>3641</v>
      </c>
      <c r="Q1316" s="18">
        <v>4</v>
      </c>
      <c r="R1316" s="18">
        <v>429</v>
      </c>
      <c r="S1316" s="15" t="s">
        <v>3640</v>
      </c>
      <c r="T1316" s="14">
        <v>157537280</v>
      </c>
      <c r="U1316" s="14">
        <v>0</v>
      </c>
      <c r="V1316" s="14">
        <v>0</v>
      </c>
      <c r="W1316" s="14">
        <v>157537280</v>
      </c>
      <c r="X1316" s="14">
        <v>101617927</v>
      </c>
      <c r="Y1316" s="14">
        <v>55919353</v>
      </c>
    </row>
    <row r="1317" spans="1:25" x14ac:dyDescent="0.25">
      <c r="A1317" s="18">
        <v>85</v>
      </c>
      <c r="B1317" s="18" t="s">
        <v>3642</v>
      </c>
      <c r="C1317" s="15" t="s">
        <v>3585</v>
      </c>
      <c r="D1317" s="15" t="s">
        <v>3586</v>
      </c>
      <c r="E1317" s="19">
        <v>653</v>
      </c>
      <c r="F1317" s="24">
        <v>43151</v>
      </c>
      <c r="G1317" s="18" t="s">
        <v>3453</v>
      </c>
      <c r="H1317" s="15" t="s">
        <v>3643</v>
      </c>
      <c r="I1317" s="15" t="s">
        <v>55</v>
      </c>
      <c r="J1317" s="15" t="s">
        <v>3455</v>
      </c>
      <c r="K1317" s="14">
        <v>747185</v>
      </c>
      <c r="L1317" s="14">
        <v>0</v>
      </c>
      <c r="M1317" s="14">
        <f t="shared" si="138"/>
        <v>747185</v>
      </c>
      <c r="N1317" s="18">
        <v>1457</v>
      </c>
      <c r="O1317" s="20">
        <v>43153</v>
      </c>
      <c r="P1317" s="15" t="s">
        <v>3588</v>
      </c>
      <c r="Q1317" s="18">
        <v>28</v>
      </c>
      <c r="R1317" s="18">
        <v>37984</v>
      </c>
      <c r="S1317" s="15" t="s">
        <v>3644</v>
      </c>
      <c r="T1317" s="14">
        <v>747185</v>
      </c>
      <c r="U1317" s="14">
        <v>0</v>
      </c>
      <c r="V1317" s="14">
        <v>0</v>
      </c>
      <c r="W1317" s="14">
        <v>747185</v>
      </c>
      <c r="X1317" s="14">
        <v>747185</v>
      </c>
      <c r="Y1317" s="14">
        <v>0</v>
      </c>
    </row>
    <row r="1318" spans="1:25" x14ac:dyDescent="0.25">
      <c r="A1318" s="18">
        <v>86</v>
      </c>
      <c r="B1318" s="18" t="s">
        <v>3645</v>
      </c>
      <c r="C1318" s="15" t="s">
        <v>3585</v>
      </c>
      <c r="D1318" s="15" t="s">
        <v>3586</v>
      </c>
      <c r="E1318" s="19">
        <v>661</v>
      </c>
      <c r="F1318" s="24">
        <v>43154</v>
      </c>
      <c r="G1318" s="18" t="s">
        <v>3453</v>
      </c>
      <c r="H1318" s="15" t="s">
        <v>3646</v>
      </c>
      <c r="I1318" s="15" t="s">
        <v>55</v>
      </c>
      <c r="J1318" s="15" t="s">
        <v>3455</v>
      </c>
      <c r="K1318" s="14">
        <v>22000000</v>
      </c>
      <c r="L1318" s="14">
        <v>0</v>
      </c>
      <c r="M1318" s="14">
        <f t="shared" si="138"/>
        <v>22000000</v>
      </c>
      <c r="N1318" s="18">
        <v>1613</v>
      </c>
      <c r="O1318" s="20">
        <v>43181</v>
      </c>
      <c r="P1318" s="15" t="s">
        <v>3647</v>
      </c>
      <c r="Q1318" s="18">
        <v>12</v>
      </c>
      <c r="R1318" s="18">
        <v>419</v>
      </c>
      <c r="S1318" s="15" t="s">
        <v>3646</v>
      </c>
      <c r="T1318" s="14">
        <v>22000000</v>
      </c>
      <c r="U1318" s="14">
        <v>0</v>
      </c>
      <c r="V1318" s="14">
        <v>0</v>
      </c>
      <c r="W1318" s="14">
        <v>22000000</v>
      </c>
      <c r="X1318" s="14">
        <v>22000000</v>
      </c>
      <c r="Y1318" s="14">
        <v>0</v>
      </c>
    </row>
    <row r="1319" spans="1:25" x14ac:dyDescent="0.25">
      <c r="A1319" s="22">
        <v>57</v>
      </c>
      <c r="B1319" s="18" t="s">
        <v>3648</v>
      </c>
      <c r="C1319" s="15" t="s">
        <v>3649</v>
      </c>
      <c r="D1319" s="15" t="s">
        <v>3650</v>
      </c>
      <c r="E1319" s="19">
        <v>671</v>
      </c>
      <c r="F1319" s="24">
        <v>43161</v>
      </c>
      <c r="G1319" s="18" t="s">
        <v>3453</v>
      </c>
      <c r="H1319" s="15" t="s">
        <v>3651</v>
      </c>
      <c r="I1319" s="15" t="s">
        <v>55</v>
      </c>
      <c r="J1319" s="15" t="s">
        <v>3455</v>
      </c>
      <c r="K1319" s="14">
        <v>16000000</v>
      </c>
      <c r="L1319" s="14">
        <v>0</v>
      </c>
      <c r="M1319" s="14">
        <f t="shared" si="138"/>
        <v>16000000</v>
      </c>
      <c r="N1319" s="18">
        <v>1589</v>
      </c>
      <c r="O1319" s="20">
        <v>43175</v>
      </c>
      <c r="P1319" s="15" t="s">
        <v>3652</v>
      </c>
      <c r="Q1319" s="18">
        <v>16</v>
      </c>
      <c r="R1319" s="18">
        <v>587</v>
      </c>
      <c r="S1319" s="15" t="s">
        <v>3651</v>
      </c>
      <c r="T1319" s="14">
        <v>16000000</v>
      </c>
      <c r="U1319" s="14">
        <v>0</v>
      </c>
      <c r="V1319" s="14">
        <v>0</v>
      </c>
      <c r="W1319" s="14">
        <v>16000000</v>
      </c>
      <c r="X1319" s="14">
        <v>15909828</v>
      </c>
      <c r="Y1319" s="14">
        <v>90172</v>
      </c>
    </row>
    <row r="1320" spans="1:25" x14ac:dyDescent="0.25">
      <c r="A1320" s="18">
        <v>87</v>
      </c>
      <c r="B1320" s="18" t="s">
        <v>3653</v>
      </c>
      <c r="C1320" s="15" t="s">
        <v>3621</v>
      </c>
      <c r="D1320" s="15" t="s">
        <v>3622</v>
      </c>
      <c r="E1320" s="19">
        <v>716</v>
      </c>
      <c r="F1320" s="24">
        <v>43174</v>
      </c>
      <c r="G1320" s="18" t="s">
        <v>3453</v>
      </c>
      <c r="H1320" s="15" t="s">
        <v>3654</v>
      </c>
      <c r="I1320" s="15" t="s">
        <v>55</v>
      </c>
      <c r="J1320" s="15" t="s">
        <v>3455</v>
      </c>
      <c r="K1320" s="14">
        <v>95729495</v>
      </c>
      <c r="L1320" s="14">
        <v>36</v>
      </c>
      <c r="M1320" s="14">
        <f t="shared" si="138"/>
        <v>95729459</v>
      </c>
      <c r="N1320" s="18">
        <v>1739</v>
      </c>
      <c r="O1320" s="20">
        <v>43199</v>
      </c>
      <c r="P1320" s="15" t="s">
        <v>3655</v>
      </c>
      <c r="Q1320" s="18">
        <v>12</v>
      </c>
      <c r="R1320" s="18">
        <v>423</v>
      </c>
      <c r="S1320" s="15" t="s">
        <v>3656</v>
      </c>
      <c r="T1320" s="14">
        <v>95729459</v>
      </c>
      <c r="U1320" s="14">
        <v>0</v>
      </c>
      <c r="V1320" s="14">
        <v>0</v>
      </c>
      <c r="W1320" s="14">
        <v>95729459</v>
      </c>
      <c r="X1320" s="14">
        <v>95729459</v>
      </c>
      <c r="Y1320" s="14">
        <v>0</v>
      </c>
    </row>
    <row r="1321" spans="1:25" x14ac:dyDescent="0.25">
      <c r="A1321" s="18">
        <v>88</v>
      </c>
      <c r="B1321" s="18" t="s">
        <v>3657</v>
      </c>
      <c r="C1321" s="15" t="s">
        <v>3585</v>
      </c>
      <c r="D1321" s="15" t="s">
        <v>3586</v>
      </c>
      <c r="E1321" s="19">
        <v>719</v>
      </c>
      <c r="F1321" s="24">
        <v>43174</v>
      </c>
      <c r="G1321" s="18" t="s">
        <v>3453</v>
      </c>
      <c r="H1321" s="15" t="s">
        <v>3658</v>
      </c>
      <c r="I1321" s="15" t="s">
        <v>55</v>
      </c>
      <c r="J1321" s="15" t="s">
        <v>3455</v>
      </c>
      <c r="K1321" s="14">
        <v>4454800</v>
      </c>
      <c r="L1321" s="14">
        <v>0</v>
      </c>
      <c r="M1321" s="14">
        <f t="shared" si="138"/>
        <v>4454800</v>
      </c>
      <c r="N1321" s="18">
        <v>1601</v>
      </c>
      <c r="O1321" s="20">
        <v>43179</v>
      </c>
      <c r="P1321" s="15" t="s">
        <v>737</v>
      </c>
      <c r="Q1321" s="18">
        <v>27</v>
      </c>
      <c r="R1321" s="18">
        <v>2</v>
      </c>
      <c r="S1321" s="15" t="s">
        <v>3607</v>
      </c>
      <c r="T1321" s="14">
        <v>135800</v>
      </c>
      <c r="U1321" s="14">
        <v>0</v>
      </c>
      <c r="V1321" s="14">
        <v>0</v>
      </c>
      <c r="W1321" s="14">
        <v>135800</v>
      </c>
      <c r="X1321" s="14">
        <v>135800</v>
      </c>
      <c r="Y1321" s="14">
        <v>0</v>
      </c>
    </row>
    <row r="1322" spans="1:25" x14ac:dyDescent="0.25">
      <c r="A1322" s="18"/>
      <c r="B1322" s="18"/>
      <c r="C1322" s="15"/>
      <c r="D1322" s="15"/>
      <c r="E1322" s="19"/>
      <c r="F1322" s="24"/>
      <c r="G1322" s="18"/>
      <c r="H1322" s="15"/>
      <c r="I1322" s="15"/>
      <c r="J1322" s="15"/>
      <c r="K1322" s="14"/>
      <c r="L1322" s="14"/>
      <c r="M1322" s="14"/>
      <c r="N1322" s="18">
        <v>1821</v>
      </c>
      <c r="O1322" s="20">
        <v>43209</v>
      </c>
      <c r="P1322" s="15" t="s">
        <v>737</v>
      </c>
      <c r="Q1322" s="18">
        <v>27</v>
      </c>
      <c r="R1322" s="18">
        <v>3</v>
      </c>
      <c r="S1322" s="15" t="s">
        <v>3624</v>
      </c>
      <c r="T1322" s="14">
        <v>124700</v>
      </c>
      <c r="U1322" s="14">
        <v>0</v>
      </c>
      <c r="V1322" s="14">
        <v>0</v>
      </c>
      <c r="W1322" s="14">
        <v>124700</v>
      </c>
      <c r="X1322" s="14">
        <v>124700</v>
      </c>
      <c r="Y1322" s="14">
        <v>0</v>
      </c>
    </row>
    <row r="1323" spans="1:25" x14ac:dyDescent="0.25">
      <c r="A1323" s="18"/>
      <c r="B1323" s="18"/>
      <c r="C1323" s="15"/>
      <c r="D1323" s="15"/>
      <c r="E1323" s="19"/>
      <c r="F1323" s="24"/>
      <c r="G1323" s="18"/>
      <c r="H1323" s="15"/>
      <c r="I1323" s="15"/>
      <c r="J1323" s="15"/>
      <c r="K1323" s="14"/>
      <c r="L1323" s="14"/>
      <c r="M1323" s="14"/>
      <c r="N1323" s="18">
        <v>1898</v>
      </c>
      <c r="O1323" s="20">
        <v>43231</v>
      </c>
      <c r="P1323" s="15" t="s">
        <v>737</v>
      </c>
      <c r="Q1323" s="18">
        <v>27</v>
      </c>
      <c r="R1323" s="18">
        <v>4</v>
      </c>
      <c r="S1323" s="15" t="s">
        <v>3609</v>
      </c>
      <c r="T1323" s="14">
        <v>153200</v>
      </c>
      <c r="U1323" s="14">
        <v>0</v>
      </c>
      <c r="V1323" s="14">
        <v>0</v>
      </c>
      <c r="W1323" s="14">
        <v>153200</v>
      </c>
      <c r="X1323" s="14">
        <v>153200</v>
      </c>
      <c r="Y1323" s="14">
        <v>0</v>
      </c>
    </row>
    <row r="1324" spans="1:25" x14ac:dyDescent="0.25">
      <c r="A1324" s="18"/>
      <c r="B1324" s="18"/>
      <c r="C1324" s="15"/>
      <c r="D1324" s="15"/>
      <c r="E1324" s="19"/>
      <c r="F1324" s="24"/>
      <c r="G1324" s="18"/>
      <c r="H1324" s="15"/>
      <c r="I1324" s="15"/>
      <c r="J1324" s="15"/>
      <c r="K1324" s="14"/>
      <c r="L1324" s="14"/>
      <c r="M1324" s="14"/>
      <c r="N1324" s="18">
        <v>2043</v>
      </c>
      <c r="O1324" s="20">
        <v>43271</v>
      </c>
      <c r="P1324" s="15" t="s">
        <v>737</v>
      </c>
      <c r="Q1324" s="18">
        <v>27</v>
      </c>
      <c r="R1324" s="18">
        <v>5</v>
      </c>
      <c r="S1324" s="15" t="s">
        <v>3610</v>
      </c>
      <c r="T1324" s="14">
        <v>338815</v>
      </c>
      <c r="U1324" s="14">
        <v>0</v>
      </c>
      <c r="V1324" s="14">
        <v>0</v>
      </c>
      <c r="W1324" s="14">
        <v>338815</v>
      </c>
      <c r="X1324" s="14">
        <v>338815</v>
      </c>
      <c r="Y1324" s="14">
        <v>0</v>
      </c>
    </row>
    <row r="1325" spans="1:25" x14ac:dyDescent="0.25">
      <c r="A1325" s="18"/>
      <c r="B1325" s="18"/>
      <c r="C1325" s="15"/>
      <c r="D1325" s="15"/>
      <c r="E1325" s="19"/>
      <c r="F1325" s="24"/>
      <c r="G1325" s="18"/>
      <c r="H1325" s="15"/>
      <c r="I1325" s="15"/>
      <c r="J1325" s="15"/>
      <c r="K1325" s="14"/>
      <c r="L1325" s="14"/>
      <c r="M1325" s="14"/>
      <c r="N1325" s="18">
        <v>2514</v>
      </c>
      <c r="O1325" s="20">
        <v>43300</v>
      </c>
      <c r="P1325" s="15" t="s">
        <v>737</v>
      </c>
      <c r="Q1325" s="18">
        <v>27</v>
      </c>
      <c r="R1325" s="18">
        <v>6</v>
      </c>
      <c r="S1325" s="15" t="s">
        <v>3611</v>
      </c>
      <c r="T1325" s="14">
        <v>263500</v>
      </c>
      <c r="U1325" s="14">
        <v>0</v>
      </c>
      <c r="V1325" s="14">
        <v>0</v>
      </c>
      <c r="W1325" s="14">
        <v>263500</v>
      </c>
      <c r="X1325" s="14">
        <v>263500</v>
      </c>
      <c r="Y1325" s="14">
        <v>0</v>
      </c>
    </row>
    <row r="1326" spans="1:25" x14ac:dyDescent="0.25">
      <c r="A1326" s="18"/>
      <c r="B1326" s="18"/>
      <c r="C1326" s="15"/>
      <c r="D1326" s="15"/>
      <c r="E1326" s="19"/>
      <c r="F1326" s="24"/>
      <c r="G1326" s="18"/>
      <c r="H1326" s="15"/>
      <c r="I1326" s="15"/>
      <c r="J1326" s="15"/>
      <c r="K1326" s="14"/>
      <c r="L1326" s="14"/>
      <c r="M1326" s="14"/>
      <c r="N1326" s="18">
        <v>2718</v>
      </c>
      <c r="O1326" s="20">
        <v>43335</v>
      </c>
      <c r="P1326" s="15" t="s">
        <v>737</v>
      </c>
      <c r="Q1326" s="18">
        <v>27</v>
      </c>
      <c r="R1326" s="18">
        <v>7</v>
      </c>
      <c r="S1326" s="15" t="s">
        <v>3612</v>
      </c>
      <c r="T1326" s="14">
        <v>181210</v>
      </c>
      <c r="U1326" s="14">
        <v>0</v>
      </c>
      <c r="V1326" s="14">
        <v>0</v>
      </c>
      <c r="W1326" s="14">
        <v>181210</v>
      </c>
      <c r="X1326" s="14">
        <v>181210</v>
      </c>
      <c r="Y1326" s="14">
        <v>0</v>
      </c>
    </row>
    <row r="1327" spans="1:25" x14ac:dyDescent="0.25">
      <c r="A1327" s="18"/>
      <c r="B1327" s="18"/>
      <c r="C1327" s="15"/>
      <c r="D1327" s="15"/>
      <c r="E1327" s="19"/>
      <c r="F1327" s="24"/>
      <c r="G1327" s="18"/>
      <c r="H1327" s="15"/>
      <c r="I1327" s="15"/>
      <c r="J1327" s="15"/>
      <c r="K1327" s="14"/>
      <c r="L1327" s="14"/>
      <c r="M1327" s="14"/>
      <c r="N1327" s="18">
        <v>2917</v>
      </c>
      <c r="O1327" s="20">
        <v>43364</v>
      </c>
      <c r="P1327" s="15" t="s">
        <v>737</v>
      </c>
      <c r="Q1327" s="18">
        <v>27</v>
      </c>
      <c r="R1327" s="18">
        <v>8</v>
      </c>
      <c r="S1327" s="15" t="s">
        <v>3625</v>
      </c>
      <c r="T1327" s="14">
        <v>163800</v>
      </c>
      <c r="U1327" s="14">
        <v>0</v>
      </c>
      <c r="V1327" s="14">
        <v>0</v>
      </c>
      <c r="W1327" s="14">
        <v>163800</v>
      </c>
      <c r="X1327" s="14">
        <v>163800</v>
      </c>
      <c r="Y1327" s="14">
        <v>0</v>
      </c>
    </row>
    <row r="1328" spans="1:25" x14ac:dyDescent="0.25">
      <c r="A1328" s="18">
        <v>89</v>
      </c>
      <c r="B1328" s="18"/>
      <c r="C1328" s="15"/>
      <c r="D1328" s="15"/>
      <c r="E1328" s="19"/>
      <c r="F1328" s="24"/>
      <c r="G1328" s="18"/>
      <c r="H1328" s="15"/>
      <c r="I1328" s="15"/>
      <c r="J1328" s="15"/>
      <c r="K1328" s="14"/>
      <c r="L1328" s="14"/>
      <c r="M1328" s="14"/>
      <c r="N1328" s="18"/>
      <c r="O1328" s="20"/>
      <c r="P1328" s="15"/>
      <c r="Q1328" s="18"/>
      <c r="R1328" s="18"/>
      <c r="S1328" s="15"/>
      <c r="T1328" s="14"/>
      <c r="U1328" s="14"/>
      <c r="V1328" s="14"/>
      <c r="W1328" s="14"/>
      <c r="X1328" s="14"/>
      <c r="Y1328" s="14"/>
    </row>
    <row r="1329" spans="1:25" x14ac:dyDescent="0.25">
      <c r="A1329" s="18">
        <v>90</v>
      </c>
      <c r="B1329" s="18"/>
      <c r="C1329" s="15"/>
      <c r="D1329" s="15"/>
      <c r="E1329" s="19"/>
      <c r="F1329" s="24"/>
      <c r="G1329" s="18"/>
      <c r="H1329" s="15"/>
      <c r="I1329" s="15"/>
      <c r="J1329" s="15"/>
      <c r="K1329" s="14"/>
      <c r="L1329" s="14"/>
      <c r="M1329" s="14"/>
      <c r="N1329" s="18"/>
      <c r="O1329" s="20"/>
      <c r="P1329" s="15"/>
      <c r="Q1329" s="18"/>
      <c r="R1329" s="18"/>
      <c r="S1329" s="15"/>
      <c r="T1329" s="14"/>
      <c r="U1329" s="14"/>
      <c r="V1329" s="14"/>
      <c r="W1329" s="14"/>
      <c r="X1329" s="14"/>
      <c r="Y1329" s="14"/>
    </row>
    <row r="1330" spans="1:25" x14ac:dyDescent="0.25">
      <c r="A1330" s="18">
        <v>91</v>
      </c>
      <c r="B1330" s="18"/>
      <c r="C1330" s="15"/>
      <c r="D1330" s="15"/>
      <c r="E1330" s="19"/>
      <c r="F1330" s="24"/>
      <c r="G1330" s="18"/>
      <c r="H1330" s="15"/>
      <c r="I1330" s="15"/>
      <c r="J1330" s="15"/>
      <c r="K1330" s="14"/>
      <c r="L1330" s="14"/>
      <c r="M1330" s="14"/>
      <c r="N1330" s="18"/>
      <c r="O1330" s="20"/>
      <c r="P1330" s="15"/>
      <c r="Q1330" s="18"/>
      <c r="R1330" s="18"/>
      <c r="S1330" s="15"/>
      <c r="T1330" s="14"/>
      <c r="U1330" s="14"/>
      <c r="V1330" s="14"/>
      <c r="W1330" s="14"/>
      <c r="X1330" s="14"/>
      <c r="Y1330" s="14"/>
    </row>
    <row r="1331" spans="1:25" x14ac:dyDescent="0.25">
      <c r="A1331" s="18">
        <v>92</v>
      </c>
      <c r="B1331" s="18"/>
      <c r="C1331" s="15"/>
      <c r="D1331" s="15"/>
      <c r="E1331" s="19"/>
      <c r="F1331" s="24"/>
      <c r="G1331" s="18"/>
      <c r="H1331" s="15"/>
      <c r="I1331" s="15"/>
      <c r="J1331" s="15"/>
      <c r="K1331" s="14"/>
      <c r="L1331" s="14"/>
      <c r="M1331" s="14"/>
      <c r="N1331" s="18"/>
      <c r="O1331" s="20"/>
      <c r="P1331" s="15"/>
      <c r="Q1331" s="18"/>
      <c r="R1331" s="18"/>
      <c r="S1331" s="15"/>
      <c r="T1331" s="14"/>
      <c r="U1331" s="14"/>
      <c r="V1331" s="14"/>
      <c r="W1331" s="14"/>
      <c r="X1331" s="14"/>
      <c r="Y1331" s="14"/>
    </row>
    <row r="1332" spans="1:25" x14ac:dyDescent="0.25">
      <c r="A1332" s="18">
        <v>93</v>
      </c>
      <c r="B1332" s="18"/>
      <c r="C1332" s="15"/>
      <c r="D1332" s="15"/>
      <c r="E1332" s="19"/>
      <c r="F1332" s="24"/>
      <c r="G1332" s="18"/>
      <c r="H1332" s="15"/>
      <c r="I1332" s="15"/>
      <c r="J1332" s="15"/>
      <c r="K1332" s="14"/>
      <c r="L1332" s="14"/>
      <c r="M1332" s="14"/>
      <c r="N1332" s="18"/>
      <c r="O1332" s="20"/>
      <c r="P1332" s="15"/>
      <c r="Q1332" s="18"/>
      <c r="R1332" s="18"/>
      <c r="S1332" s="15"/>
      <c r="T1332" s="14"/>
      <c r="U1332" s="14"/>
      <c r="V1332" s="14"/>
      <c r="W1332" s="14"/>
      <c r="X1332" s="14"/>
      <c r="Y1332" s="14"/>
    </row>
    <row r="1333" spans="1:25" x14ac:dyDescent="0.25">
      <c r="A1333" s="18">
        <v>94</v>
      </c>
      <c r="B1333" s="18" t="s">
        <v>3659</v>
      </c>
      <c r="C1333" s="15" t="s">
        <v>3585</v>
      </c>
      <c r="D1333" s="15" t="s">
        <v>3586</v>
      </c>
      <c r="E1333" s="19">
        <v>755</v>
      </c>
      <c r="F1333" s="24">
        <v>43181</v>
      </c>
      <c r="G1333" s="18" t="s">
        <v>3453</v>
      </c>
      <c r="H1333" s="15" t="s">
        <v>3660</v>
      </c>
      <c r="I1333" s="15" t="s">
        <v>55</v>
      </c>
      <c r="J1333" s="15" t="s">
        <v>3455</v>
      </c>
      <c r="K1333" s="14">
        <v>748900</v>
      </c>
      <c r="L1333" s="14">
        <v>0</v>
      </c>
      <c r="M1333" s="14">
        <f>K1333-L1333</f>
        <v>748900</v>
      </c>
      <c r="N1333" s="18">
        <v>1620</v>
      </c>
      <c r="O1333" s="20">
        <v>43181</v>
      </c>
      <c r="P1333" s="15" t="s">
        <v>3588</v>
      </c>
      <c r="Q1333" s="18">
        <v>28</v>
      </c>
      <c r="R1333" s="18">
        <v>20173</v>
      </c>
      <c r="S1333" s="15" t="s">
        <v>3661</v>
      </c>
      <c r="T1333" s="14">
        <v>748900</v>
      </c>
      <c r="U1333" s="14">
        <v>0</v>
      </c>
      <c r="V1333" s="14">
        <v>0</v>
      </c>
      <c r="W1333" s="14">
        <v>748900</v>
      </c>
      <c r="X1333" s="14">
        <v>748900</v>
      </c>
      <c r="Y1333" s="14">
        <v>0</v>
      </c>
    </row>
    <row r="1334" spans="1:25" x14ac:dyDescent="0.25">
      <c r="A1334" s="18">
        <v>95</v>
      </c>
      <c r="B1334" s="18" t="s">
        <v>3662</v>
      </c>
      <c r="C1334" s="15" t="s">
        <v>3635</v>
      </c>
      <c r="D1334" s="15" t="s">
        <v>3636</v>
      </c>
      <c r="E1334" s="19">
        <v>758</v>
      </c>
      <c r="F1334" s="24">
        <v>43182</v>
      </c>
      <c r="G1334" s="18" t="s">
        <v>3453</v>
      </c>
      <c r="H1334" s="15" t="s">
        <v>3663</v>
      </c>
      <c r="I1334" s="15" t="s">
        <v>55</v>
      </c>
      <c r="J1334" s="15" t="s">
        <v>3455</v>
      </c>
      <c r="K1334" s="14">
        <v>2346902</v>
      </c>
      <c r="L1334" s="14">
        <v>0</v>
      </c>
      <c r="M1334" s="14">
        <f>K1334-L1334</f>
        <v>2346902</v>
      </c>
      <c r="N1334" s="18">
        <v>1809</v>
      </c>
      <c r="O1334" s="20">
        <v>43208</v>
      </c>
      <c r="P1334" s="15" t="s">
        <v>3664</v>
      </c>
      <c r="Q1334" s="18">
        <v>31</v>
      </c>
      <c r="R1334" s="18">
        <v>1860</v>
      </c>
      <c r="S1334" s="15" t="s">
        <v>3665</v>
      </c>
      <c r="T1334" s="14">
        <v>2346902</v>
      </c>
      <c r="U1334" s="14">
        <v>0</v>
      </c>
      <c r="V1334" s="14">
        <v>0</v>
      </c>
      <c r="W1334" s="14">
        <v>2346902</v>
      </c>
      <c r="X1334" s="14">
        <v>2346902</v>
      </c>
      <c r="Y1334" s="14">
        <v>0</v>
      </c>
    </row>
    <row r="1335" spans="1:25" x14ac:dyDescent="0.25">
      <c r="A1335" s="18">
        <v>70</v>
      </c>
      <c r="B1335" s="18" t="s">
        <v>3666</v>
      </c>
      <c r="C1335" s="15" t="s">
        <v>3616</v>
      </c>
      <c r="D1335" s="15" t="s">
        <v>3617</v>
      </c>
      <c r="E1335" s="19">
        <v>775</v>
      </c>
      <c r="F1335" s="18" t="s">
        <v>3667</v>
      </c>
      <c r="G1335" s="18" t="s">
        <v>3453</v>
      </c>
      <c r="H1335" s="15" t="s">
        <v>3668</v>
      </c>
      <c r="I1335" s="15" t="s">
        <v>55</v>
      </c>
      <c r="J1335" s="15" t="s">
        <v>3455</v>
      </c>
      <c r="K1335" s="14">
        <v>3174815</v>
      </c>
      <c r="L1335" s="14">
        <v>74815</v>
      </c>
      <c r="M1335" s="25">
        <f>K1335-L1335</f>
        <v>3100000</v>
      </c>
      <c r="N1335" s="18">
        <v>2555</v>
      </c>
      <c r="O1335" s="20">
        <v>43313</v>
      </c>
      <c r="P1335" s="15" t="s">
        <v>3669</v>
      </c>
      <c r="Q1335" s="18">
        <v>12</v>
      </c>
      <c r="R1335" s="18">
        <v>468</v>
      </c>
      <c r="S1335" s="15" t="s">
        <v>3668</v>
      </c>
      <c r="T1335" s="14">
        <v>3100000</v>
      </c>
      <c r="U1335" s="14">
        <v>0</v>
      </c>
      <c r="V1335" s="14">
        <v>0</v>
      </c>
      <c r="W1335" s="14">
        <v>3100000</v>
      </c>
      <c r="X1335" s="14">
        <v>0</v>
      </c>
      <c r="Y1335" s="14">
        <v>3100000</v>
      </c>
    </row>
    <row r="1336" spans="1:25" x14ac:dyDescent="0.25">
      <c r="A1336" s="18">
        <v>99</v>
      </c>
      <c r="B1336" s="18" t="s">
        <v>3670</v>
      </c>
      <c r="C1336" s="15" t="s">
        <v>3585</v>
      </c>
      <c r="D1336" s="15" t="s">
        <v>3586</v>
      </c>
      <c r="E1336" s="19">
        <v>794</v>
      </c>
      <c r="F1336" s="18" t="s">
        <v>3671</v>
      </c>
      <c r="G1336" s="18" t="s">
        <v>3453</v>
      </c>
      <c r="H1336" s="15" t="s">
        <v>3587</v>
      </c>
      <c r="I1336" s="15" t="s">
        <v>55</v>
      </c>
      <c r="J1336" s="15" t="s">
        <v>3455</v>
      </c>
      <c r="K1336" s="14">
        <v>6000000</v>
      </c>
      <c r="L1336" s="14">
        <v>0</v>
      </c>
      <c r="M1336" s="14">
        <f>K1336-L1336</f>
        <v>6000000</v>
      </c>
      <c r="N1336" s="18">
        <v>1813</v>
      </c>
      <c r="O1336" s="20">
        <v>43209</v>
      </c>
      <c r="P1336" s="15" t="s">
        <v>3588</v>
      </c>
      <c r="Q1336" s="18">
        <v>28</v>
      </c>
      <c r="R1336" s="18">
        <v>971377</v>
      </c>
      <c r="S1336" s="15" t="s">
        <v>3672</v>
      </c>
      <c r="T1336" s="14">
        <v>748901</v>
      </c>
      <c r="U1336" s="14">
        <v>0</v>
      </c>
      <c r="V1336" s="14">
        <v>0</v>
      </c>
      <c r="W1336" s="14">
        <v>748901</v>
      </c>
      <c r="X1336" s="14">
        <v>748901</v>
      </c>
      <c r="Y1336" s="14">
        <v>0</v>
      </c>
    </row>
    <row r="1337" spans="1:25" x14ac:dyDescent="0.25">
      <c r="A1337" s="18"/>
      <c r="B1337" s="18"/>
      <c r="C1337" s="15"/>
      <c r="D1337" s="15"/>
      <c r="E1337" s="19"/>
      <c r="F1337" s="18"/>
      <c r="G1337" s="18"/>
      <c r="H1337" s="15"/>
      <c r="I1337" s="15"/>
      <c r="J1337" s="15"/>
      <c r="K1337" s="14"/>
      <c r="L1337" s="14"/>
      <c r="M1337" s="14"/>
      <c r="N1337" s="26"/>
      <c r="O1337" s="18"/>
      <c r="P1337" s="18"/>
      <c r="Q1337" s="18"/>
      <c r="R1337" s="27"/>
      <c r="S1337" s="18"/>
      <c r="T1337" s="28"/>
      <c r="U1337" s="14"/>
      <c r="V1337" s="14"/>
      <c r="W1337" s="14"/>
      <c r="X1337" s="14"/>
      <c r="Y1337" s="14"/>
    </row>
    <row r="1338" spans="1:25" x14ac:dyDescent="0.25">
      <c r="A1338" s="18"/>
      <c r="B1338" s="18"/>
      <c r="C1338" s="15"/>
      <c r="D1338" s="15"/>
      <c r="E1338" s="19"/>
      <c r="F1338" s="18"/>
      <c r="G1338" s="18"/>
      <c r="H1338" s="15"/>
      <c r="I1338" s="15"/>
      <c r="J1338" s="15"/>
      <c r="K1338" s="14"/>
      <c r="L1338" s="14"/>
      <c r="M1338" s="14"/>
      <c r="N1338" s="26"/>
      <c r="O1338" s="18"/>
      <c r="P1338" s="18"/>
      <c r="Q1338" s="18"/>
      <c r="R1338" s="27"/>
      <c r="S1338" s="18"/>
      <c r="T1338" s="28"/>
      <c r="U1338" s="14"/>
      <c r="V1338" s="14"/>
      <c r="W1338" s="14"/>
      <c r="X1338" s="14"/>
      <c r="Y1338" s="14"/>
    </row>
    <row r="1339" spans="1:25" x14ac:dyDescent="0.25">
      <c r="A1339" s="18"/>
      <c r="B1339" s="18"/>
      <c r="C1339" s="15"/>
      <c r="D1339" s="15"/>
      <c r="E1339" s="19"/>
      <c r="F1339" s="18"/>
      <c r="G1339" s="18"/>
      <c r="H1339" s="15"/>
      <c r="I1339" s="15"/>
      <c r="J1339" s="15"/>
      <c r="K1339" s="14"/>
      <c r="L1339" s="14"/>
      <c r="M1339" s="14"/>
      <c r="N1339" s="26"/>
      <c r="O1339" s="18"/>
      <c r="P1339" s="18"/>
      <c r="Q1339" s="18"/>
      <c r="R1339" s="27"/>
      <c r="S1339" s="18"/>
      <c r="T1339" s="28"/>
      <c r="U1339" s="14"/>
      <c r="V1339" s="14"/>
      <c r="W1339" s="14"/>
      <c r="X1339" s="14"/>
      <c r="Y1339" s="14"/>
    </row>
    <row r="1340" spans="1:25" x14ac:dyDescent="0.25">
      <c r="A1340" s="18"/>
      <c r="B1340" s="18"/>
      <c r="C1340" s="15"/>
      <c r="D1340" s="15"/>
      <c r="E1340" s="19"/>
      <c r="F1340" s="18"/>
      <c r="G1340" s="18"/>
      <c r="H1340" s="15"/>
      <c r="I1340" s="15"/>
      <c r="J1340" s="15"/>
      <c r="K1340" s="14"/>
      <c r="L1340" s="14"/>
      <c r="M1340" s="14"/>
      <c r="N1340" s="26"/>
      <c r="O1340" s="18"/>
      <c r="P1340" s="18"/>
      <c r="Q1340" s="18"/>
      <c r="R1340" s="27"/>
      <c r="S1340" s="18"/>
      <c r="T1340" s="28"/>
      <c r="U1340" s="14"/>
      <c r="V1340" s="14"/>
      <c r="W1340" s="14"/>
      <c r="X1340" s="14"/>
      <c r="Y1340" s="14"/>
    </row>
    <row r="1341" spans="1:25" x14ac:dyDescent="0.25">
      <c r="A1341" s="18"/>
      <c r="B1341" s="18"/>
      <c r="C1341" s="15"/>
      <c r="D1341" s="15"/>
      <c r="E1341" s="19"/>
      <c r="F1341" s="18"/>
      <c r="G1341" s="18"/>
      <c r="H1341" s="15"/>
      <c r="I1341" s="15"/>
      <c r="J1341" s="15"/>
      <c r="K1341" s="14"/>
      <c r="L1341" s="14"/>
      <c r="M1341" s="14"/>
      <c r="N1341" s="26"/>
      <c r="O1341" s="18"/>
      <c r="P1341" s="18"/>
      <c r="Q1341" s="18"/>
      <c r="R1341" s="27"/>
      <c r="S1341" s="18"/>
      <c r="T1341" s="28"/>
      <c r="U1341" s="14"/>
      <c r="V1341" s="14"/>
      <c r="W1341" s="14"/>
      <c r="X1341" s="14"/>
      <c r="Y1341" s="14"/>
    </row>
    <row r="1342" spans="1:25" x14ac:dyDescent="0.25">
      <c r="A1342" s="18"/>
      <c r="B1342" s="18"/>
      <c r="C1342" s="15"/>
      <c r="D1342" s="15"/>
      <c r="E1342" s="19"/>
      <c r="F1342" s="18"/>
      <c r="G1342" s="18"/>
      <c r="H1342" s="15"/>
      <c r="I1342" s="15"/>
      <c r="J1342" s="15"/>
      <c r="K1342" s="14"/>
      <c r="L1342" s="14"/>
      <c r="M1342" s="14"/>
      <c r="N1342" s="26"/>
      <c r="O1342" s="18"/>
      <c r="P1342" s="18"/>
      <c r="Q1342" s="18"/>
      <c r="R1342" s="27"/>
      <c r="S1342" s="18"/>
      <c r="T1342" s="28"/>
      <c r="U1342" s="14"/>
      <c r="V1342" s="14"/>
      <c r="W1342" s="14"/>
      <c r="X1342" s="14"/>
      <c r="Y1342" s="14"/>
    </row>
    <row r="1343" spans="1:25" x14ac:dyDescent="0.25">
      <c r="A1343" s="22">
        <v>62</v>
      </c>
      <c r="B1343" s="18" t="s">
        <v>3673</v>
      </c>
      <c r="C1343" s="15" t="s">
        <v>3585</v>
      </c>
      <c r="D1343" s="15" t="s">
        <v>3586</v>
      </c>
      <c r="E1343" s="19">
        <v>793</v>
      </c>
      <c r="F1343" s="18" t="s">
        <v>3671</v>
      </c>
      <c r="G1343" s="18" t="s">
        <v>3453</v>
      </c>
      <c r="H1343" s="15" t="s">
        <v>3674</v>
      </c>
      <c r="I1343" s="15" t="s">
        <v>55</v>
      </c>
      <c r="J1343" s="15" t="s">
        <v>3455</v>
      </c>
      <c r="K1343" s="14">
        <v>33800000</v>
      </c>
      <c r="L1343" s="14">
        <v>0</v>
      </c>
      <c r="M1343" s="14">
        <f>K1343-L1343</f>
        <v>33800000</v>
      </c>
      <c r="N1343" s="18">
        <v>2446</v>
      </c>
      <c r="O1343" s="20">
        <v>43286</v>
      </c>
      <c r="P1343" s="15" t="s">
        <v>3675</v>
      </c>
      <c r="Q1343" s="18">
        <v>12</v>
      </c>
      <c r="R1343" s="18">
        <v>440</v>
      </c>
      <c r="S1343" s="15" t="s">
        <v>3674</v>
      </c>
      <c r="T1343" s="14">
        <v>33800000</v>
      </c>
      <c r="U1343" s="14">
        <v>0</v>
      </c>
      <c r="V1343" s="14">
        <v>0</v>
      </c>
      <c r="W1343" s="14">
        <v>33800000</v>
      </c>
      <c r="X1343" s="14">
        <v>0</v>
      </c>
      <c r="Y1343" s="14">
        <v>33800000</v>
      </c>
    </row>
    <row r="1344" spans="1:25" x14ac:dyDescent="0.25">
      <c r="A1344" s="18">
        <v>75</v>
      </c>
      <c r="B1344" s="18" t="s">
        <v>3676</v>
      </c>
      <c r="C1344" s="15" t="s">
        <v>3621</v>
      </c>
      <c r="D1344" s="15" t="s">
        <v>3622</v>
      </c>
      <c r="E1344" s="19">
        <v>791</v>
      </c>
      <c r="F1344" s="18" t="s">
        <v>3671</v>
      </c>
      <c r="G1344" s="18" t="s">
        <v>3453</v>
      </c>
      <c r="H1344" s="15" t="s">
        <v>3677</v>
      </c>
      <c r="I1344" s="15" t="s">
        <v>55</v>
      </c>
      <c r="J1344" s="15" t="s">
        <v>3455</v>
      </c>
      <c r="K1344" s="14">
        <v>255579128</v>
      </c>
      <c r="L1344" s="14">
        <v>0</v>
      </c>
      <c r="M1344" s="14">
        <f>K1344-L1344</f>
        <v>255579128</v>
      </c>
      <c r="N1344" s="18">
        <v>2739</v>
      </c>
      <c r="O1344" s="20">
        <v>43336</v>
      </c>
      <c r="P1344" s="15" t="s">
        <v>3678</v>
      </c>
      <c r="Q1344" s="18">
        <v>12</v>
      </c>
      <c r="R1344" s="18">
        <v>537</v>
      </c>
      <c r="S1344" s="15" t="s">
        <v>3679</v>
      </c>
      <c r="T1344" s="14">
        <v>255579128</v>
      </c>
      <c r="U1344" s="14">
        <v>0</v>
      </c>
      <c r="V1344" s="14">
        <v>0</v>
      </c>
      <c r="W1344" s="14">
        <v>255579128</v>
      </c>
      <c r="X1344" s="14">
        <v>6231383</v>
      </c>
      <c r="Y1344" s="14">
        <v>249347745</v>
      </c>
    </row>
    <row r="1345" spans="1:25" x14ac:dyDescent="0.25">
      <c r="A1345" s="22">
        <v>54</v>
      </c>
      <c r="B1345" s="18" t="s">
        <v>3680</v>
      </c>
      <c r="C1345" s="15" t="s">
        <v>3681</v>
      </c>
      <c r="D1345" s="15" t="s">
        <v>3682</v>
      </c>
      <c r="E1345" s="19">
        <v>822</v>
      </c>
      <c r="F1345" s="24">
        <v>43230</v>
      </c>
      <c r="G1345" s="18" t="s">
        <v>3453</v>
      </c>
      <c r="H1345" s="15" t="s">
        <v>3683</v>
      </c>
      <c r="I1345" s="15" t="s">
        <v>55</v>
      </c>
      <c r="J1345" s="15" t="s">
        <v>3455</v>
      </c>
      <c r="K1345" s="14">
        <v>5118446</v>
      </c>
      <c r="L1345" s="14">
        <v>115076</v>
      </c>
      <c r="M1345" s="14">
        <f>K1345-L1345</f>
        <v>5003370</v>
      </c>
      <c r="N1345" s="18">
        <v>2550</v>
      </c>
      <c r="O1345" s="20">
        <v>43312</v>
      </c>
      <c r="P1345" s="15" t="s">
        <v>3684</v>
      </c>
      <c r="Q1345" s="18">
        <v>12</v>
      </c>
      <c r="R1345" s="18">
        <v>467</v>
      </c>
      <c r="S1345" s="15" t="s">
        <v>3683</v>
      </c>
      <c r="T1345" s="14">
        <v>5003370</v>
      </c>
      <c r="U1345" s="14">
        <v>0</v>
      </c>
      <c r="V1345" s="14">
        <v>0</v>
      </c>
      <c r="W1345" s="14">
        <v>5003370</v>
      </c>
      <c r="X1345" s="14">
        <v>0</v>
      </c>
      <c r="Y1345" s="14">
        <v>5003370</v>
      </c>
    </row>
    <row r="1346" spans="1:25" x14ac:dyDescent="0.25">
      <c r="A1346" s="18">
        <v>100</v>
      </c>
      <c r="B1346" s="18"/>
      <c r="C1346" s="15"/>
      <c r="D1346" s="15"/>
      <c r="E1346" s="19"/>
      <c r="F1346" s="24"/>
      <c r="G1346" s="18"/>
      <c r="H1346" s="15"/>
      <c r="I1346" s="15"/>
      <c r="J1346" s="15"/>
      <c r="K1346" s="14"/>
      <c r="L1346" s="14"/>
      <c r="M1346" s="14"/>
      <c r="N1346" s="18"/>
      <c r="O1346" s="20"/>
      <c r="P1346" s="15"/>
      <c r="Q1346" s="18"/>
      <c r="R1346" s="18"/>
      <c r="S1346" s="15"/>
      <c r="T1346" s="14"/>
      <c r="U1346" s="14"/>
      <c r="V1346" s="14"/>
      <c r="W1346" s="14"/>
      <c r="X1346" s="14"/>
      <c r="Y1346" s="14"/>
    </row>
    <row r="1347" spans="1:25" x14ac:dyDescent="0.25">
      <c r="A1347" s="18">
        <v>96</v>
      </c>
      <c r="B1347" s="18" t="s">
        <v>3685</v>
      </c>
      <c r="C1347" s="15" t="s">
        <v>3681</v>
      </c>
      <c r="D1347" s="15" t="s">
        <v>3682</v>
      </c>
      <c r="E1347" s="19">
        <v>881</v>
      </c>
      <c r="F1347" s="24">
        <v>43257</v>
      </c>
      <c r="G1347" s="18" t="s">
        <v>3453</v>
      </c>
      <c r="H1347" s="15" t="s">
        <v>3686</v>
      </c>
      <c r="I1347" s="15" t="s">
        <v>55</v>
      </c>
      <c r="J1347" s="15" t="s">
        <v>3455</v>
      </c>
      <c r="K1347" s="14">
        <v>6181982</v>
      </c>
      <c r="L1347" s="14">
        <v>1209629</v>
      </c>
      <c r="M1347" s="14">
        <f t="shared" ref="M1347:M1364" si="139">K1347-L1347</f>
        <v>4972353</v>
      </c>
      <c r="N1347" s="18">
        <v>2617</v>
      </c>
      <c r="O1347" s="20">
        <v>43322</v>
      </c>
      <c r="P1347" s="15" t="s">
        <v>3687</v>
      </c>
      <c r="Q1347" s="18">
        <v>16</v>
      </c>
      <c r="R1347" s="18">
        <v>486</v>
      </c>
      <c r="S1347" s="15" t="s">
        <v>3686</v>
      </c>
      <c r="T1347" s="14">
        <v>4972353</v>
      </c>
      <c r="U1347" s="14">
        <v>0</v>
      </c>
      <c r="V1347" s="14">
        <v>0</v>
      </c>
      <c r="W1347" s="14">
        <v>4972353</v>
      </c>
      <c r="X1347" s="14">
        <v>0</v>
      </c>
      <c r="Y1347" s="14">
        <v>4972353</v>
      </c>
    </row>
    <row r="1348" spans="1:25" x14ac:dyDescent="0.25">
      <c r="A1348" s="22">
        <v>52</v>
      </c>
      <c r="B1348" s="18" t="s">
        <v>3688</v>
      </c>
      <c r="C1348" s="15" t="s">
        <v>3635</v>
      </c>
      <c r="D1348" s="15" t="s">
        <v>3636</v>
      </c>
      <c r="E1348" s="19">
        <v>884</v>
      </c>
      <c r="F1348" s="24">
        <v>43259</v>
      </c>
      <c r="G1348" s="18" t="s">
        <v>3453</v>
      </c>
      <c r="H1348" s="15" t="s">
        <v>3689</v>
      </c>
      <c r="I1348" s="15" t="s">
        <v>55</v>
      </c>
      <c r="J1348" s="15" t="s">
        <v>3455</v>
      </c>
      <c r="K1348" s="14">
        <v>63638000</v>
      </c>
      <c r="L1348" s="14">
        <v>0</v>
      </c>
      <c r="M1348" s="14">
        <f t="shared" si="139"/>
        <v>63638000</v>
      </c>
      <c r="N1348" s="18">
        <v>2764</v>
      </c>
      <c r="O1348" s="20">
        <v>43341</v>
      </c>
      <c r="P1348" s="15" t="s">
        <v>3690</v>
      </c>
      <c r="Q1348" s="18">
        <v>12</v>
      </c>
      <c r="R1348" s="18">
        <v>500</v>
      </c>
      <c r="S1348" s="15" t="s">
        <v>3689</v>
      </c>
      <c r="T1348" s="14">
        <v>63638000</v>
      </c>
      <c r="U1348" s="14">
        <v>0</v>
      </c>
      <c r="V1348" s="14">
        <v>0</v>
      </c>
      <c r="W1348" s="14">
        <v>63638000</v>
      </c>
      <c r="X1348" s="14">
        <v>0</v>
      </c>
      <c r="Y1348" s="14">
        <v>63638000</v>
      </c>
    </row>
    <row r="1349" spans="1:25" x14ac:dyDescent="0.25">
      <c r="A1349" s="22">
        <v>55</v>
      </c>
      <c r="B1349" s="18" t="s">
        <v>3691</v>
      </c>
      <c r="C1349" s="15" t="s">
        <v>3681</v>
      </c>
      <c r="D1349" s="15" t="s">
        <v>3682</v>
      </c>
      <c r="E1349" s="19">
        <v>885</v>
      </c>
      <c r="F1349" s="24">
        <v>43259</v>
      </c>
      <c r="G1349" s="18" t="s">
        <v>3453</v>
      </c>
      <c r="H1349" s="15" t="s">
        <v>3692</v>
      </c>
      <c r="I1349" s="15" t="s">
        <v>55</v>
      </c>
      <c r="J1349" s="15" t="s">
        <v>3455</v>
      </c>
      <c r="K1349" s="14">
        <v>2905801</v>
      </c>
      <c r="L1349" s="14">
        <v>766801</v>
      </c>
      <c r="M1349" s="14">
        <f t="shared" si="139"/>
        <v>2139000</v>
      </c>
      <c r="N1349" s="18">
        <v>2613</v>
      </c>
      <c r="O1349" s="20">
        <v>43320</v>
      </c>
      <c r="P1349" s="15" t="s">
        <v>3693</v>
      </c>
      <c r="Q1349" s="18">
        <v>16</v>
      </c>
      <c r="R1349" s="18">
        <v>484</v>
      </c>
      <c r="S1349" s="15" t="s">
        <v>3692</v>
      </c>
      <c r="T1349" s="14">
        <v>2139000</v>
      </c>
      <c r="U1349" s="14">
        <v>0</v>
      </c>
      <c r="V1349" s="14">
        <v>0</v>
      </c>
      <c r="W1349" s="14">
        <v>2139000</v>
      </c>
      <c r="X1349" s="14">
        <v>0</v>
      </c>
      <c r="Y1349" s="14">
        <v>2139000</v>
      </c>
    </row>
    <row r="1350" spans="1:25" x14ac:dyDescent="0.25">
      <c r="A1350" s="18">
        <v>105</v>
      </c>
      <c r="B1350" s="18" t="s">
        <v>3694</v>
      </c>
      <c r="C1350" s="15" t="s">
        <v>3681</v>
      </c>
      <c r="D1350" s="15" t="s">
        <v>3682</v>
      </c>
      <c r="E1350" s="19">
        <v>888</v>
      </c>
      <c r="F1350" s="24">
        <v>43264</v>
      </c>
      <c r="G1350" s="18" t="s">
        <v>3453</v>
      </c>
      <c r="H1350" s="15" t="s">
        <v>3695</v>
      </c>
      <c r="I1350" s="15" t="s">
        <v>55</v>
      </c>
      <c r="J1350" s="15" t="s">
        <v>3455</v>
      </c>
      <c r="K1350" s="14">
        <v>2300000</v>
      </c>
      <c r="L1350" s="14">
        <v>1412000</v>
      </c>
      <c r="M1350" s="14">
        <f t="shared" si="139"/>
        <v>888000</v>
      </c>
      <c r="N1350" s="18">
        <v>2506</v>
      </c>
      <c r="O1350" s="20">
        <v>43299</v>
      </c>
      <c r="P1350" s="15" t="s">
        <v>3696</v>
      </c>
      <c r="Q1350" s="18">
        <v>12</v>
      </c>
      <c r="R1350" s="18">
        <v>646</v>
      </c>
      <c r="S1350" s="15" t="s">
        <v>3695</v>
      </c>
      <c r="T1350" s="14">
        <v>2300000</v>
      </c>
      <c r="U1350" s="14">
        <v>1412000</v>
      </c>
      <c r="V1350" s="14">
        <v>0</v>
      </c>
      <c r="W1350" s="14">
        <v>888000</v>
      </c>
      <c r="X1350" s="14">
        <v>888000</v>
      </c>
      <c r="Y1350" s="14">
        <v>0</v>
      </c>
    </row>
    <row r="1351" spans="1:25" x14ac:dyDescent="0.25">
      <c r="A1351" s="22">
        <v>49</v>
      </c>
      <c r="B1351" s="18" t="s">
        <v>3697</v>
      </c>
      <c r="C1351" s="15" t="s">
        <v>3698</v>
      </c>
      <c r="D1351" s="15" t="s">
        <v>3699</v>
      </c>
      <c r="E1351" s="19">
        <v>890</v>
      </c>
      <c r="F1351" s="24">
        <v>43266</v>
      </c>
      <c r="G1351" s="18" t="s">
        <v>3453</v>
      </c>
      <c r="H1351" s="15" t="s">
        <v>3700</v>
      </c>
      <c r="I1351" s="15" t="s">
        <v>55</v>
      </c>
      <c r="J1351" s="15" t="s">
        <v>3455</v>
      </c>
      <c r="K1351" s="14">
        <v>34250000</v>
      </c>
      <c r="L1351" s="14">
        <v>0</v>
      </c>
      <c r="M1351" s="14">
        <f t="shared" si="139"/>
        <v>34250000</v>
      </c>
      <c r="N1351" s="18">
        <v>2756</v>
      </c>
      <c r="O1351" s="20">
        <v>43339</v>
      </c>
      <c r="P1351" s="15" t="s">
        <v>3701</v>
      </c>
      <c r="Q1351" s="18">
        <v>11</v>
      </c>
      <c r="R1351" s="18">
        <v>533</v>
      </c>
      <c r="S1351" s="15" t="s">
        <v>3700</v>
      </c>
      <c r="T1351" s="14">
        <v>34250000</v>
      </c>
      <c r="U1351" s="14">
        <v>0</v>
      </c>
      <c r="V1351" s="14">
        <v>0</v>
      </c>
      <c r="W1351" s="14">
        <v>34250000</v>
      </c>
      <c r="X1351" s="14">
        <v>0</v>
      </c>
      <c r="Y1351" s="14">
        <v>34250000</v>
      </c>
    </row>
    <row r="1352" spans="1:25" x14ac:dyDescent="0.25">
      <c r="A1352" s="22">
        <v>53</v>
      </c>
      <c r="B1352" s="18" t="s">
        <v>3702</v>
      </c>
      <c r="C1352" s="15" t="s">
        <v>3703</v>
      </c>
      <c r="D1352" s="15" t="s">
        <v>3704</v>
      </c>
      <c r="E1352" s="19">
        <v>901</v>
      </c>
      <c r="F1352" s="24">
        <v>43270</v>
      </c>
      <c r="G1352" s="18" t="s">
        <v>3453</v>
      </c>
      <c r="H1352" s="15" t="s">
        <v>3705</v>
      </c>
      <c r="I1352" s="15" t="s">
        <v>55</v>
      </c>
      <c r="J1352" s="15" t="s">
        <v>3455</v>
      </c>
      <c r="K1352" s="14">
        <v>27869964</v>
      </c>
      <c r="L1352" s="14">
        <v>0</v>
      </c>
      <c r="M1352" s="14">
        <f t="shared" si="139"/>
        <v>27869964</v>
      </c>
      <c r="N1352" s="16"/>
      <c r="O1352" s="16"/>
      <c r="P1352" s="16"/>
      <c r="Q1352" s="16"/>
      <c r="R1352" s="16"/>
      <c r="S1352" s="16"/>
      <c r="T1352" s="16"/>
      <c r="U1352" s="16"/>
      <c r="V1352" s="16"/>
      <c r="W1352" s="16"/>
      <c r="X1352" s="16"/>
      <c r="Y1352" s="16"/>
    </row>
    <row r="1353" spans="1:25" x14ac:dyDescent="0.25">
      <c r="A1353" s="22">
        <v>23</v>
      </c>
      <c r="B1353" s="18" t="s">
        <v>3706</v>
      </c>
      <c r="C1353" s="15" t="s">
        <v>3450</v>
      </c>
      <c r="D1353" s="15" t="s">
        <v>3451</v>
      </c>
      <c r="E1353" s="19">
        <v>930</v>
      </c>
      <c r="F1353" s="24">
        <v>43279</v>
      </c>
      <c r="G1353" s="18" t="s">
        <v>3453</v>
      </c>
      <c r="H1353" s="15" t="s">
        <v>3707</v>
      </c>
      <c r="I1353" s="15" t="s">
        <v>55</v>
      </c>
      <c r="J1353" s="15" t="s">
        <v>3455</v>
      </c>
      <c r="K1353" s="14">
        <v>85680000</v>
      </c>
      <c r="L1353" s="14">
        <v>0</v>
      </c>
      <c r="M1353" s="14">
        <f t="shared" si="139"/>
        <v>85680000</v>
      </c>
      <c r="N1353" s="18">
        <v>2427</v>
      </c>
      <c r="O1353" s="20">
        <v>43285</v>
      </c>
      <c r="P1353" s="15" t="s">
        <v>3708</v>
      </c>
      <c r="Q1353" s="18">
        <v>145</v>
      </c>
      <c r="R1353" s="18">
        <v>438</v>
      </c>
      <c r="S1353" s="15" t="s">
        <v>3707</v>
      </c>
      <c r="T1353" s="14">
        <v>85680000</v>
      </c>
      <c r="U1353" s="14">
        <v>0</v>
      </c>
      <c r="V1353" s="14">
        <v>0</v>
      </c>
      <c r="W1353" s="14">
        <v>85680000</v>
      </c>
      <c r="X1353" s="14">
        <v>27132000</v>
      </c>
      <c r="Y1353" s="14">
        <v>58548000</v>
      </c>
    </row>
    <row r="1354" spans="1:25" x14ac:dyDescent="0.25">
      <c r="A1354" s="18">
        <v>78</v>
      </c>
      <c r="B1354" s="18" t="s">
        <v>3709</v>
      </c>
      <c r="C1354" s="15" t="s">
        <v>3621</v>
      </c>
      <c r="D1354" s="15" t="s">
        <v>3622</v>
      </c>
      <c r="E1354" s="19">
        <v>938</v>
      </c>
      <c r="F1354" s="24">
        <v>43285</v>
      </c>
      <c r="G1354" s="18" t="s">
        <v>3453</v>
      </c>
      <c r="H1354" s="15" t="s">
        <v>3710</v>
      </c>
      <c r="I1354" s="15" t="s">
        <v>55</v>
      </c>
      <c r="J1354" s="15" t="s">
        <v>3455</v>
      </c>
      <c r="K1354" s="14">
        <v>5500000</v>
      </c>
      <c r="L1354" s="14">
        <v>0</v>
      </c>
      <c r="M1354" s="14">
        <f t="shared" si="139"/>
        <v>5500000</v>
      </c>
      <c r="N1354" s="18">
        <v>2618</v>
      </c>
      <c r="O1354" s="20">
        <v>43322</v>
      </c>
      <c r="P1354" s="15" t="s">
        <v>3711</v>
      </c>
      <c r="Q1354" s="18">
        <v>12</v>
      </c>
      <c r="R1354" s="18">
        <v>477</v>
      </c>
      <c r="S1354" s="15" t="s">
        <v>3712</v>
      </c>
      <c r="T1354" s="14">
        <v>5500000</v>
      </c>
      <c r="U1354" s="14">
        <v>0</v>
      </c>
      <c r="V1354" s="14">
        <v>0</v>
      </c>
      <c r="W1354" s="14">
        <v>5500000</v>
      </c>
      <c r="X1354" s="14">
        <v>0</v>
      </c>
      <c r="Y1354" s="14">
        <v>5500000</v>
      </c>
    </row>
    <row r="1355" spans="1:25" x14ac:dyDescent="0.25">
      <c r="A1355" s="18">
        <v>109</v>
      </c>
      <c r="B1355" s="18" t="s">
        <v>3713</v>
      </c>
      <c r="C1355" s="15" t="s">
        <v>3517</v>
      </c>
      <c r="D1355" s="15" t="s">
        <v>3518</v>
      </c>
      <c r="E1355" s="19">
        <v>952</v>
      </c>
      <c r="F1355" s="24">
        <v>43291</v>
      </c>
      <c r="G1355" s="18" t="s">
        <v>3453</v>
      </c>
      <c r="H1355" s="15" t="s">
        <v>3714</v>
      </c>
      <c r="I1355" s="15" t="s">
        <v>55</v>
      </c>
      <c r="J1355" s="15" t="s">
        <v>3455</v>
      </c>
      <c r="K1355" s="14">
        <v>18076157</v>
      </c>
      <c r="L1355" s="14">
        <v>0</v>
      </c>
      <c r="M1355" s="14">
        <f t="shared" si="139"/>
        <v>18076157</v>
      </c>
      <c r="N1355" s="18">
        <v>2505</v>
      </c>
      <c r="O1355" s="20">
        <v>43299</v>
      </c>
      <c r="P1355" s="15" t="s">
        <v>3715</v>
      </c>
      <c r="Q1355" s="18">
        <v>148</v>
      </c>
      <c r="R1355" s="18">
        <v>448</v>
      </c>
      <c r="S1355" s="15" t="s">
        <v>3714</v>
      </c>
      <c r="T1355" s="14">
        <v>18076157</v>
      </c>
      <c r="U1355" s="14">
        <v>0</v>
      </c>
      <c r="V1355" s="14">
        <v>0</v>
      </c>
      <c r="W1355" s="14">
        <v>18076157</v>
      </c>
      <c r="X1355" s="14">
        <v>4768557</v>
      </c>
      <c r="Y1355" s="14">
        <v>13307600</v>
      </c>
    </row>
    <row r="1356" spans="1:25" x14ac:dyDescent="0.25">
      <c r="A1356" s="18">
        <v>77</v>
      </c>
      <c r="B1356" s="18" t="s">
        <v>3716</v>
      </c>
      <c r="C1356" s="15" t="s">
        <v>3621</v>
      </c>
      <c r="D1356" s="15" t="s">
        <v>3622</v>
      </c>
      <c r="E1356" s="19">
        <v>1009</v>
      </c>
      <c r="F1356" s="24">
        <v>43311</v>
      </c>
      <c r="G1356" s="18" t="s">
        <v>3453</v>
      </c>
      <c r="H1356" s="15" t="s">
        <v>3717</v>
      </c>
      <c r="I1356" s="15" t="s">
        <v>55</v>
      </c>
      <c r="J1356" s="15" t="s">
        <v>3455</v>
      </c>
      <c r="K1356" s="14">
        <v>9242840</v>
      </c>
      <c r="L1356" s="14">
        <v>204392</v>
      </c>
      <c r="M1356" s="14">
        <f t="shared" si="139"/>
        <v>9038448</v>
      </c>
      <c r="N1356" s="18">
        <v>2829</v>
      </c>
      <c r="O1356" s="20">
        <v>43353</v>
      </c>
      <c r="P1356" s="15" t="s">
        <v>3718</v>
      </c>
      <c r="Q1356" s="18">
        <v>12</v>
      </c>
      <c r="R1356" s="18">
        <v>554</v>
      </c>
      <c r="S1356" s="15" t="s">
        <v>3717</v>
      </c>
      <c r="T1356" s="14">
        <v>9038448</v>
      </c>
      <c r="U1356" s="14">
        <v>0</v>
      </c>
      <c r="V1356" s="14">
        <v>0</v>
      </c>
      <c r="W1356" s="14">
        <v>9038448</v>
      </c>
      <c r="X1356" s="14">
        <v>0</v>
      </c>
      <c r="Y1356" s="14">
        <v>9038448</v>
      </c>
    </row>
    <row r="1357" spans="1:25" x14ac:dyDescent="0.25">
      <c r="A1357" s="18">
        <v>98</v>
      </c>
      <c r="B1357" s="29" t="s">
        <v>3719</v>
      </c>
      <c r="C1357" s="30" t="s">
        <v>3681</v>
      </c>
      <c r="D1357" s="30" t="s">
        <v>3682</v>
      </c>
      <c r="E1357" s="29">
        <v>1022</v>
      </c>
      <c r="F1357" s="31">
        <v>43314</v>
      </c>
      <c r="G1357" s="29" t="s">
        <v>3453</v>
      </c>
      <c r="H1357" s="30" t="s">
        <v>3720</v>
      </c>
      <c r="I1357" s="30" t="s">
        <v>55</v>
      </c>
      <c r="J1357" s="30" t="s">
        <v>3455</v>
      </c>
      <c r="K1357" s="32">
        <v>7766051</v>
      </c>
      <c r="L1357" s="32">
        <v>4166051</v>
      </c>
      <c r="M1357" s="32">
        <f t="shared" si="139"/>
        <v>3600000</v>
      </c>
      <c r="N1357" s="18">
        <v>2932</v>
      </c>
      <c r="O1357" s="20">
        <v>43369</v>
      </c>
      <c r="P1357" s="15" t="s">
        <v>3721</v>
      </c>
      <c r="Q1357" s="18">
        <v>12</v>
      </c>
      <c r="R1357" s="18">
        <v>594</v>
      </c>
      <c r="S1357" s="15" t="s">
        <v>3720</v>
      </c>
      <c r="T1357" s="14">
        <v>3600000</v>
      </c>
      <c r="U1357" s="14">
        <v>0</v>
      </c>
      <c r="V1357" s="14">
        <v>0</v>
      </c>
      <c r="W1357" s="14">
        <v>3600000</v>
      </c>
      <c r="X1357" s="14">
        <v>0</v>
      </c>
      <c r="Y1357" s="14">
        <v>3600000</v>
      </c>
    </row>
    <row r="1358" spans="1:25" x14ac:dyDescent="0.25">
      <c r="A1358" s="18">
        <v>110</v>
      </c>
      <c r="B1358" s="29" t="s">
        <v>3722</v>
      </c>
      <c r="C1358" s="30" t="s">
        <v>3649</v>
      </c>
      <c r="D1358" s="30" t="s">
        <v>3650</v>
      </c>
      <c r="E1358" s="29">
        <v>1059</v>
      </c>
      <c r="F1358" s="31">
        <v>43325</v>
      </c>
      <c r="G1358" s="29" t="s">
        <v>3453</v>
      </c>
      <c r="H1358" s="30" t="s">
        <v>3723</v>
      </c>
      <c r="I1358" s="30" t="s">
        <v>55</v>
      </c>
      <c r="J1358" s="30" t="s">
        <v>3455</v>
      </c>
      <c r="K1358" s="32">
        <v>11216794</v>
      </c>
      <c r="L1358" s="32">
        <v>0</v>
      </c>
      <c r="M1358" s="32">
        <f t="shared" si="139"/>
        <v>11216794</v>
      </c>
      <c r="N1358" s="18"/>
      <c r="O1358" s="33"/>
      <c r="P1358" s="15"/>
      <c r="Q1358" s="18"/>
      <c r="R1358" s="15"/>
      <c r="S1358" s="15"/>
      <c r="T1358" s="14"/>
      <c r="U1358" s="14"/>
      <c r="V1358" s="14"/>
      <c r="W1358" s="14"/>
      <c r="X1358" s="14"/>
      <c r="Y1358" s="14"/>
    </row>
    <row r="1359" spans="1:25" x14ac:dyDescent="0.25">
      <c r="A1359" s="18">
        <v>111</v>
      </c>
      <c r="B1359" s="29" t="s">
        <v>3724</v>
      </c>
      <c r="C1359" s="30" t="s">
        <v>3450</v>
      </c>
      <c r="D1359" s="30" t="s">
        <v>3451</v>
      </c>
      <c r="E1359" s="29">
        <v>1065</v>
      </c>
      <c r="F1359" s="31">
        <v>43327</v>
      </c>
      <c r="G1359" s="29" t="s">
        <v>3453</v>
      </c>
      <c r="H1359" s="30" t="s">
        <v>3725</v>
      </c>
      <c r="I1359" s="30" t="s">
        <v>55</v>
      </c>
      <c r="J1359" s="30" t="s">
        <v>3455</v>
      </c>
      <c r="K1359" s="32">
        <v>28428000</v>
      </c>
      <c r="L1359" s="32">
        <v>824000</v>
      </c>
      <c r="M1359" s="32">
        <f t="shared" si="139"/>
        <v>27604000</v>
      </c>
      <c r="N1359" s="18">
        <v>2747</v>
      </c>
      <c r="O1359" s="20">
        <v>43336</v>
      </c>
      <c r="P1359" s="15" t="s">
        <v>3726</v>
      </c>
      <c r="Q1359" s="18">
        <v>145</v>
      </c>
      <c r="R1359" s="18">
        <v>532</v>
      </c>
      <c r="S1359" s="15" t="s">
        <v>3725</v>
      </c>
      <c r="T1359" s="14">
        <v>27604000</v>
      </c>
      <c r="U1359" s="14">
        <v>0</v>
      </c>
      <c r="V1359" s="14">
        <v>0</v>
      </c>
      <c r="W1359" s="14">
        <v>27604000</v>
      </c>
      <c r="X1359" s="14">
        <v>0</v>
      </c>
      <c r="Y1359" s="14">
        <v>27604000</v>
      </c>
    </row>
    <row r="1360" spans="1:25" x14ac:dyDescent="0.25">
      <c r="A1360" s="18">
        <v>79</v>
      </c>
      <c r="B1360" s="29" t="s">
        <v>3727</v>
      </c>
      <c r="C1360" s="30" t="s">
        <v>3621</v>
      </c>
      <c r="D1360" s="30" t="s">
        <v>3622</v>
      </c>
      <c r="E1360" s="29">
        <v>1075</v>
      </c>
      <c r="F1360" s="31">
        <v>43329</v>
      </c>
      <c r="G1360" s="29" t="s">
        <v>3453</v>
      </c>
      <c r="H1360" s="30" t="s">
        <v>3728</v>
      </c>
      <c r="I1360" s="30" t="s">
        <v>55</v>
      </c>
      <c r="J1360" s="30" t="s">
        <v>3455</v>
      </c>
      <c r="K1360" s="32">
        <v>7058597</v>
      </c>
      <c r="L1360" s="32">
        <v>0</v>
      </c>
      <c r="M1360" s="32">
        <f t="shared" si="139"/>
        <v>7058597</v>
      </c>
      <c r="N1360" s="18"/>
      <c r="O1360" s="33"/>
      <c r="P1360" s="15"/>
      <c r="Q1360" s="18"/>
      <c r="R1360" s="15"/>
      <c r="S1360" s="15"/>
      <c r="T1360" s="14"/>
      <c r="U1360" s="14"/>
      <c r="V1360" s="14"/>
      <c r="W1360" s="14"/>
      <c r="X1360" s="14"/>
      <c r="Y1360" s="14"/>
    </row>
    <row r="1361" spans="1:25" x14ac:dyDescent="0.25">
      <c r="A1361" s="22">
        <v>61</v>
      </c>
      <c r="B1361" s="29" t="s">
        <v>3729</v>
      </c>
      <c r="C1361" s="30" t="s">
        <v>3730</v>
      </c>
      <c r="D1361" s="30" t="s">
        <v>3731</v>
      </c>
      <c r="E1361" s="29">
        <v>1095</v>
      </c>
      <c r="F1361" s="31">
        <v>43334</v>
      </c>
      <c r="G1361" s="29" t="s">
        <v>3453</v>
      </c>
      <c r="H1361" s="30" t="s">
        <v>3732</v>
      </c>
      <c r="I1361" s="30" t="s">
        <v>55</v>
      </c>
      <c r="J1361" s="30" t="s">
        <v>3455</v>
      </c>
      <c r="K1361" s="32">
        <v>270540849</v>
      </c>
      <c r="L1361" s="32">
        <v>0</v>
      </c>
      <c r="M1361" s="32">
        <f t="shared" si="139"/>
        <v>270540849</v>
      </c>
      <c r="N1361" s="18"/>
      <c r="O1361" s="33"/>
      <c r="P1361" s="15"/>
      <c r="Q1361" s="18"/>
      <c r="R1361" s="15"/>
      <c r="S1361" s="15"/>
      <c r="T1361" s="14"/>
      <c r="U1361" s="14"/>
      <c r="V1361" s="14"/>
      <c r="W1361" s="14"/>
      <c r="X1361" s="14"/>
      <c r="Y1361" s="14"/>
    </row>
    <row r="1362" spans="1:25" x14ac:dyDescent="0.25">
      <c r="A1362" s="18">
        <v>97</v>
      </c>
      <c r="B1362" s="29" t="s">
        <v>3733</v>
      </c>
      <c r="C1362" s="30" t="s">
        <v>3681</v>
      </c>
      <c r="D1362" s="30" t="s">
        <v>3682</v>
      </c>
      <c r="E1362" s="29">
        <v>1168</v>
      </c>
      <c r="F1362" s="31">
        <v>43361</v>
      </c>
      <c r="G1362" s="29" t="s">
        <v>3453</v>
      </c>
      <c r="H1362" s="30" t="s">
        <v>3734</v>
      </c>
      <c r="I1362" s="30" t="s">
        <v>55</v>
      </c>
      <c r="J1362" s="30" t="s">
        <v>3455</v>
      </c>
      <c r="K1362" s="32">
        <v>20309426</v>
      </c>
      <c r="L1362" s="32">
        <v>0</v>
      </c>
      <c r="M1362" s="32">
        <f t="shared" si="139"/>
        <v>20309426</v>
      </c>
      <c r="N1362" s="18"/>
      <c r="O1362" s="33"/>
      <c r="P1362" s="15"/>
      <c r="Q1362" s="18"/>
      <c r="R1362" s="15"/>
      <c r="S1362" s="15"/>
      <c r="T1362" s="14"/>
      <c r="U1362" s="14"/>
      <c r="V1362" s="14"/>
      <c r="W1362" s="14"/>
      <c r="X1362" s="14"/>
      <c r="Y1362" s="14"/>
    </row>
    <row r="1363" spans="1:25" x14ac:dyDescent="0.25">
      <c r="A1363" s="18">
        <v>113</v>
      </c>
      <c r="B1363" s="29" t="s">
        <v>3735</v>
      </c>
      <c r="C1363" s="30" t="s">
        <v>3616</v>
      </c>
      <c r="D1363" s="30" t="s">
        <v>3617</v>
      </c>
      <c r="E1363" s="29">
        <v>1199</v>
      </c>
      <c r="F1363" s="31">
        <v>43369</v>
      </c>
      <c r="G1363" s="29" t="s">
        <v>3453</v>
      </c>
      <c r="H1363" s="30" t="s">
        <v>3736</v>
      </c>
      <c r="I1363" s="30" t="s">
        <v>55</v>
      </c>
      <c r="J1363" s="30" t="s">
        <v>3455</v>
      </c>
      <c r="K1363" s="32">
        <v>10744187</v>
      </c>
      <c r="L1363" s="32">
        <v>0</v>
      </c>
      <c r="M1363" s="32">
        <f t="shared" si="139"/>
        <v>10744187</v>
      </c>
      <c r="N1363" s="18"/>
      <c r="O1363" s="33"/>
      <c r="P1363" s="15"/>
      <c r="Q1363" s="18"/>
      <c r="R1363" s="15"/>
      <c r="S1363" s="15"/>
      <c r="T1363" s="14"/>
      <c r="U1363" s="14"/>
      <c r="V1363" s="14"/>
      <c r="W1363" s="14"/>
      <c r="X1363" s="14"/>
      <c r="Y1363" s="14"/>
    </row>
    <row r="1364" spans="1:25" x14ac:dyDescent="0.25">
      <c r="A1364" s="22">
        <v>45</v>
      </c>
      <c r="B1364" s="18" t="s">
        <v>3737</v>
      </c>
      <c r="C1364" s="15" t="s">
        <v>3738</v>
      </c>
      <c r="D1364" s="15" t="s">
        <v>3739</v>
      </c>
      <c r="E1364" s="19">
        <v>127</v>
      </c>
      <c r="F1364" s="18" t="s">
        <v>3497</v>
      </c>
      <c r="G1364" s="18" t="s">
        <v>3453</v>
      </c>
      <c r="H1364" s="15" t="s">
        <v>3740</v>
      </c>
      <c r="I1364" s="15" t="s">
        <v>55</v>
      </c>
      <c r="J1364" s="15" t="s">
        <v>3455</v>
      </c>
      <c r="K1364" s="14">
        <v>154617000</v>
      </c>
      <c r="L1364" s="14">
        <v>0</v>
      </c>
      <c r="M1364" s="14">
        <f t="shared" si="139"/>
        <v>154617000</v>
      </c>
      <c r="N1364" s="18">
        <v>122</v>
      </c>
      <c r="O1364" s="20">
        <v>43117</v>
      </c>
      <c r="P1364" s="15" t="s">
        <v>3741</v>
      </c>
      <c r="Q1364" s="18">
        <v>28</v>
      </c>
      <c r="R1364" s="18">
        <v>608365</v>
      </c>
      <c r="S1364" s="15" t="s">
        <v>3742</v>
      </c>
      <c r="T1364" s="14">
        <v>11671210</v>
      </c>
      <c r="U1364" s="14">
        <v>0</v>
      </c>
      <c r="V1364" s="14">
        <v>0</v>
      </c>
      <c r="W1364" s="14">
        <v>11671210</v>
      </c>
      <c r="X1364" s="14">
        <v>11671210</v>
      </c>
      <c r="Y1364" s="14">
        <v>0</v>
      </c>
    </row>
    <row r="1365" spans="1:25" x14ac:dyDescent="0.25">
      <c r="A1365" s="22"/>
      <c r="B1365" s="18"/>
      <c r="C1365" s="15"/>
      <c r="D1365" s="15"/>
      <c r="E1365" s="19"/>
      <c r="F1365" s="18"/>
      <c r="G1365" s="18"/>
      <c r="H1365" s="15"/>
      <c r="I1365" s="15"/>
      <c r="J1365" s="15"/>
      <c r="K1365" s="14"/>
      <c r="L1365" s="14"/>
      <c r="M1365" s="14"/>
      <c r="N1365" s="18">
        <v>1378</v>
      </c>
      <c r="O1365" s="20">
        <v>43147</v>
      </c>
      <c r="P1365" s="15" t="s">
        <v>3741</v>
      </c>
      <c r="Q1365" s="18">
        <v>28</v>
      </c>
      <c r="R1365" s="18">
        <v>697031</v>
      </c>
      <c r="S1365" s="15" t="s">
        <v>3743</v>
      </c>
      <c r="T1365" s="14">
        <v>12461870</v>
      </c>
      <c r="U1365" s="14">
        <v>0</v>
      </c>
      <c r="V1365" s="14">
        <v>0</v>
      </c>
      <c r="W1365" s="14">
        <v>12461870</v>
      </c>
      <c r="X1365" s="14">
        <v>12461870</v>
      </c>
      <c r="Y1365" s="14">
        <v>0</v>
      </c>
    </row>
    <row r="1366" spans="1:25" x14ac:dyDescent="0.25">
      <c r="A1366" s="22"/>
      <c r="B1366" s="18"/>
      <c r="C1366" s="15"/>
      <c r="D1366" s="15"/>
      <c r="E1366" s="19"/>
      <c r="F1366" s="18"/>
      <c r="G1366" s="18"/>
      <c r="H1366" s="15"/>
      <c r="I1366" s="15"/>
      <c r="J1366" s="15"/>
      <c r="K1366" s="14"/>
      <c r="L1366" s="14"/>
      <c r="M1366" s="14"/>
      <c r="N1366" s="18">
        <v>1600</v>
      </c>
      <c r="O1366" s="20">
        <v>43179</v>
      </c>
      <c r="P1366" s="15" t="s">
        <v>3741</v>
      </c>
      <c r="Q1366" s="18">
        <v>28</v>
      </c>
      <c r="R1366" s="18">
        <v>818060</v>
      </c>
      <c r="S1366" s="15" t="s">
        <v>3744</v>
      </c>
      <c r="T1366" s="14">
        <v>12139210</v>
      </c>
      <c r="U1366" s="14">
        <v>0</v>
      </c>
      <c r="V1366" s="14">
        <v>0</v>
      </c>
      <c r="W1366" s="14">
        <v>12139210</v>
      </c>
      <c r="X1366" s="14">
        <v>12139210</v>
      </c>
      <c r="Y1366" s="14">
        <v>0</v>
      </c>
    </row>
    <row r="1367" spans="1:25" x14ac:dyDescent="0.25">
      <c r="A1367" s="22"/>
      <c r="B1367" s="18"/>
      <c r="C1367" s="15"/>
      <c r="D1367" s="15"/>
      <c r="E1367" s="19"/>
      <c r="F1367" s="18"/>
      <c r="G1367" s="18"/>
      <c r="H1367" s="15"/>
      <c r="I1367" s="15"/>
      <c r="J1367" s="15"/>
      <c r="K1367" s="14"/>
      <c r="L1367" s="14"/>
      <c r="M1367" s="14"/>
      <c r="N1367" s="18">
        <v>1805</v>
      </c>
      <c r="O1367" s="20">
        <v>43207</v>
      </c>
      <c r="P1367" s="15" t="s">
        <v>3741</v>
      </c>
      <c r="Q1367" s="18">
        <v>28</v>
      </c>
      <c r="R1367" s="18">
        <v>886232</v>
      </c>
      <c r="S1367" s="15" t="s">
        <v>3745</v>
      </c>
      <c r="T1367" s="14">
        <v>14173580</v>
      </c>
      <c r="U1367" s="14">
        <v>0</v>
      </c>
      <c r="V1367" s="14">
        <v>0</v>
      </c>
      <c r="W1367" s="14">
        <v>14173580</v>
      </c>
      <c r="X1367" s="14">
        <v>14173580</v>
      </c>
      <c r="Y1367" s="14">
        <v>0</v>
      </c>
    </row>
    <row r="1368" spans="1:25" x14ac:dyDescent="0.25">
      <c r="A1368" s="22"/>
      <c r="B1368" s="18"/>
      <c r="C1368" s="15"/>
      <c r="D1368" s="15"/>
      <c r="E1368" s="19"/>
      <c r="F1368" s="18"/>
      <c r="G1368" s="18"/>
      <c r="H1368" s="15"/>
      <c r="I1368" s="15"/>
      <c r="J1368" s="15"/>
      <c r="K1368" s="14"/>
      <c r="L1368" s="14"/>
      <c r="M1368" s="14"/>
      <c r="N1368" s="18">
        <v>1917</v>
      </c>
      <c r="O1368" s="20">
        <v>43241</v>
      </c>
      <c r="P1368" s="15" t="s">
        <v>3741</v>
      </c>
      <c r="Q1368" s="18">
        <v>28</v>
      </c>
      <c r="R1368" s="18">
        <v>138680</v>
      </c>
      <c r="S1368" s="15" t="s">
        <v>3746</v>
      </c>
      <c r="T1368" s="14">
        <v>13018290</v>
      </c>
      <c r="U1368" s="14">
        <v>0</v>
      </c>
      <c r="V1368" s="14">
        <v>0</v>
      </c>
      <c r="W1368" s="14">
        <v>13018290</v>
      </c>
      <c r="X1368" s="14">
        <v>13018290</v>
      </c>
      <c r="Y1368" s="14">
        <v>0</v>
      </c>
    </row>
    <row r="1369" spans="1:25" x14ac:dyDescent="0.25">
      <c r="A1369" s="22"/>
      <c r="B1369" s="18"/>
      <c r="C1369" s="15"/>
      <c r="D1369" s="15"/>
      <c r="E1369" s="19"/>
      <c r="F1369" s="18"/>
      <c r="G1369" s="18"/>
      <c r="H1369" s="15"/>
      <c r="I1369" s="15"/>
      <c r="J1369" s="15"/>
      <c r="K1369" s="14"/>
      <c r="L1369" s="14"/>
      <c r="M1369" s="14"/>
      <c r="N1369" s="18">
        <v>2037</v>
      </c>
      <c r="O1369" s="20">
        <v>43271</v>
      </c>
      <c r="P1369" s="15" t="s">
        <v>3741</v>
      </c>
      <c r="Q1369" s="18">
        <v>28</v>
      </c>
      <c r="R1369" s="18">
        <v>3023709</v>
      </c>
      <c r="S1369" s="15" t="s">
        <v>3747</v>
      </c>
      <c r="T1369" s="14">
        <v>12747380</v>
      </c>
      <c r="U1369" s="14">
        <v>0</v>
      </c>
      <c r="V1369" s="14">
        <v>0</v>
      </c>
      <c r="W1369" s="14">
        <v>12747380</v>
      </c>
      <c r="X1369" s="14">
        <v>12747380</v>
      </c>
      <c r="Y1369" s="14">
        <v>0</v>
      </c>
    </row>
    <row r="1370" spans="1:25" x14ac:dyDescent="0.25">
      <c r="A1370" s="22"/>
      <c r="B1370" s="18"/>
      <c r="C1370" s="15"/>
      <c r="D1370" s="15"/>
      <c r="E1370" s="19"/>
      <c r="F1370" s="18"/>
      <c r="G1370" s="18"/>
      <c r="H1370" s="15"/>
      <c r="I1370" s="15"/>
      <c r="J1370" s="15"/>
      <c r="K1370" s="14"/>
      <c r="L1370" s="14"/>
      <c r="M1370" s="14"/>
      <c r="N1370" s="18">
        <v>2502</v>
      </c>
      <c r="O1370" s="20">
        <v>43299</v>
      </c>
      <c r="P1370" s="15" t="s">
        <v>3741</v>
      </c>
      <c r="Q1370" s="18">
        <v>28</v>
      </c>
      <c r="R1370" s="18">
        <v>384559</v>
      </c>
      <c r="S1370" s="15" t="s">
        <v>3748</v>
      </c>
      <c r="T1370" s="14">
        <v>12613650</v>
      </c>
      <c r="U1370" s="14">
        <v>0</v>
      </c>
      <c r="V1370" s="14">
        <v>0</v>
      </c>
      <c r="W1370" s="14">
        <v>12613650</v>
      </c>
      <c r="X1370" s="14">
        <v>12613650</v>
      </c>
      <c r="Y1370" s="14">
        <v>0</v>
      </c>
    </row>
    <row r="1371" spans="1:25" x14ac:dyDescent="0.25">
      <c r="A1371" s="22"/>
      <c r="B1371" s="18"/>
      <c r="C1371" s="15"/>
      <c r="D1371" s="15"/>
      <c r="E1371" s="19"/>
      <c r="F1371" s="18"/>
      <c r="G1371" s="18"/>
      <c r="H1371" s="15"/>
      <c r="I1371" s="15"/>
      <c r="J1371" s="15"/>
      <c r="K1371" s="14"/>
      <c r="L1371" s="14"/>
      <c r="M1371" s="14"/>
      <c r="N1371" s="18">
        <v>2720</v>
      </c>
      <c r="O1371" s="20">
        <v>43335</v>
      </c>
      <c r="P1371" s="15" t="s">
        <v>3741</v>
      </c>
      <c r="Q1371" s="18">
        <v>28</v>
      </c>
      <c r="R1371" s="18">
        <v>994486</v>
      </c>
      <c r="S1371" s="15" t="s">
        <v>3749</v>
      </c>
      <c r="T1371" s="14">
        <v>12687370</v>
      </c>
      <c r="U1371" s="14">
        <v>0</v>
      </c>
      <c r="V1371" s="14">
        <v>0</v>
      </c>
      <c r="W1371" s="14">
        <v>12687370</v>
      </c>
      <c r="X1371" s="14">
        <v>12687370</v>
      </c>
      <c r="Y1371" s="14">
        <v>0</v>
      </c>
    </row>
    <row r="1372" spans="1:25" x14ac:dyDescent="0.25">
      <c r="A1372" s="22"/>
      <c r="B1372" s="18"/>
      <c r="C1372" s="15"/>
      <c r="D1372" s="15"/>
      <c r="E1372" s="19"/>
      <c r="F1372" s="18"/>
      <c r="G1372" s="18"/>
      <c r="H1372" s="15"/>
      <c r="I1372" s="15"/>
      <c r="J1372" s="15"/>
      <c r="K1372" s="14"/>
      <c r="L1372" s="14"/>
      <c r="M1372" s="14"/>
      <c r="N1372" s="18">
        <v>2871</v>
      </c>
      <c r="O1372" s="20">
        <v>43360</v>
      </c>
      <c r="P1372" s="15" t="s">
        <v>3741</v>
      </c>
      <c r="Q1372" s="18">
        <v>28</v>
      </c>
      <c r="R1372" s="18">
        <v>1002371</v>
      </c>
      <c r="S1372" s="15" t="s">
        <v>3750</v>
      </c>
      <c r="T1372" s="14">
        <v>13327240</v>
      </c>
      <c r="U1372" s="14">
        <v>0</v>
      </c>
      <c r="V1372" s="14">
        <v>0</v>
      </c>
      <c r="W1372" s="14">
        <v>13327240</v>
      </c>
      <c r="X1372" s="14">
        <v>13327240</v>
      </c>
      <c r="Y1372" s="14">
        <v>0</v>
      </c>
    </row>
    <row r="1373" spans="1:25" x14ac:dyDescent="0.25">
      <c r="A1373" s="22">
        <v>46</v>
      </c>
      <c r="B1373" s="18" t="s">
        <v>3737</v>
      </c>
      <c r="C1373" s="15" t="s">
        <v>3751</v>
      </c>
      <c r="D1373" s="15" t="s">
        <v>3752</v>
      </c>
      <c r="E1373" s="19">
        <v>128</v>
      </c>
      <c r="F1373" s="18" t="s">
        <v>3497</v>
      </c>
      <c r="G1373" s="18" t="s">
        <v>3453</v>
      </c>
      <c r="H1373" s="15" t="s">
        <v>3753</v>
      </c>
      <c r="I1373" s="15" t="s">
        <v>55</v>
      </c>
      <c r="J1373" s="15" t="s">
        <v>3455</v>
      </c>
      <c r="K1373" s="14">
        <v>22866000</v>
      </c>
      <c r="L1373" s="14">
        <v>0</v>
      </c>
      <c r="M1373" s="14">
        <f>K1373-L1373</f>
        <v>22866000</v>
      </c>
      <c r="N1373" s="18">
        <v>1379</v>
      </c>
      <c r="O1373" s="20">
        <v>43147</v>
      </c>
      <c r="P1373" s="15" t="s">
        <v>3754</v>
      </c>
      <c r="Q1373" s="18">
        <v>28</v>
      </c>
      <c r="R1373" s="18">
        <v>416516</v>
      </c>
      <c r="S1373" s="15" t="s">
        <v>3755</v>
      </c>
      <c r="T1373" s="14">
        <v>3148870</v>
      </c>
      <c r="U1373" s="14">
        <v>0</v>
      </c>
      <c r="V1373" s="14">
        <v>0</v>
      </c>
      <c r="W1373" s="14">
        <v>3148870</v>
      </c>
      <c r="X1373" s="14">
        <v>3148870</v>
      </c>
      <c r="Y1373" s="14">
        <v>0</v>
      </c>
    </row>
    <row r="1374" spans="1:25" x14ac:dyDescent="0.25">
      <c r="A1374" s="22"/>
      <c r="B1374" s="18"/>
      <c r="C1374" s="15"/>
      <c r="D1374" s="15"/>
      <c r="E1374" s="19"/>
      <c r="F1374" s="18"/>
      <c r="G1374" s="18"/>
      <c r="H1374" s="15"/>
      <c r="I1374" s="15"/>
      <c r="J1374" s="15"/>
      <c r="K1374" s="14"/>
      <c r="L1374" s="14"/>
      <c r="M1374" s="14"/>
      <c r="N1374" s="18">
        <v>1804</v>
      </c>
      <c r="O1374" s="20">
        <v>43206</v>
      </c>
      <c r="P1374" s="15" t="s">
        <v>3754</v>
      </c>
      <c r="Q1374" s="18">
        <v>28</v>
      </c>
      <c r="R1374" s="18">
        <v>864118</v>
      </c>
      <c r="S1374" s="15" t="s">
        <v>3756</v>
      </c>
      <c r="T1374" s="14">
        <v>4058310</v>
      </c>
      <c r="U1374" s="14">
        <v>0</v>
      </c>
      <c r="V1374" s="14">
        <v>0</v>
      </c>
      <c r="W1374" s="14">
        <v>4058310</v>
      </c>
      <c r="X1374" s="14">
        <v>4058310</v>
      </c>
      <c r="Y1374" s="14">
        <v>0</v>
      </c>
    </row>
    <row r="1375" spans="1:25" x14ac:dyDescent="0.25">
      <c r="A1375" s="22"/>
      <c r="B1375" s="18"/>
      <c r="C1375" s="15"/>
      <c r="D1375" s="15"/>
      <c r="E1375" s="19"/>
      <c r="F1375" s="18"/>
      <c r="G1375" s="18"/>
      <c r="H1375" s="15"/>
      <c r="I1375" s="15"/>
      <c r="J1375" s="15"/>
      <c r="K1375" s="14"/>
      <c r="L1375" s="14"/>
      <c r="M1375" s="14"/>
      <c r="N1375" s="18">
        <v>2016</v>
      </c>
      <c r="O1375" s="20">
        <v>43266</v>
      </c>
      <c r="P1375" s="15" t="s">
        <v>3754</v>
      </c>
      <c r="Q1375" s="18">
        <v>28</v>
      </c>
      <c r="R1375" s="18">
        <v>961012</v>
      </c>
      <c r="S1375" s="15" t="s">
        <v>3757</v>
      </c>
      <c r="T1375" s="14">
        <v>1901250</v>
      </c>
      <c r="U1375" s="14">
        <v>0</v>
      </c>
      <c r="V1375" s="14">
        <v>0</v>
      </c>
      <c r="W1375" s="14">
        <v>1901250</v>
      </c>
      <c r="X1375" s="14">
        <v>1901250</v>
      </c>
      <c r="Y1375" s="14">
        <v>0</v>
      </c>
    </row>
    <row r="1376" spans="1:25" x14ac:dyDescent="0.25">
      <c r="A1376" s="22"/>
      <c r="B1376" s="18"/>
      <c r="C1376" s="15"/>
      <c r="D1376" s="15"/>
      <c r="E1376" s="19"/>
      <c r="F1376" s="18"/>
      <c r="G1376" s="18"/>
      <c r="H1376" s="15"/>
      <c r="I1376" s="15"/>
      <c r="J1376" s="15"/>
      <c r="K1376" s="14"/>
      <c r="L1376" s="14"/>
      <c r="M1376" s="14"/>
      <c r="N1376" s="18">
        <v>2646</v>
      </c>
      <c r="O1376" s="20">
        <v>43326</v>
      </c>
      <c r="P1376" s="15" t="s">
        <v>3754</v>
      </c>
      <c r="Q1376" s="18">
        <v>28</v>
      </c>
      <c r="R1376" s="18">
        <v>960615</v>
      </c>
      <c r="S1376" s="15" t="s">
        <v>3758</v>
      </c>
      <c r="T1376" s="14">
        <v>2125180</v>
      </c>
      <c r="U1376" s="14">
        <v>0</v>
      </c>
      <c r="V1376" s="14">
        <v>0</v>
      </c>
      <c r="W1376" s="14">
        <v>2125180</v>
      </c>
      <c r="X1376" s="14">
        <v>2125180</v>
      </c>
      <c r="Y1376" s="14">
        <v>0</v>
      </c>
    </row>
    <row r="1377" spans="1:25" x14ac:dyDescent="0.25">
      <c r="A1377" s="22">
        <v>47</v>
      </c>
      <c r="B1377" s="18" t="s">
        <v>3737</v>
      </c>
      <c r="C1377" s="15" t="s">
        <v>3759</v>
      </c>
      <c r="D1377" s="15" t="s">
        <v>3760</v>
      </c>
      <c r="E1377" s="19">
        <v>130</v>
      </c>
      <c r="F1377" s="18" t="s">
        <v>3497</v>
      </c>
      <c r="G1377" s="18" t="s">
        <v>3453</v>
      </c>
      <c r="H1377" s="15" t="s">
        <v>3761</v>
      </c>
      <c r="I1377" s="15" t="s">
        <v>55</v>
      </c>
      <c r="J1377" s="15" t="s">
        <v>3455</v>
      </c>
      <c r="K1377" s="14">
        <v>12144000</v>
      </c>
      <c r="L1377" s="14">
        <v>0</v>
      </c>
      <c r="M1377" s="14">
        <f>K1377-L1377</f>
        <v>12144000</v>
      </c>
      <c r="N1377" s="18">
        <v>1380</v>
      </c>
      <c r="O1377" s="20">
        <v>43147</v>
      </c>
      <c r="P1377" s="15" t="s">
        <v>3754</v>
      </c>
      <c r="Q1377" s="18">
        <v>28</v>
      </c>
      <c r="R1377" s="18">
        <v>807319</v>
      </c>
      <c r="S1377" s="15" t="s">
        <v>3762</v>
      </c>
      <c r="T1377" s="14">
        <v>1730670</v>
      </c>
      <c r="U1377" s="14">
        <v>0</v>
      </c>
      <c r="V1377" s="14">
        <v>0</v>
      </c>
      <c r="W1377" s="14">
        <v>1730670</v>
      </c>
      <c r="X1377" s="14">
        <v>1730670</v>
      </c>
      <c r="Y1377" s="14">
        <v>0</v>
      </c>
    </row>
    <row r="1378" spans="1:25" x14ac:dyDescent="0.25">
      <c r="A1378" s="22"/>
      <c r="B1378" s="18"/>
      <c r="C1378" s="15"/>
      <c r="D1378" s="15"/>
      <c r="E1378" s="19"/>
      <c r="F1378" s="18"/>
      <c r="G1378" s="18"/>
      <c r="H1378" s="15"/>
      <c r="I1378" s="15"/>
      <c r="J1378" s="15"/>
      <c r="K1378" s="14"/>
      <c r="L1378" s="14"/>
      <c r="M1378" s="14"/>
      <c r="N1378" s="18">
        <v>1803</v>
      </c>
      <c r="O1378" s="20">
        <v>43206</v>
      </c>
      <c r="P1378" s="15" t="s">
        <v>3754</v>
      </c>
      <c r="Q1378" s="18">
        <v>28</v>
      </c>
      <c r="R1378" s="18">
        <v>272015</v>
      </c>
      <c r="S1378" s="15" t="s">
        <v>3763</v>
      </c>
      <c r="T1378" s="14">
        <v>1863913</v>
      </c>
      <c r="U1378" s="14">
        <v>0</v>
      </c>
      <c r="V1378" s="14">
        <v>0</v>
      </c>
      <c r="W1378" s="14">
        <v>1863913</v>
      </c>
      <c r="X1378" s="14">
        <v>1863913</v>
      </c>
      <c r="Y1378" s="14">
        <v>0</v>
      </c>
    </row>
    <row r="1379" spans="1:25" x14ac:dyDescent="0.25">
      <c r="A1379" s="22"/>
      <c r="B1379" s="18"/>
      <c r="C1379" s="15"/>
      <c r="D1379" s="15"/>
      <c r="E1379" s="19"/>
      <c r="F1379" s="18"/>
      <c r="G1379" s="18"/>
      <c r="H1379" s="15"/>
      <c r="I1379" s="15"/>
      <c r="J1379" s="15"/>
      <c r="K1379" s="14"/>
      <c r="L1379" s="14"/>
      <c r="M1379" s="14"/>
      <c r="N1379" s="18">
        <v>2586</v>
      </c>
      <c r="O1379" s="20">
        <v>43315</v>
      </c>
      <c r="P1379" s="15" t="s">
        <v>3764</v>
      </c>
      <c r="Q1379" s="18">
        <v>28</v>
      </c>
      <c r="R1379" s="18">
        <v>666406</v>
      </c>
      <c r="S1379" s="15" t="s">
        <v>3765</v>
      </c>
      <c r="T1379" s="14">
        <v>1254380</v>
      </c>
      <c r="U1379" s="14">
        <v>0</v>
      </c>
      <c r="V1379" s="14">
        <v>0</v>
      </c>
      <c r="W1379" s="14">
        <v>1254380</v>
      </c>
      <c r="X1379" s="14">
        <v>1254380</v>
      </c>
      <c r="Y1379" s="14">
        <v>0</v>
      </c>
    </row>
    <row r="1380" spans="1:25" x14ac:dyDescent="0.25">
      <c r="A1380" s="22"/>
      <c r="B1380" s="18"/>
      <c r="C1380" s="15"/>
      <c r="D1380" s="15"/>
      <c r="E1380" s="19"/>
      <c r="F1380" s="18"/>
      <c r="G1380" s="18"/>
      <c r="H1380" s="15"/>
      <c r="I1380" s="15"/>
      <c r="J1380" s="15"/>
      <c r="K1380" s="14"/>
      <c r="L1380" s="14"/>
      <c r="M1380" s="14"/>
      <c r="N1380" s="18">
        <v>2877</v>
      </c>
      <c r="O1380" s="20">
        <v>43360</v>
      </c>
      <c r="P1380" s="15" t="s">
        <v>3764</v>
      </c>
      <c r="Q1380" s="18">
        <v>28</v>
      </c>
      <c r="R1380" s="18">
        <v>22153</v>
      </c>
      <c r="S1380" s="15" t="s">
        <v>3766</v>
      </c>
      <c r="T1380" s="14">
        <v>970670</v>
      </c>
      <c r="U1380" s="14">
        <v>0</v>
      </c>
      <c r="V1380" s="14">
        <v>0</v>
      </c>
      <c r="W1380" s="14">
        <v>970670</v>
      </c>
      <c r="X1380" s="14">
        <v>970670</v>
      </c>
      <c r="Y1380" s="14">
        <v>0</v>
      </c>
    </row>
    <row r="1381" spans="1:25" x14ac:dyDescent="0.25">
      <c r="A1381" s="22">
        <v>48</v>
      </c>
      <c r="B1381" s="18" t="s">
        <v>3737</v>
      </c>
      <c r="C1381" s="15" t="s">
        <v>3767</v>
      </c>
      <c r="D1381" s="15" t="s">
        <v>3768</v>
      </c>
      <c r="E1381" s="19">
        <v>129</v>
      </c>
      <c r="F1381" s="18" t="s">
        <v>3497</v>
      </c>
      <c r="G1381" s="18" t="s">
        <v>3453</v>
      </c>
      <c r="H1381" s="15" t="s">
        <v>3769</v>
      </c>
      <c r="I1381" s="15" t="s">
        <v>55</v>
      </c>
      <c r="J1381" s="15" t="s">
        <v>3455</v>
      </c>
      <c r="K1381" s="14">
        <v>93936000</v>
      </c>
      <c r="L1381" s="14">
        <v>0</v>
      </c>
      <c r="M1381" s="14">
        <f>K1381-L1381</f>
        <v>93936000</v>
      </c>
      <c r="N1381" s="18">
        <v>313</v>
      </c>
      <c r="O1381" s="20">
        <v>43122</v>
      </c>
      <c r="P1381" s="15" t="s">
        <v>3588</v>
      </c>
      <c r="Q1381" s="18">
        <v>28</v>
      </c>
      <c r="R1381" s="18">
        <v>564832</v>
      </c>
      <c r="S1381" s="15" t="s">
        <v>3770</v>
      </c>
      <c r="T1381" s="14">
        <v>5467334</v>
      </c>
      <c r="U1381" s="14">
        <v>0</v>
      </c>
      <c r="V1381" s="14">
        <v>0</v>
      </c>
      <c r="W1381" s="14">
        <v>5467334</v>
      </c>
      <c r="X1381" s="14">
        <v>5467334</v>
      </c>
      <c r="Y1381" s="14">
        <v>0</v>
      </c>
    </row>
    <row r="1382" spans="1:25" x14ac:dyDescent="0.25">
      <c r="A1382" s="22"/>
      <c r="B1382" s="18"/>
      <c r="C1382" s="15"/>
      <c r="D1382" s="15"/>
      <c r="E1382" s="19"/>
      <c r="F1382" s="18"/>
      <c r="G1382" s="18"/>
      <c r="H1382" s="15"/>
      <c r="I1382" s="15"/>
      <c r="J1382" s="15"/>
      <c r="K1382" s="14"/>
      <c r="L1382" s="14"/>
      <c r="M1382" s="14"/>
      <c r="N1382" s="18">
        <v>1456</v>
      </c>
      <c r="O1382" s="20">
        <v>43153</v>
      </c>
      <c r="P1382" s="15" t="s">
        <v>3588</v>
      </c>
      <c r="Q1382" s="18">
        <v>28</v>
      </c>
      <c r="R1382" s="18">
        <v>37319</v>
      </c>
      <c r="S1382" s="15" t="s">
        <v>3771</v>
      </c>
      <c r="T1382" s="14">
        <v>5852635</v>
      </c>
      <c r="U1382" s="14">
        <v>0</v>
      </c>
      <c r="V1382" s="14">
        <v>0</v>
      </c>
      <c r="W1382" s="14">
        <v>5852635</v>
      </c>
      <c r="X1382" s="14">
        <v>5852635</v>
      </c>
      <c r="Y1382" s="14">
        <v>0</v>
      </c>
    </row>
    <row r="1383" spans="1:25" x14ac:dyDescent="0.25">
      <c r="A1383" s="22"/>
      <c r="B1383" s="18"/>
      <c r="C1383" s="15"/>
      <c r="D1383" s="15"/>
      <c r="E1383" s="19"/>
      <c r="F1383" s="18"/>
      <c r="G1383" s="18"/>
      <c r="H1383" s="15"/>
      <c r="I1383" s="15"/>
      <c r="J1383" s="15"/>
      <c r="K1383" s="14"/>
      <c r="L1383" s="14"/>
      <c r="M1383" s="14"/>
      <c r="N1383" s="18">
        <v>1619</v>
      </c>
      <c r="O1383" s="20">
        <v>43181</v>
      </c>
      <c r="P1383" s="15" t="s">
        <v>3588</v>
      </c>
      <c r="Q1383" s="18">
        <v>28</v>
      </c>
      <c r="R1383" s="18">
        <v>19533</v>
      </c>
      <c r="S1383" s="15" t="s">
        <v>3772</v>
      </c>
      <c r="T1383" s="14">
        <v>5483480</v>
      </c>
      <c r="U1383" s="14">
        <v>0</v>
      </c>
      <c r="V1383" s="14">
        <v>0</v>
      </c>
      <c r="W1383" s="14">
        <v>5483480</v>
      </c>
      <c r="X1383" s="14">
        <v>5483480</v>
      </c>
      <c r="Y1383" s="14">
        <v>0</v>
      </c>
    </row>
    <row r="1384" spans="1:25" x14ac:dyDescent="0.25">
      <c r="A1384" s="22"/>
      <c r="B1384" s="18"/>
      <c r="C1384" s="15"/>
      <c r="D1384" s="15"/>
      <c r="E1384" s="19"/>
      <c r="F1384" s="18"/>
      <c r="G1384" s="18"/>
      <c r="H1384" s="15"/>
      <c r="I1384" s="15"/>
      <c r="J1384" s="15"/>
      <c r="K1384" s="14"/>
      <c r="L1384" s="14"/>
      <c r="M1384" s="14"/>
      <c r="N1384" s="18">
        <v>1812</v>
      </c>
      <c r="O1384" s="20">
        <v>43209</v>
      </c>
      <c r="P1384" s="15" t="s">
        <v>3588</v>
      </c>
      <c r="Q1384" s="18">
        <v>28</v>
      </c>
      <c r="R1384" s="18">
        <v>970711</v>
      </c>
      <c r="S1384" s="15" t="s">
        <v>3773</v>
      </c>
      <c r="T1384" s="14">
        <v>5483369</v>
      </c>
      <c r="U1384" s="14">
        <v>0</v>
      </c>
      <c r="V1384" s="14">
        <v>0</v>
      </c>
      <c r="W1384" s="14">
        <v>5483369</v>
      </c>
      <c r="X1384" s="14">
        <v>5483369</v>
      </c>
      <c r="Y1384" s="14">
        <v>0</v>
      </c>
    </row>
    <row r="1385" spans="1:25" x14ac:dyDescent="0.25">
      <c r="A1385" s="22"/>
      <c r="B1385" s="18"/>
      <c r="C1385" s="15"/>
      <c r="D1385" s="15"/>
      <c r="E1385" s="19"/>
      <c r="F1385" s="18"/>
      <c r="G1385" s="18"/>
      <c r="H1385" s="15"/>
      <c r="I1385" s="15"/>
      <c r="J1385" s="15"/>
      <c r="K1385" s="14"/>
      <c r="L1385" s="14"/>
      <c r="M1385" s="14"/>
      <c r="N1385" s="18">
        <v>1930</v>
      </c>
      <c r="O1385" s="20">
        <v>43242</v>
      </c>
      <c r="P1385" s="15" t="s">
        <v>3588</v>
      </c>
      <c r="Q1385" s="18">
        <v>28</v>
      </c>
      <c r="R1385" s="18">
        <v>249536</v>
      </c>
      <c r="S1385" s="15" t="s">
        <v>3774</v>
      </c>
      <c r="T1385" s="14">
        <v>6302510</v>
      </c>
      <c r="U1385" s="14">
        <v>0</v>
      </c>
      <c r="V1385" s="14">
        <v>0</v>
      </c>
      <c r="W1385" s="14">
        <v>6302510</v>
      </c>
      <c r="X1385" s="14">
        <v>6302510</v>
      </c>
      <c r="Y1385" s="14">
        <v>0</v>
      </c>
    </row>
    <row r="1386" spans="1:25" x14ac:dyDescent="0.25">
      <c r="A1386" s="22"/>
      <c r="B1386" s="18"/>
      <c r="C1386" s="15"/>
      <c r="D1386" s="15"/>
      <c r="E1386" s="19"/>
      <c r="F1386" s="18"/>
      <c r="G1386" s="18"/>
      <c r="H1386" s="15"/>
      <c r="I1386" s="15"/>
      <c r="J1386" s="15"/>
      <c r="K1386" s="14"/>
      <c r="L1386" s="14"/>
      <c r="M1386" s="14"/>
      <c r="N1386" s="18">
        <v>2039</v>
      </c>
      <c r="O1386" s="20">
        <v>43271</v>
      </c>
      <c r="P1386" s="15" t="s">
        <v>3588</v>
      </c>
      <c r="Q1386" s="18">
        <v>28</v>
      </c>
      <c r="R1386" s="18">
        <v>545414</v>
      </c>
      <c r="S1386" s="15" t="s">
        <v>3775</v>
      </c>
      <c r="T1386" s="14">
        <v>5786059</v>
      </c>
      <c r="U1386" s="14">
        <v>0</v>
      </c>
      <c r="V1386" s="14">
        <v>0</v>
      </c>
      <c r="W1386" s="14">
        <v>5786059</v>
      </c>
      <c r="X1386" s="14">
        <v>5786059</v>
      </c>
      <c r="Y1386" s="14">
        <v>0</v>
      </c>
    </row>
    <row r="1387" spans="1:25" x14ac:dyDescent="0.25">
      <c r="A1387" s="22"/>
      <c r="B1387" s="18"/>
      <c r="C1387" s="15"/>
      <c r="D1387" s="15"/>
      <c r="E1387" s="19"/>
      <c r="F1387" s="18"/>
      <c r="G1387" s="18"/>
      <c r="H1387" s="15"/>
      <c r="I1387" s="15"/>
      <c r="J1387" s="15"/>
      <c r="K1387" s="14"/>
      <c r="L1387" s="14"/>
      <c r="M1387" s="14"/>
      <c r="N1387" s="18">
        <v>2503</v>
      </c>
      <c r="O1387" s="20">
        <v>43299</v>
      </c>
      <c r="P1387" s="15" t="s">
        <v>3588</v>
      </c>
      <c r="Q1387" s="18">
        <v>28</v>
      </c>
      <c r="R1387" s="18">
        <v>943433</v>
      </c>
      <c r="S1387" s="15" t="s">
        <v>3776</v>
      </c>
      <c r="T1387" s="14">
        <v>5786759</v>
      </c>
      <c r="U1387" s="14">
        <v>0</v>
      </c>
      <c r="V1387" s="14">
        <v>0</v>
      </c>
      <c r="W1387" s="14">
        <v>5786759</v>
      </c>
      <c r="X1387" s="14">
        <v>5786759</v>
      </c>
      <c r="Y1387" s="14">
        <v>0</v>
      </c>
    </row>
    <row r="1388" spans="1:25" x14ac:dyDescent="0.25">
      <c r="A1388" s="22"/>
      <c r="B1388" s="18"/>
      <c r="C1388" s="15"/>
      <c r="D1388" s="15"/>
      <c r="E1388" s="19"/>
      <c r="F1388" s="18"/>
      <c r="G1388" s="18"/>
      <c r="H1388" s="15"/>
      <c r="I1388" s="15"/>
      <c r="J1388" s="15"/>
      <c r="K1388" s="14"/>
      <c r="L1388" s="14"/>
      <c r="M1388" s="14"/>
      <c r="N1388" s="18">
        <v>2688</v>
      </c>
      <c r="O1388" s="20">
        <v>43333</v>
      </c>
      <c r="P1388" s="15" t="s">
        <v>3588</v>
      </c>
      <c r="Q1388" s="18">
        <v>28</v>
      </c>
      <c r="R1388" s="18">
        <v>132207</v>
      </c>
      <c r="S1388" s="15" t="s">
        <v>3777</v>
      </c>
      <c r="T1388" s="14">
        <v>5794509</v>
      </c>
      <c r="U1388" s="14">
        <v>0</v>
      </c>
      <c r="V1388" s="14">
        <v>0</v>
      </c>
      <c r="W1388" s="14">
        <v>5794509</v>
      </c>
      <c r="X1388" s="14">
        <v>5794509</v>
      </c>
      <c r="Y1388" s="14">
        <v>0</v>
      </c>
    </row>
    <row r="1389" spans="1:25" x14ac:dyDescent="0.25">
      <c r="A1389" s="22"/>
      <c r="B1389" s="18"/>
      <c r="C1389" s="15"/>
      <c r="D1389" s="15"/>
      <c r="E1389" s="19"/>
      <c r="F1389" s="18"/>
      <c r="G1389" s="18"/>
      <c r="H1389" s="15"/>
      <c r="I1389" s="15"/>
      <c r="J1389" s="15"/>
      <c r="K1389" s="14"/>
      <c r="L1389" s="14"/>
      <c r="M1389" s="14"/>
      <c r="N1389" s="18">
        <v>2896</v>
      </c>
      <c r="O1389" s="20">
        <v>43361</v>
      </c>
      <c r="P1389" s="15" t="s">
        <v>3588</v>
      </c>
      <c r="Q1389" s="18">
        <v>28</v>
      </c>
      <c r="R1389" s="18">
        <v>7332773</v>
      </c>
      <c r="S1389" s="15" t="s">
        <v>3778</v>
      </c>
      <c r="T1389" s="14">
        <v>5796616</v>
      </c>
      <c r="U1389" s="14">
        <v>0</v>
      </c>
      <c r="V1389" s="14">
        <v>0</v>
      </c>
      <c r="W1389" s="14">
        <v>5796616</v>
      </c>
      <c r="X1389" s="14">
        <v>5796616</v>
      </c>
      <c r="Y1389" s="14">
        <v>0</v>
      </c>
    </row>
    <row r="1390" spans="1:25" x14ac:dyDescent="0.25">
      <c r="A1390" s="17"/>
      <c r="B1390" s="29" t="s">
        <v>3737</v>
      </c>
      <c r="C1390" s="30" t="s">
        <v>3698</v>
      </c>
      <c r="D1390" s="30" t="s">
        <v>3699</v>
      </c>
      <c r="E1390" s="29">
        <v>1026</v>
      </c>
      <c r="F1390" s="31">
        <v>43314</v>
      </c>
      <c r="G1390" s="29" t="s">
        <v>3453</v>
      </c>
      <c r="H1390" s="30" t="s">
        <v>3779</v>
      </c>
      <c r="I1390" s="30" t="s">
        <v>55</v>
      </c>
      <c r="J1390" s="30" t="s">
        <v>3455</v>
      </c>
      <c r="K1390" s="32">
        <v>740000</v>
      </c>
      <c r="L1390" s="32">
        <v>0</v>
      </c>
      <c r="M1390" s="32">
        <f>K1390-L1390</f>
        <v>740000</v>
      </c>
      <c r="N1390" s="18">
        <v>2595</v>
      </c>
      <c r="O1390" s="20">
        <v>43315</v>
      </c>
      <c r="P1390" s="15" t="s">
        <v>3780</v>
      </c>
      <c r="Q1390" s="18">
        <v>31</v>
      </c>
      <c r="R1390" s="18">
        <v>3058</v>
      </c>
      <c r="S1390" s="15" t="s">
        <v>3779</v>
      </c>
      <c r="T1390" s="14">
        <v>740000</v>
      </c>
      <c r="U1390" s="14">
        <v>0</v>
      </c>
      <c r="V1390" s="14">
        <v>0</v>
      </c>
      <c r="W1390" s="14">
        <v>740000</v>
      </c>
      <c r="X1390" s="14">
        <v>740000</v>
      </c>
      <c r="Y1390" s="14">
        <v>0</v>
      </c>
    </row>
    <row r="1391" spans="1:25" x14ac:dyDescent="0.25">
      <c r="A1391" s="17"/>
      <c r="B1391" s="18" t="s">
        <v>3737</v>
      </c>
      <c r="C1391" s="15" t="s">
        <v>3781</v>
      </c>
      <c r="D1391" s="15" t="s">
        <v>3782</v>
      </c>
      <c r="E1391" s="19">
        <v>909</v>
      </c>
      <c r="F1391" s="24">
        <v>43273</v>
      </c>
      <c r="G1391" s="18" t="s">
        <v>3453</v>
      </c>
      <c r="H1391" s="15" t="s">
        <v>3783</v>
      </c>
      <c r="I1391" s="15" t="s">
        <v>55</v>
      </c>
      <c r="J1391" s="15" t="s">
        <v>3784</v>
      </c>
      <c r="K1391" s="14">
        <v>450000</v>
      </c>
      <c r="L1391" s="14">
        <v>0</v>
      </c>
      <c r="M1391" s="14">
        <f>K1391-L1391</f>
        <v>450000</v>
      </c>
      <c r="N1391" s="18">
        <v>2549</v>
      </c>
      <c r="O1391" s="20">
        <v>43312</v>
      </c>
      <c r="P1391" s="15" t="s">
        <v>3785</v>
      </c>
      <c r="Q1391" s="18">
        <v>31</v>
      </c>
      <c r="R1391" s="18">
        <v>2954</v>
      </c>
      <c r="S1391" s="15" t="s">
        <v>3783</v>
      </c>
      <c r="T1391" s="14">
        <v>450000</v>
      </c>
      <c r="U1391" s="14">
        <v>0</v>
      </c>
      <c r="V1391" s="14">
        <v>0</v>
      </c>
      <c r="W1391" s="14">
        <v>450000</v>
      </c>
      <c r="X1391" s="14">
        <v>450000</v>
      </c>
      <c r="Y1391" s="14">
        <v>0</v>
      </c>
    </row>
    <row r="1392" spans="1:25" x14ac:dyDescent="0.25">
      <c r="A1392" s="22">
        <v>19</v>
      </c>
      <c r="B1392" s="34"/>
      <c r="C1392" s="34"/>
      <c r="D1392" s="34"/>
      <c r="E1392" s="35"/>
      <c r="F1392" s="36"/>
      <c r="G1392" s="34"/>
      <c r="H1392" s="37"/>
      <c r="I1392" s="38"/>
      <c r="J1392" s="38"/>
      <c r="K1392" s="38"/>
      <c r="L1392" s="38"/>
      <c r="M1392" s="38"/>
      <c r="N1392" s="37"/>
      <c r="O1392" s="37"/>
      <c r="P1392" s="34"/>
      <c r="Q1392" s="34"/>
      <c r="R1392" s="34"/>
      <c r="S1392" s="34"/>
      <c r="T1392" s="39"/>
      <c r="U1392" s="39"/>
      <c r="V1392" s="39"/>
      <c r="W1392" s="39"/>
      <c r="X1392" s="39"/>
      <c r="Y1392" s="39"/>
    </row>
    <row r="1393" spans="1:25" x14ac:dyDescent="0.25">
      <c r="A1393" s="22">
        <v>32</v>
      </c>
      <c r="B1393" s="18"/>
      <c r="C1393" s="15"/>
      <c r="D1393" s="15"/>
      <c r="E1393" s="19"/>
      <c r="F1393" s="18"/>
      <c r="G1393" s="18"/>
      <c r="H1393" s="15"/>
      <c r="I1393" s="15"/>
      <c r="J1393" s="15"/>
      <c r="K1393" s="14"/>
      <c r="L1393" s="14"/>
      <c r="M1393" s="14"/>
      <c r="N1393" s="18"/>
      <c r="O1393" s="20"/>
      <c r="P1393" s="15"/>
      <c r="Q1393" s="18"/>
      <c r="R1393" s="18"/>
      <c r="S1393" s="15"/>
      <c r="T1393" s="14"/>
      <c r="U1393" s="14"/>
      <c r="V1393" s="14"/>
      <c r="W1393" s="14"/>
      <c r="X1393" s="14"/>
      <c r="Y1393" s="14"/>
    </row>
    <row r="1394" spans="1:25" x14ac:dyDescent="0.25">
      <c r="A1394" s="22">
        <v>50</v>
      </c>
      <c r="B1394" s="18"/>
      <c r="C1394" s="15"/>
      <c r="D1394" s="15"/>
      <c r="E1394" s="19"/>
      <c r="F1394" s="18"/>
      <c r="G1394" s="18"/>
      <c r="H1394" s="15"/>
      <c r="I1394" s="15"/>
      <c r="J1394" s="15"/>
      <c r="K1394" s="14"/>
      <c r="L1394" s="14"/>
      <c r="M1394" s="14"/>
      <c r="N1394" s="16"/>
      <c r="O1394" s="16"/>
      <c r="P1394" s="16"/>
      <c r="Q1394" s="16"/>
      <c r="R1394" s="16"/>
      <c r="S1394" s="16"/>
      <c r="T1394" s="16"/>
      <c r="U1394" s="16"/>
      <c r="V1394" s="16"/>
      <c r="W1394" s="16"/>
      <c r="X1394" s="16"/>
      <c r="Y1394" s="16"/>
    </row>
    <row r="1395" spans="1:25" x14ac:dyDescent="0.25">
      <c r="A1395" s="22">
        <v>56</v>
      </c>
      <c r="B1395" s="18"/>
      <c r="C1395" s="15"/>
      <c r="D1395" s="15"/>
      <c r="E1395" s="19"/>
      <c r="F1395" s="18"/>
      <c r="G1395" s="18"/>
      <c r="H1395" s="15"/>
      <c r="I1395" s="15"/>
      <c r="J1395" s="15"/>
      <c r="K1395" s="14"/>
      <c r="L1395" s="14"/>
      <c r="M1395" s="14"/>
      <c r="N1395" s="16"/>
      <c r="O1395" s="16"/>
      <c r="P1395" s="16"/>
      <c r="Q1395" s="16"/>
      <c r="R1395" s="16"/>
      <c r="S1395" s="16"/>
      <c r="T1395" s="16"/>
      <c r="U1395" s="16"/>
      <c r="V1395" s="16"/>
      <c r="W1395" s="16"/>
      <c r="X1395" s="16"/>
      <c r="Y1395" s="16"/>
    </row>
    <row r="1396" spans="1:25" x14ac:dyDescent="0.25">
      <c r="A1396" s="22">
        <v>58</v>
      </c>
      <c r="B1396" s="18"/>
      <c r="C1396" s="15"/>
      <c r="D1396" s="15"/>
      <c r="E1396" s="19"/>
      <c r="F1396" s="18"/>
      <c r="G1396" s="18"/>
      <c r="H1396" s="15"/>
      <c r="I1396" s="15"/>
      <c r="J1396" s="15"/>
      <c r="K1396" s="14"/>
      <c r="L1396" s="14"/>
      <c r="M1396" s="14"/>
      <c r="N1396" s="26"/>
      <c r="O1396" s="18"/>
      <c r="P1396" s="18"/>
      <c r="Q1396" s="18"/>
      <c r="R1396" s="27"/>
      <c r="S1396" s="18"/>
      <c r="T1396" s="28"/>
      <c r="U1396" s="14"/>
      <c r="V1396" s="14"/>
      <c r="W1396" s="14"/>
      <c r="X1396" s="14"/>
      <c r="Y1396" s="14"/>
    </row>
    <row r="1397" spans="1:25" x14ac:dyDescent="0.25">
      <c r="A1397" s="22">
        <v>59</v>
      </c>
      <c r="B1397" s="18"/>
      <c r="C1397" s="15"/>
      <c r="D1397" s="15"/>
      <c r="E1397" s="19"/>
      <c r="F1397" s="18"/>
      <c r="G1397" s="18"/>
      <c r="H1397" s="15"/>
      <c r="I1397" s="15"/>
      <c r="J1397" s="15"/>
      <c r="K1397" s="14"/>
      <c r="L1397" s="14"/>
      <c r="M1397" s="14"/>
      <c r="N1397" s="26"/>
      <c r="O1397" s="18"/>
      <c r="P1397" s="18"/>
      <c r="Q1397" s="18"/>
      <c r="R1397" s="27"/>
      <c r="S1397" s="18"/>
      <c r="T1397" s="28"/>
      <c r="U1397" s="14"/>
      <c r="V1397" s="14"/>
      <c r="W1397" s="14"/>
      <c r="X1397" s="14"/>
      <c r="Y1397" s="14"/>
    </row>
    <row r="1398" spans="1:25" x14ac:dyDescent="0.25">
      <c r="A1398" s="22">
        <v>63</v>
      </c>
      <c r="B1398" s="18"/>
      <c r="C1398" s="15"/>
      <c r="D1398" s="15"/>
      <c r="E1398" s="19"/>
      <c r="F1398" s="18"/>
      <c r="G1398" s="18"/>
      <c r="H1398" s="15"/>
      <c r="I1398" s="15"/>
      <c r="J1398" s="15"/>
      <c r="K1398" s="14"/>
      <c r="L1398" s="14"/>
      <c r="M1398" s="14"/>
      <c r="N1398" s="26"/>
      <c r="O1398" s="18"/>
      <c r="P1398" s="18"/>
      <c r="Q1398" s="18"/>
      <c r="R1398" s="27"/>
      <c r="S1398" s="18"/>
      <c r="T1398" s="28"/>
      <c r="U1398" s="14"/>
      <c r="V1398" s="14"/>
      <c r="W1398" s="14"/>
      <c r="X1398" s="14"/>
      <c r="Y1398" s="14"/>
    </row>
    <row r="1399" spans="1:25" ht="15.75" x14ac:dyDescent="0.25">
      <c r="A1399" s="21">
        <v>66</v>
      </c>
      <c r="B1399" s="17"/>
      <c r="C1399" s="40"/>
      <c r="D1399" s="40"/>
      <c r="E1399" s="17"/>
      <c r="F1399" s="17"/>
      <c r="G1399" s="17"/>
      <c r="H1399" s="40"/>
      <c r="I1399" s="40"/>
      <c r="J1399" s="40"/>
      <c r="K1399" s="41"/>
      <c r="L1399" s="41"/>
      <c r="M1399" s="41"/>
      <c r="N1399" s="26"/>
      <c r="O1399" s="17"/>
      <c r="P1399" s="17"/>
      <c r="Q1399" s="17"/>
      <c r="R1399" s="27"/>
      <c r="S1399" s="17"/>
      <c r="T1399" s="42">
        <f t="shared" ref="T1399:Y1399" si="140">SUM(T1238:T1398)</f>
        <v>3023685025</v>
      </c>
      <c r="U1399" s="43">
        <f t="shared" si="140"/>
        <v>2796714</v>
      </c>
      <c r="V1399" s="43">
        <f t="shared" si="140"/>
        <v>0</v>
      </c>
      <c r="W1399" s="43">
        <f t="shared" si="140"/>
        <v>3020888311</v>
      </c>
      <c r="X1399" s="43">
        <f t="shared" si="140"/>
        <v>1770187440</v>
      </c>
      <c r="Y1399" s="43">
        <f t="shared" si="140"/>
        <v>1250700871</v>
      </c>
    </row>
    <row r="1400" spans="1:25" x14ac:dyDescent="0.25">
      <c r="A1400" s="22">
        <v>67</v>
      </c>
      <c r="B1400" s="18"/>
      <c r="C1400" s="15"/>
      <c r="D1400" s="15"/>
      <c r="E1400" s="19"/>
      <c r="F1400" s="18"/>
      <c r="G1400" s="18"/>
      <c r="H1400" s="15"/>
      <c r="I1400" s="15"/>
      <c r="J1400" s="15"/>
      <c r="K1400" s="14"/>
      <c r="L1400" s="14"/>
      <c r="M1400" s="14"/>
      <c r="N1400" s="26"/>
      <c r="O1400" s="18"/>
      <c r="P1400" s="18"/>
      <c r="Q1400" s="18"/>
      <c r="R1400" s="27"/>
      <c r="S1400" s="18"/>
      <c r="T1400" s="28"/>
      <c r="U1400" s="14"/>
      <c r="V1400" s="14"/>
      <c r="W1400" s="14"/>
      <c r="X1400" s="14"/>
      <c r="Y1400" s="14"/>
    </row>
    <row r="1401" spans="1:25" x14ac:dyDescent="0.25">
      <c r="A1401" s="18">
        <v>68</v>
      </c>
      <c r="B1401" s="18"/>
      <c r="C1401" s="15"/>
      <c r="D1401" s="15"/>
      <c r="E1401" s="19"/>
      <c r="F1401" s="18"/>
      <c r="G1401" s="18"/>
      <c r="H1401" s="15"/>
      <c r="I1401" s="15"/>
      <c r="J1401" s="15"/>
      <c r="K1401" s="14"/>
      <c r="L1401" s="14"/>
      <c r="M1401" s="14"/>
      <c r="N1401" s="26"/>
      <c r="O1401" s="18"/>
      <c r="P1401" s="18"/>
      <c r="Q1401" s="18"/>
      <c r="R1401" s="27"/>
      <c r="S1401" s="18"/>
      <c r="T1401" s="28"/>
      <c r="U1401" s="14"/>
      <c r="V1401" s="14"/>
      <c r="W1401" s="14"/>
      <c r="X1401" s="14"/>
      <c r="Y1401" s="14"/>
    </row>
    <row r="1402" spans="1:25" x14ac:dyDescent="0.25">
      <c r="A1402" s="18">
        <v>71</v>
      </c>
      <c r="B1402" s="18"/>
      <c r="C1402" s="15"/>
      <c r="D1402" s="15"/>
      <c r="E1402" s="19"/>
      <c r="F1402" s="18"/>
      <c r="G1402" s="18"/>
      <c r="H1402" s="15"/>
      <c r="I1402" s="15"/>
      <c r="J1402" s="15"/>
      <c r="K1402" s="14"/>
      <c r="L1402" s="14"/>
      <c r="M1402" s="14"/>
      <c r="N1402" s="26"/>
      <c r="O1402" s="18"/>
      <c r="P1402" s="18"/>
      <c r="Q1402" s="18"/>
      <c r="R1402" s="27"/>
      <c r="S1402" s="18"/>
      <c r="T1402" s="28"/>
      <c r="U1402" s="14"/>
      <c r="V1402" s="14"/>
      <c r="W1402" s="14"/>
      <c r="X1402" s="14"/>
      <c r="Y1402" s="14"/>
    </row>
    <row r="1403" spans="1:25" x14ac:dyDescent="0.25">
      <c r="A1403" s="18">
        <v>72</v>
      </c>
      <c r="B1403" s="18"/>
      <c r="C1403" s="15"/>
      <c r="D1403" s="15"/>
      <c r="E1403" s="19"/>
      <c r="F1403" s="18"/>
      <c r="G1403" s="18"/>
      <c r="H1403" s="15"/>
      <c r="I1403" s="15"/>
      <c r="J1403" s="15"/>
      <c r="K1403" s="14"/>
      <c r="L1403" s="14"/>
      <c r="M1403" s="14"/>
      <c r="N1403" s="26"/>
      <c r="O1403" s="18"/>
      <c r="P1403" s="18"/>
      <c r="Q1403" s="18"/>
      <c r="R1403" s="27"/>
      <c r="S1403" s="18"/>
      <c r="T1403" s="28"/>
      <c r="U1403" s="14"/>
      <c r="V1403" s="14"/>
      <c r="W1403" s="14"/>
      <c r="X1403" s="14"/>
      <c r="Y1403" s="14"/>
    </row>
    <row r="1404" spans="1:25" x14ac:dyDescent="0.25">
      <c r="A1404" s="18">
        <v>74</v>
      </c>
      <c r="B1404" s="18"/>
      <c r="C1404" s="15"/>
      <c r="D1404" s="15"/>
      <c r="E1404" s="19"/>
      <c r="F1404" s="18"/>
      <c r="G1404" s="18"/>
      <c r="H1404" s="15"/>
      <c r="I1404" s="15"/>
      <c r="J1404" s="15"/>
      <c r="K1404" s="14"/>
      <c r="L1404" s="14"/>
      <c r="M1404" s="14"/>
      <c r="N1404" s="26"/>
      <c r="O1404" s="18"/>
      <c r="P1404" s="18"/>
      <c r="Q1404" s="18"/>
      <c r="R1404" s="27"/>
      <c r="S1404" s="18"/>
      <c r="T1404" s="28"/>
      <c r="U1404" s="14"/>
      <c r="V1404" s="14"/>
      <c r="W1404" s="14"/>
      <c r="X1404" s="14"/>
      <c r="Y1404" s="14"/>
    </row>
    <row r="1405" spans="1:25" x14ac:dyDescent="0.25">
      <c r="A1405" s="18">
        <v>82</v>
      </c>
      <c r="B1405" s="18"/>
      <c r="C1405" s="15"/>
      <c r="D1405" s="15"/>
      <c r="E1405" s="19"/>
      <c r="F1405" s="18"/>
      <c r="G1405" s="18"/>
      <c r="H1405" s="15"/>
      <c r="I1405" s="15"/>
      <c r="J1405" s="15"/>
      <c r="K1405" s="14"/>
      <c r="L1405" s="14"/>
      <c r="M1405" s="14"/>
      <c r="N1405" s="26"/>
      <c r="O1405" s="18"/>
      <c r="P1405" s="18"/>
      <c r="Q1405" s="18"/>
      <c r="R1405" s="27"/>
      <c r="S1405" s="18"/>
      <c r="T1405" s="28"/>
      <c r="U1405" s="14"/>
      <c r="V1405" s="14"/>
      <c r="W1405" s="14"/>
      <c r="X1405" s="14"/>
      <c r="Y1405" s="14"/>
    </row>
    <row r="1406" spans="1:25" x14ac:dyDescent="0.25">
      <c r="A1406" s="18">
        <v>101</v>
      </c>
      <c r="B1406" s="18"/>
      <c r="C1406" s="15"/>
      <c r="D1406" s="15"/>
      <c r="E1406" s="19"/>
      <c r="F1406" s="18"/>
      <c r="G1406" s="18"/>
      <c r="H1406" s="15"/>
      <c r="I1406" s="15"/>
      <c r="J1406" s="15"/>
      <c r="K1406" s="14"/>
      <c r="L1406" s="14"/>
      <c r="M1406" s="14"/>
      <c r="N1406" s="26"/>
      <c r="O1406" s="18"/>
      <c r="P1406" s="18"/>
      <c r="Q1406" s="18"/>
      <c r="R1406" s="27"/>
      <c r="S1406" s="18"/>
      <c r="T1406" s="28"/>
      <c r="U1406" s="14"/>
      <c r="V1406" s="14"/>
      <c r="W1406" s="14"/>
      <c r="X1406" s="14"/>
      <c r="Y1406" s="14"/>
    </row>
    <row r="1407" spans="1:25" x14ac:dyDescent="0.25">
      <c r="A1407" s="22">
        <v>102</v>
      </c>
      <c r="B1407" s="18"/>
      <c r="C1407" s="15"/>
      <c r="D1407" s="15"/>
      <c r="E1407" s="19"/>
      <c r="F1407" s="18"/>
      <c r="G1407" s="18"/>
      <c r="H1407" s="15"/>
      <c r="I1407" s="15"/>
      <c r="J1407" s="15"/>
      <c r="K1407" s="14"/>
      <c r="L1407" s="14"/>
      <c r="M1407" s="14"/>
      <c r="N1407" s="26"/>
      <c r="O1407" s="18"/>
      <c r="P1407" s="18"/>
      <c r="Q1407" s="18"/>
      <c r="R1407" s="27"/>
      <c r="S1407" s="18"/>
      <c r="T1407" s="28"/>
      <c r="U1407" s="14"/>
      <c r="V1407" s="14"/>
      <c r="W1407" s="14"/>
      <c r="X1407" s="14"/>
      <c r="Y1407" s="14"/>
    </row>
    <row r="1408" spans="1:25" x14ac:dyDescent="0.25">
      <c r="A1408" s="22">
        <v>103</v>
      </c>
      <c r="B1408" s="18"/>
      <c r="C1408" s="15"/>
      <c r="D1408" s="15"/>
      <c r="E1408" s="19"/>
      <c r="F1408" s="18"/>
      <c r="G1408" s="18"/>
      <c r="H1408" s="15"/>
      <c r="I1408" s="15"/>
      <c r="J1408" s="15"/>
      <c r="K1408" s="14"/>
      <c r="L1408" s="14"/>
      <c r="M1408" s="14"/>
      <c r="N1408" s="26"/>
      <c r="O1408" s="18"/>
      <c r="P1408" s="18"/>
      <c r="Q1408" s="18"/>
      <c r="R1408" s="27"/>
      <c r="S1408" s="18"/>
      <c r="T1408" s="28"/>
      <c r="U1408" s="14"/>
      <c r="V1408" s="14"/>
      <c r="W1408" s="14"/>
      <c r="X1408" s="14"/>
      <c r="Y1408" s="14"/>
    </row>
    <row r="1409" spans="1:25" x14ac:dyDescent="0.25">
      <c r="A1409" s="22">
        <v>104</v>
      </c>
      <c r="B1409" s="18"/>
      <c r="C1409" s="15"/>
      <c r="D1409" s="15"/>
      <c r="E1409" s="19"/>
      <c r="F1409" s="18"/>
      <c r="G1409" s="18"/>
      <c r="H1409" s="15"/>
      <c r="I1409" s="15"/>
      <c r="J1409" s="15"/>
      <c r="K1409" s="14"/>
      <c r="L1409" s="14"/>
      <c r="M1409" s="14"/>
      <c r="N1409" s="26"/>
      <c r="O1409" s="18"/>
      <c r="P1409" s="18"/>
      <c r="Q1409" s="18"/>
      <c r="R1409" s="27"/>
      <c r="S1409" s="18"/>
      <c r="T1409" s="28"/>
      <c r="U1409" s="14"/>
      <c r="V1409" s="14"/>
      <c r="W1409" s="14"/>
      <c r="X1409" s="14"/>
      <c r="Y1409" s="14"/>
    </row>
    <row r="1410" spans="1:25" x14ac:dyDescent="0.25">
      <c r="A1410" s="18">
        <v>106</v>
      </c>
      <c r="B1410" s="18"/>
      <c r="C1410" s="15"/>
      <c r="D1410" s="15"/>
      <c r="E1410" s="19"/>
      <c r="F1410" s="18"/>
      <c r="G1410" s="18"/>
      <c r="H1410" s="15"/>
      <c r="I1410" s="15"/>
      <c r="J1410" s="15"/>
      <c r="K1410" s="14"/>
      <c r="L1410" s="14"/>
      <c r="M1410" s="14"/>
      <c r="N1410" s="26"/>
      <c r="O1410" s="18"/>
      <c r="P1410" s="18"/>
      <c r="Q1410" s="18"/>
      <c r="R1410" s="27"/>
      <c r="S1410" s="18"/>
      <c r="T1410" s="28"/>
      <c r="U1410" s="14"/>
      <c r="V1410" s="14"/>
      <c r="W1410" s="14"/>
      <c r="X1410" s="14"/>
      <c r="Y1410" s="14"/>
    </row>
    <row r="1411" spans="1:25" x14ac:dyDescent="0.25">
      <c r="A1411" s="18">
        <v>107</v>
      </c>
      <c r="B1411" s="18"/>
      <c r="C1411" s="15"/>
      <c r="D1411" s="15"/>
      <c r="E1411" s="19"/>
      <c r="F1411" s="24"/>
      <c r="G1411" s="18"/>
      <c r="H1411" s="15"/>
      <c r="I1411" s="15"/>
      <c r="J1411" s="15"/>
      <c r="K1411" s="14"/>
      <c r="L1411" s="14"/>
      <c r="M1411" s="14"/>
      <c r="N1411" s="26"/>
      <c r="O1411" s="18"/>
      <c r="P1411" s="18"/>
      <c r="Q1411" s="18"/>
      <c r="R1411" s="27"/>
      <c r="S1411" s="18"/>
      <c r="T1411" s="28"/>
      <c r="U1411" s="14"/>
      <c r="V1411" s="14"/>
      <c r="W1411" s="14"/>
      <c r="X1411" s="14"/>
      <c r="Y1411" s="14"/>
    </row>
    <row r="1412" spans="1:25" x14ac:dyDescent="0.25">
      <c r="A1412" s="18">
        <v>108</v>
      </c>
      <c r="B1412" s="18"/>
      <c r="C1412" s="15"/>
      <c r="D1412" s="15"/>
      <c r="E1412" s="19"/>
      <c r="F1412" s="24"/>
      <c r="G1412" s="18"/>
      <c r="H1412" s="15"/>
      <c r="I1412" s="15"/>
      <c r="J1412" s="15"/>
      <c r="K1412" s="14"/>
      <c r="L1412" s="14"/>
      <c r="M1412" s="14"/>
      <c r="N1412" s="26"/>
      <c r="O1412" s="18"/>
      <c r="P1412" s="18"/>
      <c r="Q1412" s="18"/>
      <c r="R1412" s="27"/>
      <c r="S1412" s="18"/>
      <c r="T1412" s="28"/>
      <c r="U1412" s="14"/>
      <c r="V1412" s="14"/>
      <c r="W1412" s="14"/>
      <c r="X1412" s="14"/>
      <c r="Y1412" s="14"/>
    </row>
    <row r="1413" spans="1:25" x14ac:dyDescent="0.25">
      <c r="A1413" s="18">
        <v>112</v>
      </c>
      <c r="B1413" s="18"/>
      <c r="C1413" s="15"/>
      <c r="D1413" s="15"/>
      <c r="E1413" s="19"/>
      <c r="F1413" s="24"/>
      <c r="G1413" s="18"/>
      <c r="H1413" s="15"/>
      <c r="I1413" s="15"/>
      <c r="J1413" s="15"/>
      <c r="K1413" s="14"/>
      <c r="L1413" s="14"/>
      <c r="M1413" s="14"/>
      <c r="N1413" s="26"/>
      <c r="O1413" s="18"/>
      <c r="P1413" s="18"/>
      <c r="Q1413" s="18"/>
      <c r="R1413" s="27"/>
      <c r="S1413" s="18"/>
      <c r="T1413" s="28"/>
      <c r="U1413" s="14"/>
      <c r="V1413" s="14"/>
      <c r="W1413" s="14"/>
      <c r="X1413" s="14"/>
      <c r="Y1413" s="14"/>
    </row>
  </sheetData>
  <mergeCells count="6">
    <mergeCell ref="A1:C3"/>
    <mergeCell ref="AS1:AV1"/>
    <mergeCell ref="AS2:AT2"/>
    <mergeCell ref="AU2:AV2"/>
    <mergeCell ref="AS3:AV3"/>
    <mergeCell ref="D1:AR3"/>
  </mergeCells>
  <conditionalFormatting sqref="P103">
    <cfRule type="duplicateValues" dxfId="0" priority="1"/>
  </conditionalFormatting>
  <dataValidations disablePrompts="1" count="5">
    <dataValidation type="list" allowBlank="1" showInputMessage="1" showErrorMessage="1" sqref="D5:D98 D172:D184 D164:D167 D157:D162 D104:D108 D121:D127 D118:D119 D131:D134 D139 D142:D144 D147:D154" xr:uid="{00000000-0002-0000-0000-000000000000}">
      <formula1>$E$518:$E$527</formula1>
    </dataValidation>
    <dataValidation type="list" allowBlank="1" showInputMessage="1" showErrorMessage="1" sqref="D114:D117 D163 D128:D130 D120 D136:D137 D141 D145:D146" xr:uid="{00000000-0002-0000-0000-000001000000}">
      <formula1>$E$517:$E$526</formula1>
    </dataValidation>
    <dataValidation type="list" allowBlank="1" showInputMessage="1" showErrorMessage="1" sqref="I190:J305 I317:J344 I314:J314 I307:J309 I349:J350 F188:F350" xr:uid="{00000000-0002-0000-0000-000002000000}">
      <formula1>#REF!</formula1>
    </dataValidation>
    <dataValidation allowBlank="1" showErrorMessage="1" sqref="G424 G417 G904 G722 G771:G778 G826 G852 G987:G990 G992:G1019 G1022:G1034 G1037:G1047" xr:uid="{00000000-0002-0000-0000-000004000000}"/>
    <dataValidation type="list" allowBlank="1" showInputMessage="1" showErrorMessage="1" sqref="J1110" xr:uid="{00000000-0002-0000-0000-000005000000}">
      <formula1>$P$835:$P$839</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Jefferson Malaver Gómez</dc:creator>
  <cp:lastModifiedBy>portatil</cp:lastModifiedBy>
  <dcterms:created xsi:type="dcterms:W3CDTF">2018-10-09T20:44:42Z</dcterms:created>
  <dcterms:modified xsi:type="dcterms:W3CDTF">2018-10-11T16:31:14Z</dcterms:modified>
</cp:coreProperties>
</file>